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F0464E15-C263-4A60-B847-4A5DA723AE28}" xr6:coauthVersionLast="45" xr6:coauthVersionMax="45" xr10:uidLastSave="{00000000-0000-0000-0000-000000000000}"/>
  <bookViews>
    <workbookView xWindow="8040" yWindow="0" windowWidth="11570" windowHeight="10000" tabRatio="607" activeTab="1"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burning'!$A$1:$A$3964</definedName>
    <definedName name="_xlnm._FilterDatabase" localSheetId="5" hidden="1">'Fire Policy'!$A$1:$A$775</definedName>
    <definedName name="_xlnm._FilterDatabase" localSheetId="4" hidden="1">'Fire suppression'!$A$1:$A$703</definedName>
    <definedName name="_xlnm._FilterDatabase" localSheetId="1" hidden="1">'Land use'!$A$1:$A$1219</definedName>
    <definedName name="_xlnm._FilterDatabase" localSheetId="0" hidden="1">'Record info'!$A$1:$A$1219</definedName>
    <definedName name="_xlnm._FilterDatabase" localSheetId="2" hidden="1">'Reported burning'!$A$1:$A$2911</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48" i="2" l="1"/>
  <c r="I1548" i="2"/>
  <c r="T3818" i="3"/>
  <c r="J3818" i="3"/>
  <c r="T3816" i="3"/>
  <c r="J3816" i="3" s="1"/>
  <c r="T3817" i="3"/>
  <c r="X3817" i="3"/>
  <c r="P3818" i="3"/>
  <c r="P3817" i="3"/>
  <c r="P3816" i="3"/>
  <c r="X3816" i="3"/>
  <c r="N1547" i="2"/>
  <c r="I1547" i="4"/>
  <c r="J1547" i="2"/>
  <c r="I1547" i="2"/>
  <c r="V3809" i="3"/>
  <c r="X3809" i="3"/>
  <c r="K1546" i="2"/>
  <c r="T3809" i="3"/>
  <c r="R1546" i="4"/>
  <c r="P1546" i="4"/>
  <c r="I1546" i="2"/>
  <c r="T3781" i="3"/>
  <c r="V3781" i="3" s="1"/>
  <c r="T3779" i="3"/>
  <c r="X3779" i="3" s="1"/>
  <c r="T3777" i="3"/>
  <c r="T3776" i="3"/>
  <c r="V3776" i="3" s="1"/>
  <c r="T3775" i="3"/>
  <c r="X3775" i="3" s="1"/>
  <c r="T3774" i="3"/>
  <c r="X3774" i="3" s="1"/>
  <c r="T3773" i="3"/>
  <c r="V3773" i="3" s="1"/>
  <c r="T3772" i="3"/>
  <c r="V3772" i="3" s="1"/>
  <c r="T3771" i="3"/>
  <c r="V3771" i="3" s="1"/>
  <c r="T3770" i="3"/>
  <c r="T3769" i="3"/>
  <c r="V3769" i="3" s="1"/>
  <c r="T3768" i="3"/>
  <c r="V3768" i="3" s="1"/>
  <c r="T3767" i="3"/>
  <c r="V3767" i="3" s="1"/>
  <c r="T3766" i="3"/>
  <c r="X3766" i="3" s="1"/>
  <c r="T3765" i="3"/>
  <c r="V3765" i="3"/>
  <c r="V3766" i="3"/>
  <c r="X3767" i="3"/>
  <c r="V3770" i="3"/>
  <c r="X3771" i="3"/>
  <c r="X3772" i="3"/>
  <c r="V3775" i="3"/>
  <c r="V3777" i="3"/>
  <c r="V3779" i="3"/>
  <c r="T3764" i="3"/>
  <c r="X3764" i="3" s="1"/>
  <c r="V3764" i="3"/>
  <c r="T3745" i="3"/>
  <c r="V3745" i="3"/>
  <c r="X3745" i="3"/>
  <c r="T3746" i="3"/>
  <c r="V3746" i="3" s="1"/>
  <c r="X3746" i="3"/>
  <c r="T3747" i="3"/>
  <c r="X3747" i="3" s="1"/>
  <c r="V3747" i="3"/>
  <c r="T3748" i="3"/>
  <c r="X3748" i="3" s="1"/>
  <c r="V3748" i="3"/>
  <c r="T3749" i="3"/>
  <c r="V3749" i="3"/>
  <c r="X3749" i="3"/>
  <c r="T3750" i="3"/>
  <c r="V3750" i="3" s="1"/>
  <c r="X3750" i="3"/>
  <c r="T3751" i="3"/>
  <c r="V3751" i="3" s="1"/>
  <c r="T3752" i="3"/>
  <c r="V3752" i="3" s="1"/>
  <c r="X3752" i="3"/>
  <c r="T3753" i="3"/>
  <c r="V3753" i="3"/>
  <c r="X3753" i="3"/>
  <c r="T3754" i="3"/>
  <c r="V3754" i="3" s="1"/>
  <c r="X3754" i="3"/>
  <c r="T3755" i="3"/>
  <c r="X3755" i="3" s="1"/>
  <c r="V3755" i="3"/>
  <c r="T3756" i="3"/>
  <c r="X3756" i="3" s="1"/>
  <c r="V3756" i="3"/>
  <c r="T3757" i="3"/>
  <c r="V3757" i="3"/>
  <c r="X3757" i="3"/>
  <c r="T3758" i="3"/>
  <c r="V3758" i="3" s="1"/>
  <c r="X3758" i="3"/>
  <c r="T3759" i="3"/>
  <c r="V3759" i="3" s="1"/>
  <c r="T3760" i="3"/>
  <c r="V3760" i="3" s="1"/>
  <c r="X3760" i="3"/>
  <c r="T3761" i="3"/>
  <c r="V3761" i="3"/>
  <c r="X3761" i="3"/>
  <c r="T3762" i="3"/>
  <c r="V3762" i="3" s="1"/>
  <c r="X3762" i="3"/>
  <c r="T3763" i="3"/>
  <c r="X3763" i="3" s="1"/>
  <c r="V3763" i="3"/>
  <c r="R1544" i="4"/>
  <c r="S1544" i="4"/>
  <c r="R1545" i="4"/>
  <c r="R1543" i="4"/>
  <c r="S1543" i="4"/>
  <c r="R1542" i="4"/>
  <c r="R1541" i="4"/>
  <c r="R1540" i="4"/>
  <c r="R1539" i="4"/>
  <c r="R1538" i="4"/>
  <c r="R1537" i="4"/>
  <c r="R1536" i="4"/>
  <c r="R1535" i="4"/>
  <c r="R1534" i="4"/>
  <c r="R1533" i="4"/>
  <c r="R1532" i="4"/>
  <c r="R1531" i="4"/>
  <c r="R1530" i="4"/>
  <c r="R1529" i="4"/>
  <c r="R1528" i="4"/>
  <c r="R1527" i="4"/>
  <c r="S1545" i="4"/>
  <c r="S1542" i="4"/>
  <c r="S1541" i="4"/>
  <c r="S1540" i="4"/>
  <c r="S1539" i="4"/>
  <c r="S1538" i="4"/>
  <c r="S1537" i="4"/>
  <c r="S1536" i="4"/>
  <c r="S1535" i="4"/>
  <c r="S1534" i="4"/>
  <c r="S1533" i="4"/>
  <c r="S1532" i="4"/>
  <c r="S1531" i="4"/>
  <c r="S1529" i="4"/>
  <c r="S1530" i="4"/>
  <c r="S1528" i="4"/>
  <c r="S1527" i="4"/>
  <c r="S1525" i="4"/>
  <c r="P1525" i="4"/>
  <c r="R1525" i="4"/>
  <c r="Q1525" i="4"/>
  <c r="S1526" i="4"/>
  <c r="R1526" i="4"/>
  <c r="Q1526" i="4"/>
  <c r="P1526" i="4"/>
  <c r="J1526" i="2"/>
  <c r="I1526" i="2"/>
  <c r="K1524" i="2"/>
  <c r="I1525" i="2"/>
  <c r="J1525" i="2"/>
  <c r="E3741" i="10"/>
  <c r="F3741"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3" i="10"/>
  <c r="B3933" i="10"/>
  <c r="C3933" i="10"/>
  <c r="D3933" i="10"/>
  <c r="E3933" i="10"/>
  <c r="F3933" i="10"/>
  <c r="G3933" i="10"/>
  <c r="H3933"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740" i="10"/>
  <c r="B3740" i="10"/>
  <c r="A3741" i="10"/>
  <c r="B3741" i="10"/>
  <c r="X3736" i="3"/>
  <c r="T3740" i="3"/>
  <c r="X3740" i="3" s="1"/>
  <c r="T3739" i="3"/>
  <c r="X3739" i="3" s="1"/>
  <c r="T3738" i="3"/>
  <c r="X3738" i="3" s="1"/>
  <c r="T3737" i="3"/>
  <c r="X3737" i="3" s="1"/>
  <c r="T3736" i="3"/>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C3740" i="10"/>
  <c r="D3740" i="10"/>
  <c r="E3740" i="10"/>
  <c r="F3740" i="10"/>
  <c r="G3740" i="10"/>
  <c r="H3740" i="10"/>
  <c r="C3741" i="10"/>
  <c r="D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T3713" i="3"/>
  <c r="X3713" i="3" s="1"/>
  <c r="T3701" i="3"/>
  <c r="X3701" i="3" s="1"/>
  <c r="T3712" i="3"/>
  <c r="X3712" i="3" s="1"/>
  <c r="T3711" i="3"/>
  <c r="X3711" i="3" s="1"/>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E3712" i="10"/>
  <c r="F3712" i="10"/>
  <c r="G3712" i="10"/>
  <c r="H3712" i="10"/>
  <c r="A3713" i="10"/>
  <c r="B3713" i="10"/>
  <c r="C3713" i="10"/>
  <c r="D3713" i="10"/>
  <c r="E3713" i="10"/>
  <c r="F3713" i="10"/>
  <c r="G3713" i="10"/>
  <c r="H3713" i="10"/>
  <c r="T3704" i="3"/>
  <c r="X3704" i="3" s="1"/>
  <c r="T3703" i="3"/>
  <c r="X3703" i="3" s="1"/>
  <c r="T3702" i="3"/>
  <c r="X3702" i="3" s="1"/>
  <c r="T3700" i="3"/>
  <c r="X3700" i="3" s="1"/>
  <c r="T3699" i="3"/>
  <c r="X3699" i="3" s="1"/>
  <c r="J3817" i="3" l="1"/>
  <c r="X3818" i="3"/>
  <c r="V3774" i="3"/>
  <c r="X3777" i="3"/>
  <c r="X3769" i="3"/>
  <c r="X3776" i="3"/>
  <c r="X3768" i="3"/>
  <c r="X3781" i="3"/>
  <c r="X3773" i="3"/>
  <c r="X3765" i="3"/>
  <c r="X3770" i="3"/>
  <c r="X3759" i="3"/>
  <c r="X3751" i="3"/>
  <c r="T3695" i="3" l="1"/>
  <c r="K1516" i="2"/>
  <c r="J1516" i="2"/>
  <c r="I1516" i="2"/>
  <c r="R1515" i="4"/>
  <c r="R1508" i="4"/>
  <c r="Q1514" i="4"/>
  <c r="R1514" i="4" s="1"/>
  <c r="Q1513" i="4"/>
  <c r="R1513" i="4" s="1"/>
  <c r="Q1512" i="4"/>
  <c r="R1512" i="4" s="1"/>
  <c r="Q1511" i="4"/>
  <c r="R1511" i="4" s="1"/>
  <c r="Q1509" i="4"/>
  <c r="R1509" i="4" s="1"/>
  <c r="Q1510" i="4"/>
  <c r="R1510" i="4" s="1"/>
  <c r="J1506" i="2"/>
  <c r="I1506" i="2"/>
  <c r="A3663" i="10"/>
  <c r="B3663" i="10"/>
  <c r="C3663" i="10"/>
  <c r="D3663" i="10"/>
  <c r="E3663" i="10"/>
  <c r="F3663" i="10"/>
  <c r="G3663" i="10"/>
  <c r="H3663"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T3675" i="3"/>
  <c r="T3674" i="3"/>
  <c r="J1505" i="2"/>
  <c r="J1504" i="2"/>
  <c r="M1503" i="4"/>
  <c r="X3660" i="3"/>
  <c r="X3661" i="3"/>
  <c r="X3662" i="3"/>
  <c r="X3663" i="3"/>
  <c r="X3655" i="3"/>
  <c r="X3656" i="3"/>
  <c r="X3657" i="3"/>
  <c r="X3658" i="3"/>
  <c r="X3659" i="3"/>
  <c r="T3654" i="3"/>
  <c r="X3654" i="3" s="1"/>
  <c r="T3649" i="3"/>
  <c r="X3649" i="3" s="1"/>
  <c r="X3650" i="3"/>
  <c r="X3651" i="3"/>
  <c r="X3652" i="3"/>
  <c r="X3653" i="3"/>
  <c r="X3648" i="3"/>
  <c r="X3647" i="3"/>
  <c r="X3646" i="3"/>
  <c r="X3645" i="3"/>
  <c r="T3644" i="3"/>
  <c r="X3644" i="3" s="1"/>
  <c r="X3640" i="3"/>
  <c r="X3641" i="3"/>
  <c r="X3642" i="3"/>
  <c r="X3643" i="3"/>
  <c r="T3639" i="3"/>
  <c r="X3639" i="3" s="1"/>
  <c r="X3666" i="3"/>
  <c r="X3667" i="3"/>
  <c r="X3668" i="3"/>
  <c r="X3669" i="3"/>
  <c r="X3670" i="3"/>
  <c r="T3664" i="3"/>
  <c r="T3665" i="3" s="1"/>
  <c r="X3665" i="3" s="1"/>
  <c r="V3634" i="3"/>
  <c r="V3631" i="3"/>
  <c r="T3634" i="3"/>
  <c r="T3633" i="3"/>
  <c r="T3632" i="3"/>
  <c r="T3631" i="3"/>
  <c r="R1496" i="4"/>
  <c r="K1496" i="2"/>
  <c r="P1496" i="4" s="1"/>
  <c r="J3627" i="3"/>
  <c r="J3626" i="3"/>
  <c r="J3628" i="3"/>
  <c r="J3630" i="3"/>
  <c r="J3625" i="3"/>
  <c r="J3624" i="3"/>
  <c r="J3623" i="3"/>
  <c r="F3617" i="10"/>
  <c r="S1494" i="4"/>
  <c r="R1494" i="4"/>
  <c r="K1493" i="2"/>
  <c r="J1493" i="2"/>
  <c r="I1493" i="2"/>
  <c r="K1494" i="2"/>
  <c r="J1494" i="2"/>
  <c r="I1494" i="2"/>
  <c r="Q1493" i="4"/>
  <c r="R1493" i="4"/>
  <c r="P1493" i="4"/>
  <c r="K1491" i="2"/>
  <c r="J1490" i="2"/>
  <c r="I1490" i="2"/>
  <c r="A3606" i="10"/>
  <c r="B3606" i="10"/>
  <c r="C3606" i="10"/>
  <c r="D3606" i="10"/>
  <c r="E3606" i="10"/>
  <c r="F3606" i="10"/>
  <c r="G3606" i="10"/>
  <c r="H3606" i="10"/>
  <c r="A3607" i="10"/>
  <c r="B3607" i="10"/>
  <c r="C3607" i="10"/>
  <c r="D3607" i="10"/>
  <c r="E3607" i="10"/>
  <c r="F3607" i="10"/>
  <c r="G3607" i="10"/>
  <c r="H3607" i="10"/>
  <c r="K1489" i="2"/>
  <c r="K1488" i="2"/>
  <c r="K1487" i="2"/>
  <c r="K1486" i="2"/>
  <c r="J1489" i="2"/>
  <c r="I1489" i="2"/>
  <c r="J1488" i="2"/>
  <c r="I1488" i="2"/>
  <c r="J1487" i="2"/>
  <c r="I1487" i="2"/>
  <c r="J1486" i="2"/>
  <c r="I1486" i="2"/>
  <c r="N1480" i="2"/>
  <c r="K1480" i="2" s="1"/>
  <c r="N1484" i="2"/>
  <c r="K1484" i="2" s="1"/>
  <c r="N1483" i="2"/>
  <c r="K1483" i="2" s="1"/>
  <c r="N1481" i="2"/>
  <c r="K1481" i="2" s="1"/>
  <c r="N1482" i="2"/>
  <c r="K1482" i="2" s="1"/>
  <c r="J1484" i="2"/>
  <c r="I1484" i="2"/>
  <c r="J1483" i="2"/>
  <c r="I1483" i="2"/>
  <c r="J1482" i="2"/>
  <c r="I1482" i="2"/>
  <c r="J1481" i="2"/>
  <c r="I1481" i="2"/>
  <c r="I1480" i="2"/>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85" i="10"/>
  <c r="B3585" i="10"/>
  <c r="C3585" i="10"/>
  <c r="D3585" i="10"/>
  <c r="E3585" i="10"/>
  <c r="F3585" i="10"/>
  <c r="G3585" i="10"/>
  <c r="H3585" i="10"/>
  <c r="J3585" i="3"/>
  <c r="J3581" i="3"/>
  <c r="J3589" i="3"/>
  <c r="S1478" i="4"/>
  <c r="K1478" i="2"/>
  <c r="N1478" i="4" s="1"/>
  <c r="L1477" i="4"/>
  <c r="N1477" i="2"/>
  <c r="K1477" i="2"/>
  <c r="I1477" i="2"/>
  <c r="J1477" i="2"/>
  <c r="X3570" i="3"/>
  <c r="T3570" i="3"/>
  <c r="Q1475" i="4"/>
  <c r="R1475" i="4"/>
  <c r="K1475" i="2"/>
  <c r="D3556" i="10"/>
  <c r="N1496" i="4" l="1"/>
  <c r="X3633" i="3"/>
  <c r="X3634" i="3"/>
  <c r="X3631" i="3"/>
  <c r="X3632" i="3"/>
  <c r="X3664" i="3"/>
  <c r="Q1478" i="4"/>
  <c r="R1478" i="4"/>
  <c r="S3555" i="3"/>
  <c r="I1462" i="2"/>
  <c r="J1462" i="2"/>
  <c r="K1462" i="2"/>
  <c r="J1461" i="2"/>
  <c r="I1461" i="2"/>
  <c r="J1460" i="2"/>
  <c r="I1460" i="2"/>
  <c r="K1459" i="2"/>
  <c r="X3550" i="3" s="1"/>
  <c r="T3548" i="3"/>
  <c r="V3548" i="3" s="1"/>
  <c r="T3547" i="3"/>
  <c r="V3547" i="3" s="1"/>
  <c r="T3545" i="3"/>
  <c r="X3545" i="3" s="1"/>
  <c r="T3544" i="3"/>
  <c r="X3544" i="3" s="1"/>
  <c r="X3543" i="3"/>
  <c r="K1456" i="2"/>
  <c r="T3542" i="3" s="1"/>
  <c r="K1455" i="2"/>
  <c r="V3541" i="3"/>
  <c r="J1455" i="2"/>
  <c r="I1455" i="2"/>
  <c r="J1454" i="2"/>
  <c r="I1454" i="2"/>
  <c r="J1453" i="2"/>
  <c r="I1453" i="2"/>
  <c r="N1443" i="2"/>
  <c r="R1435" i="4"/>
  <c r="N1435" i="4"/>
  <c r="P1435" i="4" s="1"/>
  <c r="O1435" i="4" s="1"/>
  <c r="R1436" i="4"/>
  <c r="N1436" i="4"/>
  <c r="P1436" i="4" s="1"/>
  <c r="O1436" i="4" s="1"/>
  <c r="B3532" i="10"/>
  <c r="B3533" i="10"/>
  <c r="B3534" i="10"/>
  <c r="B3535" i="10"/>
  <c r="A3532" i="10"/>
  <c r="A3533" i="10"/>
  <c r="A3531" i="10"/>
  <c r="A3515" i="10"/>
  <c r="B3515" i="10"/>
  <c r="C3515" i="10"/>
  <c r="D3515" i="10"/>
  <c r="E3515" i="10"/>
  <c r="F3515" i="10"/>
  <c r="G3515" i="10"/>
  <c r="H3515" i="10"/>
  <c r="X3499" i="3"/>
  <c r="X3498" i="3"/>
  <c r="I1436" i="2"/>
  <c r="I1435" i="2"/>
  <c r="X3497" i="3"/>
  <c r="N1418" i="4"/>
  <c r="P1418" i="4" s="1"/>
  <c r="O1418" i="4" s="1"/>
  <c r="R1418" i="4"/>
  <c r="X3490" i="3"/>
  <c r="I1418" i="2"/>
  <c r="T3492" i="3"/>
  <c r="T3491" i="3" s="1"/>
  <c r="X3491" i="3" s="1"/>
  <c r="X3548" i="3" l="1"/>
  <c r="V3544" i="3"/>
  <c r="V3545" i="3"/>
  <c r="X3547" i="3"/>
  <c r="T3546" i="3"/>
  <c r="X3546" i="3" s="1"/>
  <c r="O1478" i="4"/>
  <c r="P1478" i="4"/>
  <c r="J3497" i="3"/>
  <c r="J3498" i="3"/>
  <c r="J3499" i="3"/>
  <c r="X3492" i="3"/>
  <c r="N1417" i="4" s="1"/>
  <c r="E2306" i="10" l="1"/>
  <c r="E2307" i="10"/>
  <c r="E2308" i="10"/>
  <c r="E2309" i="10"/>
  <c r="E2310" i="10"/>
  <c r="E2176" i="10"/>
  <c r="A3324" i="10"/>
  <c r="B3324" i="10"/>
  <c r="C3324" i="10"/>
  <c r="D3324" i="10"/>
  <c r="E3324" i="10"/>
  <c r="F3324" i="10"/>
  <c r="G3324" i="10"/>
  <c r="H3324" i="10"/>
  <c r="V3485" i="3"/>
  <c r="X3485" i="3" s="1"/>
  <c r="V3484" i="3"/>
  <c r="X3484" i="3" s="1"/>
  <c r="V3483" i="3"/>
  <c r="X3483" i="3" s="1"/>
  <c r="V3482" i="3"/>
  <c r="X3482" i="3" s="1"/>
  <c r="V3481" i="3"/>
  <c r="X3481" i="3" s="1"/>
  <c r="V3480" i="3"/>
  <c r="X3480" i="3" s="1"/>
  <c r="V3479" i="3"/>
  <c r="X3479" i="3" s="1"/>
  <c r="V3478" i="3"/>
  <c r="X3478" i="3" s="1"/>
  <c r="V3477" i="3"/>
  <c r="X3477" i="3" s="1"/>
  <c r="V3476" i="3"/>
  <c r="X3476" i="3" s="1"/>
  <c r="V3475" i="3"/>
  <c r="X3475" i="3" s="1"/>
  <c r="V3474" i="3"/>
  <c r="X3474" i="3" s="1"/>
  <c r="V3473" i="3"/>
  <c r="X3473" i="3" s="1"/>
  <c r="V3472" i="3"/>
  <c r="X3472" i="3" s="1"/>
  <c r="V3471" i="3"/>
  <c r="X3471" i="3" s="1"/>
  <c r="V3470" i="3"/>
  <c r="X3470" i="3" s="1"/>
  <c r="V3467" i="3"/>
  <c r="X3467" i="3" s="1"/>
  <c r="V3466" i="3"/>
  <c r="X3466" i="3" s="1"/>
  <c r="V3465" i="3"/>
  <c r="X3465" i="3" s="1"/>
  <c r="V3464" i="3"/>
  <c r="X3464" i="3" s="1"/>
  <c r="V3463" i="3"/>
  <c r="X3463" i="3" s="1"/>
  <c r="V3462" i="3"/>
  <c r="X3462" i="3" s="1"/>
  <c r="V3461" i="3"/>
  <c r="X3461" i="3" s="1"/>
  <c r="V3460" i="3"/>
  <c r="X3460" i="3" s="1"/>
  <c r="V3459" i="3"/>
  <c r="X3459" i="3" s="1"/>
  <c r="V3458" i="3"/>
  <c r="X3458" i="3" s="1"/>
  <c r="V3457" i="3"/>
  <c r="V3456" i="3"/>
  <c r="X3456" i="3" s="1"/>
  <c r="V3455" i="3"/>
  <c r="X3455" i="3" s="1"/>
  <c r="V3454" i="3"/>
  <c r="X3454" i="3" s="1"/>
  <c r="V3453" i="3"/>
  <c r="X3453" i="3" s="1"/>
  <c r="V3452" i="3"/>
  <c r="X3452" i="3" s="1"/>
  <c r="V3451" i="3"/>
  <c r="X3451" i="3" s="1"/>
  <c r="V3450" i="3"/>
  <c r="X3450" i="3" s="1"/>
  <c r="X3457" i="3"/>
  <c r="V3449" i="3"/>
  <c r="X3449" i="3" s="1"/>
  <c r="V3448" i="3"/>
  <c r="X3448" i="3" s="1"/>
  <c r="V3447" i="3"/>
  <c r="X3447" i="3" s="1"/>
  <c r="V3446" i="3"/>
  <c r="X3446" i="3" s="1"/>
  <c r="V3445" i="3"/>
  <c r="X3445" i="3" s="1"/>
  <c r="V3444" i="3"/>
  <c r="X3444" i="3" s="1"/>
  <c r="V3443" i="3"/>
  <c r="X3443" i="3" s="1"/>
  <c r="V3442" i="3"/>
  <c r="X3442" i="3" s="1"/>
  <c r="V3441" i="3"/>
  <c r="X3441" i="3" s="1"/>
  <c r="V3440" i="3"/>
  <c r="X3440" i="3" s="1"/>
  <c r="V3439" i="3"/>
  <c r="X3439" i="3" s="1"/>
  <c r="V3438" i="3"/>
  <c r="X3438" i="3" s="1"/>
  <c r="V3437" i="3"/>
  <c r="X3437" i="3" s="1"/>
  <c r="V3436" i="3"/>
  <c r="X3436" i="3" s="1"/>
  <c r="V3435" i="3"/>
  <c r="X3435" i="3" s="1"/>
  <c r="V3434" i="3"/>
  <c r="X3434" i="3" s="1"/>
  <c r="V3433" i="3"/>
  <c r="X3433" i="3" s="1"/>
  <c r="V3432" i="3"/>
  <c r="X3432" i="3" s="1"/>
  <c r="V3431" i="3"/>
  <c r="X3431" i="3" s="1"/>
  <c r="V3430" i="3"/>
  <c r="X3430" i="3" s="1"/>
  <c r="V3429" i="3"/>
  <c r="X3429" i="3" s="1"/>
  <c r="V3428" i="3"/>
  <c r="X3428" i="3" s="1"/>
  <c r="V3427" i="3"/>
  <c r="X3427" i="3" s="1"/>
  <c r="V3426" i="3"/>
  <c r="X3426" i="3" s="1"/>
  <c r="V3425" i="3"/>
  <c r="X3425" i="3" s="1"/>
  <c r="V3424" i="3"/>
  <c r="X3424" i="3" s="1"/>
  <c r="V3423" i="3"/>
  <c r="X3423" i="3" s="1"/>
  <c r="V3422" i="3"/>
  <c r="X3422" i="3" s="1"/>
  <c r="V3421" i="3"/>
  <c r="X3421" i="3" s="1"/>
  <c r="V3420" i="3"/>
  <c r="X3420" i="3" s="1"/>
  <c r="V3419" i="3"/>
  <c r="X3419" i="3" s="1"/>
  <c r="V3416" i="3"/>
  <c r="X3416" i="3" s="1"/>
  <c r="V3415" i="3"/>
  <c r="X3415" i="3" s="1"/>
  <c r="V3414" i="3"/>
  <c r="X3414" i="3" s="1"/>
  <c r="V3413" i="3"/>
  <c r="X3413" i="3" s="1"/>
  <c r="V3412" i="3"/>
  <c r="X3412" i="3" s="1"/>
  <c r="V3411" i="3"/>
  <c r="X3411" i="3" s="1"/>
  <c r="V3410" i="3"/>
  <c r="X3410" i="3" s="1"/>
  <c r="V3409" i="3"/>
  <c r="X3409" i="3" s="1"/>
  <c r="V3408" i="3"/>
  <c r="X3408" i="3" s="1"/>
  <c r="V3404" i="3"/>
  <c r="X3404" i="3" s="1"/>
  <c r="V3403" i="3"/>
  <c r="X3403" i="3" s="1"/>
  <c r="V3402" i="3"/>
  <c r="X3402" i="3" s="1"/>
  <c r="V3401" i="3"/>
  <c r="V3400" i="3"/>
  <c r="X3401" i="3" s="1"/>
  <c r="V3399" i="3"/>
  <c r="X3400" i="3" s="1"/>
  <c r="V3398" i="3"/>
  <c r="X3399" i="3" s="1"/>
  <c r="V3397" i="3"/>
  <c r="X3398" i="3" s="1"/>
  <c r="V3396" i="3"/>
  <c r="X3397" i="3" s="1"/>
  <c r="V3395" i="3"/>
  <c r="X3395" i="3" s="1"/>
  <c r="V3392" i="3"/>
  <c r="X3392" i="3" s="1"/>
  <c r="V3391" i="3"/>
  <c r="X3391" i="3" s="1"/>
  <c r="X3393" i="3"/>
  <c r="X3394" i="3"/>
  <c r="V3390" i="3"/>
  <c r="X3390" i="3" s="1"/>
  <c r="V3389" i="3"/>
  <c r="X3389" i="3" s="1"/>
  <c r="V3388" i="3"/>
  <c r="X3388" i="3" s="1"/>
  <c r="V3387" i="3"/>
  <c r="X3387" i="3" s="1"/>
  <c r="V3386" i="3"/>
  <c r="X3386" i="3" s="1"/>
  <c r="V3385" i="3"/>
  <c r="X3385" i="3" s="1"/>
  <c r="V3384" i="3"/>
  <c r="X3384" i="3" s="1"/>
  <c r="V3383" i="3"/>
  <c r="X3383" i="3" s="1"/>
  <c r="V3382" i="3"/>
  <c r="X3382" i="3" s="1"/>
  <c r="V3381" i="3"/>
  <c r="X3381" i="3" s="1"/>
  <c r="V3380" i="3"/>
  <c r="X3380" i="3" s="1"/>
  <c r="V3379" i="3"/>
  <c r="X3379" i="3" s="1"/>
  <c r="V3378" i="3"/>
  <c r="X3378" i="3" s="1"/>
  <c r="I1414" i="2"/>
  <c r="J1414" i="2"/>
  <c r="J1411" i="2"/>
  <c r="I1411" i="2"/>
  <c r="J1410" i="2"/>
  <c r="I1410" i="2"/>
  <c r="J1409" i="2"/>
  <c r="I1409" i="2"/>
  <c r="J1408" i="2"/>
  <c r="I1408" i="2"/>
  <c r="K1414" i="2"/>
  <c r="K1413" i="2"/>
  <c r="K1412" i="2"/>
  <c r="K1411" i="2"/>
  <c r="K1410" i="2"/>
  <c r="K1409" i="2"/>
  <c r="K1408" i="2"/>
  <c r="K1407" i="2"/>
  <c r="K1406" i="2"/>
  <c r="X3377" i="3"/>
  <c r="V3377" i="3"/>
  <c r="S1405" i="4"/>
  <c r="K1404" i="2"/>
  <c r="K1405" i="2" s="1"/>
  <c r="I1402" i="4"/>
  <c r="P1401" i="4"/>
  <c r="O1401" i="4"/>
  <c r="S1401" i="4"/>
  <c r="R1401" i="4"/>
  <c r="K1401" i="2"/>
  <c r="N1401" i="2" s="1"/>
  <c r="T3368" i="3"/>
  <c r="X3368" i="3" s="1"/>
  <c r="T3367" i="3"/>
  <c r="X3367" i="3" s="1"/>
  <c r="K1398" i="2"/>
  <c r="J3356" i="3" s="1"/>
  <c r="H1397" i="4"/>
  <c r="H1396" i="4"/>
  <c r="A3321" i="10"/>
  <c r="B3321" i="10"/>
  <c r="C3321" i="10"/>
  <c r="D3321" i="10"/>
  <c r="E3321" i="10"/>
  <c r="F3321" i="10"/>
  <c r="G3321" i="10"/>
  <c r="H3321" i="10"/>
  <c r="A3322" i="10"/>
  <c r="B3322" i="10"/>
  <c r="C3322" i="10"/>
  <c r="D3322" i="10"/>
  <c r="E3322" i="10"/>
  <c r="F3322" i="10"/>
  <c r="G3322" i="10"/>
  <c r="H3322" i="10"/>
  <c r="N1390" i="4"/>
  <c r="N1390" i="2"/>
  <c r="J1389" i="2"/>
  <c r="I1389" i="2"/>
  <c r="T3446" i="3" l="1"/>
  <c r="T3389" i="3"/>
  <c r="T3387" i="3"/>
  <c r="T3428" i="3"/>
  <c r="T3413" i="3"/>
  <c r="T3403" i="3"/>
  <c r="T3377" i="3"/>
  <c r="N1404" i="2"/>
  <c r="T3436" i="3"/>
  <c r="T3456" i="3"/>
  <c r="T3402" i="3"/>
  <c r="T3412" i="3"/>
  <c r="T3450" i="3"/>
  <c r="T3458" i="3"/>
  <c r="V3356" i="3"/>
  <c r="T3397" i="3"/>
  <c r="T3470" i="3"/>
  <c r="T3479" i="3"/>
  <c r="T3426" i="3"/>
  <c r="T3434" i="3"/>
  <c r="T3408" i="3"/>
  <c r="T3481" i="3"/>
  <c r="X3396" i="3"/>
  <c r="T3396" i="3" s="1"/>
  <c r="T3424" i="3"/>
  <c r="T3437" i="3"/>
  <c r="T3378" i="3"/>
  <c r="T3382" i="3"/>
  <c r="T3388" i="3"/>
  <c r="T3400" i="3"/>
  <c r="T3409" i="3"/>
  <c r="T3414" i="3"/>
  <c r="T3422" i="3"/>
  <c r="T3427" i="3"/>
  <c r="T3435" i="3"/>
  <c r="T3439" i="3"/>
  <c r="T3447" i="3"/>
  <c r="T3457" i="3"/>
  <c r="T3462" i="3"/>
  <c r="T3472" i="3"/>
  <c r="T3474" i="3"/>
  <c r="T3482" i="3"/>
  <c r="T3383" i="3"/>
  <c r="T3391" i="3"/>
  <c r="T3410" i="3"/>
  <c r="T3416" i="3"/>
  <c r="T3429" i="3"/>
  <c r="T3441" i="3"/>
  <c r="T3459" i="3"/>
  <c r="T3464" i="3"/>
  <c r="T3475" i="3"/>
  <c r="T3484" i="3"/>
  <c r="T3415" i="3"/>
  <c r="T3440" i="3"/>
  <c r="T3463" i="3"/>
  <c r="T3473" i="3"/>
  <c r="T3384" i="3"/>
  <c r="T3385" i="3"/>
  <c r="T3379" i="3"/>
  <c r="T3392" i="3"/>
  <c r="T3411" i="3"/>
  <c r="T3425" i="3"/>
  <c r="T3430" i="3"/>
  <c r="T3445" i="3"/>
  <c r="T3442" i="3"/>
  <c r="T3451" i="3"/>
  <c r="T3460" i="3"/>
  <c r="T3476" i="3"/>
  <c r="T3423" i="3"/>
  <c r="T3381" i="3"/>
  <c r="T3386" i="3"/>
  <c r="T3399" i="3"/>
  <c r="T3395" i="3"/>
  <c r="T3419" i="3"/>
  <c r="T3431" i="3"/>
  <c r="T3438" i="3"/>
  <c r="T3443" i="3"/>
  <c r="T3452" i="3"/>
  <c r="T3453" i="3"/>
  <c r="T3466" i="3"/>
  <c r="T3477" i="3"/>
  <c r="T3478" i="3"/>
  <c r="T3390" i="3"/>
  <c r="T3421" i="3"/>
  <c r="T3432" i="3"/>
  <c r="T3449" i="3"/>
  <c r="T3444" i="3"/>
  <c r="T3455" i="3"/>
  <c r="T3454" i="3"/>
  <c r="T3465" i="3"/>
  <c r="T3467" i="3"/>
  <c r="T3483" i="3"/>
  <c r="T3380" i="3"/>
  <c r="T3401" i="3"/>
  <c r="T3398" i="3"/>
  <c r="T3404" i="3"/>
  <c r="T3420" i="3"/>
  <c r="T3433" i="3"/>
  <c r="T3448" i="3"/>
  <c r="T3461" i="3"/>
  <c r="T3471" i="3"/>
  <c r="T3485" i="3"/>
  <c r="T3480" i="3"/>
  <c r="I1388" i="4"/>
  <c r="H1388" i="4" s="1"/>
  <c r="K1368" i="2"/>
  <c r="K1369" i="2"/>
  <c r="K1370" i="2"/>
  <c r="K1371" i="2"/>
  <c r="K1372" i="2"/>
  <c r="K1373" i="2"/>
  <c r="K1374" i="2"/>
  <c r="K1375" i="2"/>
  <c r="K1377" i="2"/>
  <c r="K1379" i="2"/>
  <c r="K1380" i="2"/>
  <c r="K1381" i="2"/>
  <c r="K1367" i="2"/>
  <c r="J1365" i="2"/>
  <c r="I1365" i="2"/>
  <c r="X3261" i="3"/>
  <c r="X3260" i="3"/>
  <c r="T3255" i="3"/>
  <c r="X3255" i="3" s="1"/>
  <c r="T3254" i="3"/>
  <c r="X3254" i="3" s="1"/>
  <c r="L3253" i="3"/>
  <c r="L3252" i="3"/>
  <c r="O1361" i="4"/>
  <c r="P1361" i="4" s="1"/>
  <c r="J3252" i="3" s="1"/>
  <c r="O3250" i="3"/>
  <c r="M3250" i="3"/>
  <c r="K3250" i="3"/>
  <c r="P1360" i="4"/>
  <c r="K3247" i="3"/>
  <c r="K3246" i="3"/>
  <c r="M3247" i="3"/>
  <c r="M3246" i="3"/>
  <c r="O3247" i="3"/>
  <c r="O3246" i="3"/>
  <c r="N1360" i="2"/>
  <c r="J3245" i="3"/>
  <c r="J3244" i="3"/>
  <c r="J3243" i="3"/>
  <c r="S3245" i="3"/>
  <c r="S3244" i="3"/>
  <c r="S3243" i="3"/>
  <c r="K1359" i="2"/>
  <c r="J1359" i="2"/>
  <c r="I1359" i="2"/>
  <c r="T3242" i="3"/>
  <c r="X3242" i="3" s="1"/>
  <c r="T3241" i="3"/>
  <c r="X3241" i="3" s="1"/>
  <c r="T3240" i="3"/>
  <c r="X3240" i="3" s="1"/>
  <c r="T3239" i="3"/>
  <c r="X3239" i="3" s="1"/>
  <c r="T3238" i="3"/>
  <c r="X3238" i="3" s="1"/>
  <c r="T3237" i="3"/>
  <c r="X3237" i="3" s="1"/>
  <c r="T3236" i="3"/>
  <c r="X3236" i="3" s="1"/>
  <c r="T3235" i="3"/>
  <c r="X3235" i="3" s="1"/>
  <c r="P3242" i="3"/>
  <c r="P3241" i="3"/>
  <c r="P3240" i="3"/>
  <c r="P3239" i="3"/>
  <c r="P3238" i="3"/>
  <c r="P3237" i="3"/>
  <c r="P3236" i="3"/>
  <c r="P3235" i="3"/>
  <c r="J3242" i="3"/>
  <c r="J3241" i="3"/>
  <c r="J3240" i="3"/>
  <c r="J3239" i="3"/>
  <c r="J3238" i="3"/>
  <c r="J3237" i="3"/>
  <c r="J3236" i="3"/>
  <c r="J3235" i="3"/>
  <c r="J1358" i="2"/>
  <c r="I1358" i="2"/>
  <c r="J1357" i="2"/>
  <c r="I1357" i="2"/>
  <c r="J1356" i="4"/>
  <c r="K1356" i="2" s="1"/>
  <c r="S3227" i="3" s="1"/>
  <c r="J1355" i="4"/>
  <c r="K1355" i="2" s="1"/>
  <c r="S3226" i="3" s="1"/>
  <c r="I1354" i="2"/>
  <c r="K1354" i="2"/>
  <c r="S3225" i="3" s="1"/>
  <c r="K1353" i="2"/>
  <c r="S3224" i="3" s="1"/>
  <c r="K1352" i="2"/>
  <c r="S3223" i="3" s="1"/>
  <c r="J1354" i="4"/>
  <c r="J1352" i="4"/>
  <c r="J1353" i="4"/>
  <c r="N1351" i="2"/>
  <c r="U3215" i="3"/>
  <c r="T3215" i="3"/>
  <c r="W3215" i="3" s="1"/>
  <c r="X3201" i="3"/>
  <c r="P1335" i="4"/>
  <c r="J1335" i="2"/>
  <c r="I1335" i="2"/>
  <c r="K1335" i="2"/>
  <c r="A3193" i="10"/>
  <c r="A3194" i="10"/>
  <c r="A3195" i="10"/>
  <c r="K1323" i="2"/>
  <c r="V3184" i="3"/>
  <c r="X3184" i="3" s="1"/>
  <c r="K1320" i="2"/>
  <c r="K1319" i="2"/>
  <c r="K1316" i="2"/>
  <c r="K1315" i="2"/>
  <c r="K1312" i="2"/>
  <c r="K1313" i="2"/>
  <c r="K1309" i="2"/>
  <c r="K1310" i="2"/>
  <c r="K1311" i="2"/>
  <c r="K1308" i="2"/>
  <c r="K1307" i="2"/>
  <c r="K1305" i="2"/>
  <c r="X3161" i="3"/>
  <c r="K1304" i="2"/>
  <c r="V3161" i="3"/>
  <c r="K1303" i="2"/>
  <c r="X3155" i="3"/>
  <c r="X3154" i="3"/>
  <c r="X3153" i="3"/>
  <c r="X3152" i="3"/>
  <c r="X3151" i="3"/>
  <c r="X3148" i="3"/>
  <c r="X3147" i="3"/>
  <c r="X3146" i="3"/>
  <c r="X3145" i="3"/>
  <c r="X3144" i="3"/>
  <c r="X3143" i="3"/>
  <c r="X3141" i="3"/>
  <c r="H1030"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22" i="3"/>
  <c r="X3122" i="3" s="1"/>
  <c r="V3121" i="3"/>
  <c r="X3121" i="3" s="1"/>
  <c r="V3124" i="3"/>
  <c r="X3124" i="3" s="1"/>
  <c r="V3123" i="3"/>
  <c r="X3123" i="3" s="1"/>
  <c r="V3120" i="3"/>
  <c r="X3120" i="3" s="1"/>
  <c r="V3119" i="3"/>
  <c r="X3119" i="3" s="1"/>
  <c r="V3118" i="3"/>
  <c r="X3118" i="3" s="1"/>
  <c r="V3117" i="3"/>
  <c r="X3117" i="3" s="1"/>
  <c r="R1291" i="4"/>
  <c r="R1290" i="4"/>
  <c r="Q1289" i="4"/>
  <c r="R1289" i="4"/>
  <c r="R1288" i="4"/>
  <c r="N1293" i="2"/>
  <c r="N1292" i="2"/>
  <c r="K1293" i="2"/>
  <c r="J3128" i="3" s="1"/>
  <c r="K1292" i="2"/>
  <c r="J3126" i="3" s="1"/>
  <c r="J1293" i="2"/>
  <c r="J1292" i="2"/>
  <c r="I1293" i="2"/>
  <c r="I1292" i="2"/>
  <c r="K1287" i="2"/>
  <c r="K1283" i="2"/>
  <c r="P3062" i="3"/>
  <c r="P3061" i="3"/>
  <c r="P3060" i="3"/>
  <c r="P3059" i="3"/>
  <c r="J3062" i="3"/>
  <c r="J3061" i="3"/>
  <c r="J3060" i="3"/>
  <c r="J3059" i="3"/>
  <c r="K1281" i="2"/>
  <c r="K1280" i="2"/>
  <c r="K1279" i="2"/>
  <c r="K1278" i="2"/>
  <c r="X3054" i="3"/>
  <c r="X3053" i="3"/>
  <c r="X3052" i="3"/>
  <c r="X3051" i="3"/>
  <c r="X3050" i="3"/>
  <c r="X3049" i="3"/>
  <c r="X3048" i="3"/>
  <c r="K1277" i="2"/>
  <c r="K1276" i="2"/>
  <c r="K1275" i="2"/>
  <c r="K1274" i="2"/>
  <c r="K1273" i="2"/>
  <c r="K1272" i="2"/>
  <c r="K1271" i="2"/>
  <c r="X3039" i="3"/>
  <c r="P3039" i="3"/>
  <c r="J2994" i="3"/>
  <c r="J2993" i="3"/>
  <c r="J2992" i="3"/>
  <c r="J2991" i="3"/>
  <c r="K1266" i="2"/>
  <c r="R1266" i="4" s="1"/>
  <c r="K1265" i="2"/>
  <c r="R1265" i="4" s="1"/>
  <c r="K1264" i="2"/>
  <c r="R1264" i="4" s="1"/>
  <c r="K1263" i="2"/>
  <c r="R1263" i="4" s="1"/>
  <c r="T3201" i="3" l="1"/>
  <c r="J3253" i="3"/>
  <c r="J3127" i="3"/>
  <c r="J3125" i="3"/>
  <c r="K1262" i="2" l="1"/>
  <c r="J1262" i="2"/>
  <c r="I1262" i="2"/>
  <c r="J1261" i="2"/>
  <c r="I1261" i="2"/>
  <c r="O1258" i="4"/>
  <c r="H1258" i="4"/>
  <c r="I1257" i="4"/>
  <c r="I1255" i="4"/>
  <c r="K1255" i="2" s="1"/>
  <c r="K1250" i="2"/>
  <c r="K1251" i="2"/>
  <c r="P1249" i="4"/>
  <c r="K1249" i="2"/>
  <c r="N1249" i="2" s="1"/>
  <c r="J2958" i="3"/>
  <c r="X2955" i="3"/>
  <c r="X2953" i="3"/>
  <c r="X2954" i="3"/>
  <c r="X2952" i="3"/>
  <c r="Q1239" i="4"/>
  <c r="R1239" i="4" s="1"/>
  <c r="Q1240" i="4"/>
  <c r="R1240" i="4" s="1"/>
  <c r="Q1241" i="4"/>
  <c r="R1241" i="4" s="1"/>
  <c r="Q1242" i="4"/>
  <c r="R1242" i="4" s="1"/>
  <c r="Q1238" i="4"/>
  <c r="R1238" i="4" s="1"/>
  <c r="R1234" i="4"/>
  <c r="R1235" i="4"/>
  <c r="R1236" i="4"/>
  <c r="R1237" i="4"/>
  <c r="R1233" i="4"/>
  <c r="J1232" i="2"/>
  <c r="I1232" i="2"/>
  <c r="H1231" i="4"/>
  <c r="H1230" i="4"/>
  <c r="H1229" i="4"/>
  <c r="H1228" i="4"/>
  <c r="H1227" i="4"/>
  <c r="H1226" i="4"/>
  <c r="H1225" i="4"/>
  <c r="H1224"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1" i="2"/>
  <c r="J1230" i="2"/>
  <c r="J1229" i="2"/>
  <c r="J1228" i="2"/>
  <c r="J1227" i="2"/>
  <c r="J1226" i="2"/>
  <c r="J1225" i="2"/>
  <c r="I1231" i="2"/>
  <c r="I1230" i="2"/>
  <c r="I1229" i="2"/>
  <c r="I1228" i="2"/>
  <c r="I1227" i="2"/>
  <c r="I1226" i="2"/>
  <c r="I1225" i="2"/>
  <c r="J1224" i="2"/>
  <c r="I1224" i="2"/>
  <c r="J1221" i="2"/>
  <c r="I1221" i="2"/>
  <c r="A2913" i="10" l="1"/>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49" i="10"/>
  <c r="B2949" i="10"/>
  <c r="C2949" i="10"/>
  <c r="D2949" i="10"/>
  <c r="E2949" i="10"/>
  <c r="F2949" i="10"/>
  <c r="G2949" i="10"/>
  <c r="H2949" i="10"/>
  <c r="A2950" i="10"/>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B3193" i="10"/>
  <c r="C3193" i="10"/>
  <c r="D3193" i="10"/>
  <c r="E3193" i="10"/>
  <c r="F3193" i="10"/>
  <c r="G3193" i="10"/>
  <c r="H3193" i="10"/>
  <c r="B3194" i="10"/>
  <c r="C3194" i="10"/>
  <c r="D3194" i="10"/>
  <c r="E3194" i="10"/>
  <c r="F3194" i="10"/>
  <c r="G3194" i="10"/>
  <c r="H3194"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3" i="10"/>
  <c r="B3323" i="10"/>
  <c r="C3323" i="10"/>
  <c r="D3323" i="10"/>
  <c r="E3323" i="10"/>
  <c r="F3323" i="10"/>
  <c r="G3323" i="10"/>
  <c r="H3323"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6"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B3531" i="10"/>
  <c r="C3531" i="10"/>
  <c r="D3531" i="10"/>
  <c r="E3531" i="10"/>
  <c r="F3531" i="10"/>
  <c r="G3531" i="10"/>
  <c r="H3531" i="10"/>
  <c r="C3532" i="10"/>
  <c r="D3532" i="10"/>
  <c r="E3532" i="10"/>
  <c r="F3532" i="10"/>
  <c r="G3532" i="10"/>
  <c r="H3532" i="10"/>
  <c r="C3533" i="10"/>
  <c r="D3533" i="10"/>
  <c r="E3533" i="10"/>
  <c r="F3533" i="10"/>
  <c r="G3533" i="10"/>
  <c r="H3533" i="10"/>
  <c r="A3534" i="10"/>
  <c r="C3534" i="10"/>
  <c r="D3534" i="10"/>
  <c r="E3534" i="10"/>
  <c r="F3534" i="10"/>
  <c r="G3534" i="10"/>
  <c r="H3534" i="10"/>
  <c r="A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A3576" i="10"/>
  <c r="B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U2388" i="3" l="1"/>
  <c r="U2387" i="3"/>
  <c r="U2386" i="3"/>
  <c r="U2385" i="3"/>
  <c r="U2383" i="3"/>
  <c r="U2384" i="3"/>
  <c r="X2500" i="3" l="1"/>
  <c r="T2500" i="3"/>
  <c r="J2500" i="3" s="1"/>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J2473" i="3"/>
  <c r="J2471" i="3"/>
  <c r="J2469" i="3"/>
  <c r="J2467" i="3"/>
  <c r="X2463" i="3"/>
  <c r="P2463" i="3" s="1"/>
  <c r="J2463" i="3"/>
  <c r="J2464" i="3" s="1"/>
  <c r="Z2493" i="10" l="1"/>
  <c r="Z2494" i="10"/>
  <c r="Z2495" i="10"/>
  <c r="Z2496" i="10"/>
  <c r="X2493" i="10"/>
  <c r="Y2493" i="10"/>
  <c r="X2494" i="10"/>
  <c r="Y2494" i="10"/>
  <c r="X2495" i="10"/>
  <c r="Y2495" i="10"/>
  <c r="X2496" i="10"/>
  <c r="Y2496" i="10"/>
  <c r="A2496" i="10"/>
  <c r="B2496" i="10"/>
  <c r="C2496" i="10"/>
  <c r="D2496" i="10"/>
  <c r="E2496" i="10"/>
  <c r="F2496" i="10"/>
  <c r="G2496" i="10"/>
  <c r="H2496" i="10"/>
  <c r="E2495" i="10"/>
  <c r="E2492" i="10"/>
  <c r="A2493" i="10"/>
  <c r="B2493" i="10"/>
  <c r="C2493" i="10"/>
  <c r="D2493" i="10"/>
  <c r="E2493" i="10"/>
  <c r="F2493" i="10"/>
  <c r="G2493" i="10"/>
  <c r="H2493" i="10"/>
  <c r="T2495" i="3"/>
  <c r="P2495" i="3" s="1"/>
  <c r="T2494" i="3"/>
  <c r="P2494" i="3" s="1"/>
  <c r="T2491" i="3"/>
  <c r="P2491" i="3" s="1"/>
  <c r="T2492" i="3"/>
  <c r="P2492" i="3" s="1"/>
  <c r="R1054" i="4"/>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T2844" i="3"/>
  <c r="T2843" i="3"/>
  <c r="X2843" i="3" s="1"/>
  <c r="X2491" i="3" l="1"/>
  <c r="X2494" i="3"/>
  <c r="X2495" i="3"/>
  <c r="X2492" i="3"/>
  <c r="X2844" i="3"/>
  <c r="J1150" i="2"/>
  <c r="I1150" i="2"/>
  <c r="K1217" i="2"/>
  <c r="K1216" i="2"/>
  <c r="K1215" i="2"/>
  <c r="K1214" i="2"/>
  <c r="K1213" i="2"/>
  <c r="K1212"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211" i="2"/>
  <c r="C2838" i="10"/>
  <c r="D2838" i="10"/>
  <c r="E2838" i="10"/>
  <c r="F2838" i="10"/>
  <c r="G2838" i="10"/>
  <c r="H2838" i="10"/>
  <c r="A2838" i="10"/>
  <c r="B2838" i="10"/>
  <c r="A2836" i="10"/>
  <c r="B2836" i="10"/>
  <c r="C2836" i="10"/>
  <c r="D2836" i="10"/>
  <c r="E2836" i="10"/>
  <c r="F2836" i="10"/>
  <c r="G2836" i="10"/>
  <c r="H2836" i="10"/>
  <c r="A2837" i="10"/>
  <c r="B2837" i="10"/>
  <c r="C2837" i="10"/>
  <c r="D2837" i="10"/>
  <c r="E2837" i="10"/>
  <c r="F2837" i="10"/>
  <c r="G2837" i="10"/>
  <c r="H2837"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X2836" i="3"/>
  <c r="X2806" i="3"/>
  <c r="X2805" i="3"/>
  <c r="X2804" i="3"/>
  <c r="X2788" i="3"/>
  <c r="X2787" i="3"/>
  <c r="X2786" i="3"/>
  <c r="X2770" i="3"/>
  <c r="X2769" i="3"/>
  <c r="X2768" i="3"/>
  <c r="X2752" i="3"/>
  <c r="X2751" i="3"/>
  <c r="X2750" i="3"/>
  <c r="X2734" i="3"/>
  <c r="X2733" i="3"/>
  <c r="X2732" i="3"/>
  <c r="X2716" i="3"/>
  <c r="X2715" i="3"/>
  <c r="X2714" i="3"/>
  <c r="X2698" i="3"/>
  <c r="X2697" i="3"/>
  <c r="X2696" i="3"/>
  <c r="X2644" i="3"/>
  <c r="X2643" i="3"/>
  <c r="X2642" i="3"/>
  <c r="X2680" i="3"/>
  <c r="X2679" i="3"/>
  <c r="X2678" i="3"/>
  <c r="X2818" i="3"/>
  <c r="X2819" i="3"/>
  <c r="X2820" i="3"/>
  <c r="X2821" i="3"/>
  <c r="X2822" i="3"/>
  <c r="X2823" i="3"/>
  <c r="X2824" i="3"/>
  <c r="X2825" i="3"/>
  <c r="X2826" i="3"/>
  <c r="X2662" i="3"/>
  <c r="X2661" i="3"/>
  <c r="X2660" i="3"/>
  <c r="X2827" i="3"/>
  <c r="X2828" i="3"/>
  <c r="X2829" i="3"/>
  <c r="X2830" i="3"/>
  <c r="X2831" i="3"/>
  <c r="X2832" i="3"/>
  <c r="X2833" i="3"/>
  <c r="X2834" i="3"/>
  <c r="X2835" i="3"/>
  <c r="T2817" i="3"/>
  <c r="X2817" i="3" s="1"/>
  <c r="T2816" i="3"/>
  <c r="X2816" i="3" s="1"/>
  <c r="T2815" i="3"/>
  <c r="X2815" i="3" s="1"/>
  <c r="T2814" i="3"/>
  <c r="X2814" i="3" s="1"/>
  <c r="T2813" i="3"/>
  <c r="X2813" i="3" s="1"/>
  <c r="T2812" i="3"/>
  <c r="X2812" i="3" s="1"/>
  <c r="T2811" i="3"/>
  <c r="X2811" i="3" s="1"/>
  <c r="T2810" i="3"/>
  <c r="X2810" i="3" s="1"/>
  <c r="T2809" i="3"/>
  <c r="X2809" i="3" s="1"/>
  <c r="T2808" i="3"/>
  <c r="X2808" i="3" s="1"/>
  <c r="T2807" i="3"/>
  <c r="X2807"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9" i="3"/>
  <c r="X2789"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71" i="3"/>
  <c r="X2771"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3" i="3"/>
  <c r="X2753"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5" i="3"/>
  <c r="X2735"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7" i="3"/>
  <c r="X2717"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9" i="3"/>
  <c r="X2699"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81" i="3"/>
  <c r="X2681" i="3" s="1"/>
  <c r="T2677" i="3"/>
  <c r="X2677" i="3" s="1"/>
  <c r="T2676" i="3"/>
  <c r="X2676" i="3" s="1"/>
  <c r="T2675" i="3"/>
  <c r="X2675" i="3" s="1"/>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59" i="3"/>
  <c r="X2659" i="3" s="1"/>
  <c r="T2658" i="3"/>
  <c r="X2658" i="3" s="1"/>
  <c r="T2657" i="3"/>
  <c r="X2657" i="3" s="1"/>
  <c r="T2656" i="3"/>
  <c r="X2656" i="3" s="1"/>
  <c r="T2655" i="3"/>
  <c r="X2655"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1" i="3"/>
  <c r="X2641" i="3" s="1"/>
  <c r="T2640" i="3"/>
  <c r="X2640" i="3" s="1"/>
  <c r="T2639" i="3"/>
  <c r="X2639" i="3" s="1"/>
  <c r="T2638" i="3"/>
  <c r="X2638" i="3" s="1"/>
  <c r="I2552" i="10"/>
  <c r="I2553"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4" i="3"/>
  <c r="X2624" i="3" s="1"/>
  <c r="T2623" i="3"/>
  <c r="X2623" i="3" s="1"/>
  <c r="T2618" i="3"/>
  <c r="X2618" i="3" s="1"/>
  <c r="T2622" i="3"/>
  <c r="X2622" i="3" s="1"/>
  <c r="T2621" i="3"/>
  <c r="X2621" i="3" s="1"/>
  <c r="T2620" i="3"/>
  <c r="X2620" i="3" s="1"/>
  <c r="T2619" i="3"/>
  <c r="X2619" i="3" s="1"/>
  <c r="T2617" i="3"/>
  <c r="X2617" i="3" s="1"/>
  <c r="T2616" i="3"/>
  <c r="X2616" i="3" s="1"/>
  <c r="T2615" i="3"/>
  <c r="X2615" i="3" s="1"/>
  <c r="T2614" i="3"/>
  <c r="X2614" i="3" s="1"/>
  <c r="T2613" i="3"/>
  <c r="X2613" i="3" s="1"/>
  <c r="T2612" i="3"/>
  <c r="X2612" i="3" s="1"/>
  <c r="T2611" i="3"/>
  <c r="X2611" i="3" s="1"/>
  <c r="T2610" i="3"/>
  <c r="X2610" i="3" s="1"/>
  <c r="T2609" i="3"/>
  <c r="X2609" i="3" s="1"/>
  <c r="T2608" i="3"/>
  <c r="X2608" i="3" s="1"/>
  <c r="T2607" i="3"/>
  <c r="X2607" i="3" s="1"/>
  <c r="T2606" i="3"/>
  <c r="X2606" i="3" s="1"/>
  <c r="T2605" i="3"/>
  <c r="X2605" i="3" s="1"/>
  <c r="T2604" i="3"/>
  <c r="X2604" i="3" s="1"/>
  <c r="T2603" i="3"/>
  <c r="X2603" i="3" s="1"/>
  <c r="T2602" i="3"/>
  <c r="X2602" i="3" s="1"/>
  <c r="T2601" i="3"/>
  <c r="X2601" i="3" s="1"/>
  <c r="T2600" i="3"/>
  <c r="X2600" i="3" s="1"/>
  <c r="T2599" i="3"/>
  <c r="X2599" i="3" s="1"/>
  <c r="T2598" i="3"/>
  <c r="X2598" i="3" s="1"/>
  <c r="T2597" i="3"/>
  <c r="X2597" i="3" s="1"/>
  <c r="T2596" i="3"/>
  <c r="X2596" i="3" s="1"/>
  <c r="T2595" i="3"/>
  <c r="X2595" i="3" s="1"/>
  <c r="T2594" i="3"/>
  <c r="X2594" i="3" s="1"/>
  <c r="T2593" i="3"/>
  <c r="X2593" i="3" s="1"/>
  <c r="T2592" i="3"/>
  <c r="X2592" i="3" s="1"/>
  <c r="T2591" i="3"/>
  <c r="X2591" i="3" s="1"/>
  <c r="T2590" i="3"/>
  <c r="X2590" i="3" s="1"/>
  <c r="T2589" i="3"/>
  <c r="X2589" i="3" s="1"/>
  <c r="T2588" i="3"/>
  <c r="X2588" i="3" s="1"/>
  <c r="T2584" i="3"/>
  <c r="X2584" i="3" s="1"/>
  <c r="T2579" i="3"/>
  <c r="X2579" i="3" s="1"/>
  <c r="T2574" i="3"/>
  <c r="X2574" i="3" s="1"/>
  <c r="T2569" i="3"/>
  <c r="X2569" i="3" s="1"/>
  <c r="T2564" i="3"/>
  <c r="X2564" i="3" s="1"/>
  <c r="T2587" i="3"/>
  <c r="X2587" i="3" s="1"/>
  <c r="T2586" i="3"/>
  <c r="X2586" i="3" s="1"/>
  <c r="T2585" i="3"/>
  <c r="X2585" i="3" s="1"/>
  <c r="T2583" i="3"/>
  <c r="X2583" i="3" s="1"/>
  <c r="T2582" i="3"/>
  <c r="X2582" i="3" s="1"/>
  <c r="T2581" i="3"/>
  <c r="X2581" i="3" s="1"/>
  <c r="T2580" i="3"/>
  <c r="X2580" i="3" s="1"/>
  <c r="T2578" i="3"/>
  <c r="X2578" i="3" s="1"/>
  <c r="T2577" i="3"/>
  <c r="X2577" i="3" s="1"/>
  <c r="T2576" i="3"/>
  <c r="X2576" i="3" s="1"/>
  <c r="T2575" i="3"/>
  <c r="X2575" i="3" s="1"/>
  <c r="T2573" i="3"/>
  <c r="X2573" i="3" s="1"/>
  <c r="T2572" i="3"/>
  <c r="X2572" i="3" s="1"/>
  <c r="T2571" i="3"/>
  <c r="X2571" i="3" s="1"/>
  <c r="T2570" i="3"/>
  <c r="X2570" i="3" s="1"/>
  <c r="T2568" i="3"/>
  <c r="X2568" i="3" s="1"/>
  <c r="T2567" i="3"/>
  <c r="X2567" i="3" s="1"/>
  <c r="T2566" i="3"/>
  <c r="X2566" i="3" s="1"/>
  <c r="T2565" i="3"/>
  <c r="X2565" i="3" s="1"/>
  <c r="T2563" i="3"/>
  <c r="X2563" i="3" s="1"/>
  <c r="W2550" i="3"/>
  <c r="K1110" i="2"/>
  <c r="X2545" i="3" s="1"/>
  <c r="A2538" i="10"/>
  <c r="B2538" i="10"/>
  <c r="C2538" i="10"/>
  <c r="D2538" i="10"/>
  <c r="E2538" i="10"/>
  <c r="F2538" i="10"/>
  <c r="G2538" i="10"/>
  <c r="H2538" i="10"/>
  <c r="H1079" i="4"/>
  <c r="H1078" i="4"/>
  <c r="K1070" i="2"/>
  <c r="J1069" i="2"/>
  <c r="I1069" i="2"/>
  <c r="K1069" i="2"/>
  <c r="I1064" i="2" l="1"/>
  <c r="J1064" i="2"/>
  <c r="K1064" i="2"/>
  <c r="X2515" i="3"/>
  <c r="V2515" i="3"/>
  <c r="K1063" i="2"/>
  <c r="K1062" i="2"/>
  <c r="K1060" i="2"/>
  <c r="X2507" i="3" s="1"/>
  <c r="J1060" i="2"/>
  <c r="I1060" i="2"/>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G2524" i="10"/>
  <c r="H2524" i="10"/>
  <c r="A2525" i="10"/>
  <c r="B2525" i="10"/>
  <c r="C2525" i="10"/>
  <c r="D2525" i="10"/>
  <c r="E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H2528" i="10"/>
  <c r="A2529" i="10"/>
  <c r="B2529" i="10"/>
  <c r="C2529" i="10"/>
  <c r="D2529" i="10"/>
  <c r="E2529" i="10"/>
  <c r="F2529" i="10"/>
  <c r="H2529"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K1059" i="2"/>
  <c r="Q1059" i="4" s="1"/>
  <c r="J1058" i="2"/>
  <c r="I1058" i="2"/>
  <c r="Z2461" i="10"/>
  <c r="Z2462" i="10"/>
  <c r="Z2463" i="10"/>
  <c r="Z2464" i="10"/>
  <c r="Z2465" i="10"/>
  <c r="Z2466" i="10"/>
  <c r="Z2467" i="10"/>
  <c r="Z2468" i="10"/>
  <c r="Z2469" i="10"/>
  <c r="Z2470" i="10"/>
  <c r="Z2471" i="10"/>
  <c r="Z2472" i="10"/>
  <c r="Z2473" i="10"/>
  <c r="Z2474" i="10"/>
  <c r="Z2475" i="10"/>
  <c r="Z2476" i="10"/>
  <c r="Z2491" i="10"/>
  <c r="Z2492" i="10"/>
  <c r="Z2497" i="10"/>
  <c r="Z2498" i="10"/>
  <c r="Z2499" i="10"/>
  <c r="Z2500" i="10"/>
  <c r="Z2501" i="10"/>
  <c r="Z2502" i="10"/>
  <c r="X2462" i="10"/>
  <c r="Y2462" i="10"/>
  <c r="X2463" i="10"/>
  <c r="Y2463" i="10"/>
  <c r="X2464" i="10"/>
  <c r="Y2464" i="10"/>
  <c r="X2465" i="10"/>
  <c r="Y2465" i="10"/>
  <c r="X2466" i="10"/>
  <c r="Y2466" i="10"/>
  <c r="X2467" i="10"/>
  <c r="Y2467" i="10"/>
  <c r="X2468" i="10"/>
  <c r="Y2468" i="10"/>
  <c r="X2469" i="10"/>
  <c r="Y2469" i="10"/>
  <c r="X2470" i="10"/>
  <c r="Y2470" i="10"/>
  <c r="X2471" i="10"/>
  <c r="Y2471" i="10"/>
  <c r="X2472" i="10"/>
  <c r="Y2472" i="10"/>
  <c r="X2473" i="10"/>
  <c r="Y2473" i="10"/>
  <c r="X2474" i="10"/>
  <c r="Y2474" i="10"/>
  <c r="X2475" i="10"/>
  <c r="Y2475" i="10"/>
  <c r="X2476" i="10"/>
  <c r="Y2476" i="10"/>
  <c r="X2491" i="10"/>
  <c r="Y2491" i="10"/>
  <c r="X2492" i="10"/>
  <c r="Y2492" i="10"/>
  <c r="X2497" i="10"/>
  <c r="Y2497" i="10"/>
  <c r="X2498" i="10"/>
  <c r="Y2498" i="10"/>
  <c r="X2499" i="10"/>
  <c r="Y2499" i="10"/>
  <c r="X2500" i="10"/>
  <c r="Y2500" i="10"/>
  <c r="X2501" i="10"/>
  <c r="Y2501" i="10"/>
  <c r="X2502" i="10"/>
  <c r="Y2502" i="10"/>
  <c r="Y2461" i="10"/>
  <c r="X2461"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08" i="3" l="1"/>
  <c r="O1060" i="4"/>
  <c r="R1060" i="4" s="1"/>
  <c r="V2509" i="3" s="1"/>
  <c r="K990" i="2"/>
  <c r="J2316" i="3" s="1"/>
  <c r="J2318" i="3" s="1"/>
  <c r="X2509" i="3"/>
  <c r="S1060" i="4"/>
  <c r="J2369" i="3"/>
  <c r="J2368" i="3"/>
  <c r="O1059" i="4"/>
  <c r="R1059"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91" i="10"/>
  <c r="B2491" i="10"/>
  <c r="C2491" i="10"/>
  <c r="D2491" i="10"/>
  <c r="E2491" i="10"/>
  <c r="F2491" i="10"/>
  <c r="G2491" i="10"/>
  <c r="H2491" i="10"/>
  <c r="A2492" i="10"/>
  <c r="B2492" i="10"/>
  <c r="C2492" i="10"/>
  <c r="D2492" i="10"/>
  <c r="F2492" i="10"/>
  <c r="G2492" i="10"/>
  <c r="H2492" i="10"/>
  <c r="A2494" i="10"/>
  <c r="B2494" i="10"/>
  <c r="C2494" i="10"/>
  <c r="D2494" i="10"/>
  <c r="E2494" i="10"/>
  <c r="F2494" i="10"/>
  <c r="G2494" i="10"/>
  <c r="H2494" i="10"/>
  <c r="A2495" i="10"/>
  <c r="B2495" i="10"/>
  <c r="C2495" i="10"/>
  <c r="D2495" i="10"/>
  <c r="F2495" i="10"/>
  <c r="G2495" i="10"/>
  <c r="H2495"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F2307" i="10"/>
  <c r="G2307" i="10"/>
  <c r="H2307" i="10"/>
  <c r="A2308" i="10"/>
  <c r="B2308" i="10"/>
  <c r="C2308" i="10"/>
  <c r="D2308" i="10"/>
  <c r="F2308" i="10"/>
  <c r="G2308" i="10"/>
  <c r="H2308" i="10"/>
  <c r="A2309" i="10"/>
  <c r="B2309" i="10"/>
  <c r="C2309" i="10"/>
  <c r="D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F2306" i="10"/>
  <c r="B2310" i="10"/>
  <c r="C2310" i="10"/>
  <c r="D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24" i="10" l="1"/>
  <c r="F2525" i="10"/>
  <c r="G2528" i="10"/>
  <c r="G2529" i="10"/>
</calcChain>
</file>

<file path=xl/sharedStrings.xml><?xml version="1.0" encoding="utf-8"?>
<sst xmlns="http://schemas.openxmlformats.org/spreadsheetml/2006/main" count="231299" uniqueCount="9888">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</sst>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00000"/>
    <numFmt numFmtId="166" formatCode="0.0_ "/>
    <numFmt numFmtId="167" formatCode="0.00_ "/>
    <numFmt numFmtId="168" formatCode="0.000_ "/>
    <numFmt numFmtId="169" formatCode="0.0000"/>
  </numFmts>
  <fonts count="28">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43">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0" fontId="0" fillId="3" borderId="4" xfId="0" applyFill="1" applyBorder="1" applyAlignment="1">
      <alignment horizontal="left" wrapText="1"/>
    </xf>
    <xf numFmtId="0" fontId="3" fillId="3" borderId="4" xfId="1" applyFill="1" applyBorder="1" applyAlignment="1">
      <alignment wrapText="1"/>
    </xf>
    <xf numFmtId="164" fontId="0" fillId="3" borderId="4" xfId="0" applyNumberFormat="1" applyFill="1" applyBorder="1"/>
    <xf numFmtId="164" fontId="0" fillId="3" borderId="4" xfId="0" applyNumberFormat="1" applyFill="1" applyBorder="1" applyAlignment="1">
      <alignment wrapText="1"/>
    </xf>
    <xf numFmtId="164" fontId="12" fillId="0" borderId="4" xfId="0" applyNumberFormat="1" applyFont="1" applyBorder="1" applyAlignment="1">
      <alignment wrapText="1"/>
    </xf>
    <xf numFmtId="0" fontId="3" fillId="3" borderId="4" xfId="1" applyFill="1" applyBorder="1"/>
    <xf numFmtId="164" fontId="23" fillId="3" borderId="4" xfId="0" applyNumberFormat="1" applyFont="1" applyFill="1" applyBorder="1"/>
    <xf numFmtId="0" fontId="0" fillId="3" borderId="5" xfId="0" applyFont="1" applyFill="1" applyBorder="1" applyAlignment="1" applyProtection="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0" fontId="0" fillId="0" borderId="6" xfId="0" applyFont="1" applyFill="1" applyBorder="1" applyAlignment="1">
      <alignment horizontal="left" wrapText="1"/>
    </xf>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10" fillId="0" borderId="0" xfId="0" applyFont="1" applyFill="1" applyAlignment="1">
      <alignment wrapText="1"/>
    </xf>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1119" Type="http://schemas.openxmlformats.org/officeDocument/2006/relationships/hyperlink" Target="https://www.jstor.org/stable/4358237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357" Type="http://schemas.openxmlformats.org/officeDocument/2006/relationships/hyperlink" Target="https://pubmed.ncbi.nlm.nih.gov/15748801/" TargetMode="External"/><Relationship Id="rId1110" Type="http://schemas.openxmlformats.org/officeDocument/2006/relationships/hyperlink" Target="https://doi.org/10.1080/03056244.2015.1085381"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www.jstor.org/stable/43582372"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1143" Type="http://schemas.openxmlformats.org/officeDocument/2006/relationships/hyperlink" Target="https://doi.org/10.1080/19376812.2012.75901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7" Type="http://schemas.openxmlformats.org/officeDocument/2006/relationships/hyperlink" Target="http://www.pnas.orgcgidoi10.1073pnas.0900991106/"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s://royalsocietypublishing.org/doi/10.1098/rstb.2007.2203"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article/10.1007/s11027-006-9039-4"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advances.sciencemag.org/content/advances/4/11/eaat2993.full.pdf"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s://journals.plos.org/plosone/article/file?id=10.1371/journal.pone.0029212&amp;type=printable"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jstor.org/stable/pdf/2765419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nb.info/104264179X/34"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jstage.jst.go.jp/article/jsta/58/4/58_155/_pdf/-char/ja" TargetMode="External"/><Relationship Id="rId1118" Type="http://schemas.openxmlformats.org/officeDocument/2006/relationships/hyperlink" Target="https://www.jstor.org/stable/43582372"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46" Type="http://schemas.openxmlformats.org/officeDocument/2006/relationships/hyperlink" Target="https://www.mdpi.com/1999-4907/7/10/237" TargetMode="External"/><Relationship Id="rId888"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1129" Type="http://schemas.openxmlformats.org/officeDocument/2006/relationships/hyperlink" Target="https://link.springer.com/book/10.1007/978-81-322-1662-9"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748" Type="http://schemas.openxmlformats.org/officeDocument/2006/relationships/hyperlink" Target="https://www.pnas.org/content/pnas/103/39/14637.full.pdf"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5" Type="http://schemas.openxmlformats.org/officeDocument/2006/relationships/hyperlink" Target="https://digitalcommons.usu.edu/hwi/vol12/iss1/" TargetMode="External"/><Relationship Id="rId1140" Type="http://schemas.openxmlformats.org/officeDocument/2006/relationships/hyperlink" Target="https://onlinelibrary.wiley.com/doi/full/10.1111/j.1744-7429.2009.00495.x?dmmsuid=0&amp;dmmspid=0&amp;dmmsmid=0"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997" Type="http://schemas.openxmlformats.org/officeDocument/2006/relationships/hyperlink" Target="https://doi.org/10.1016/j.enpol.2019.110882"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42" Type="http://schemas.openxmlformats.org/officeDocument/2006/relationships/hyperlink" Target="https://link.springer.com/article/10.1007/s11842-015-9311-0" TargetMode="External"/><Relationship Id="rId1084" Type="http://schemas.openxmlformats.org/officeDocument/2006/relationships/hyperlink" Target="https://www.tandfonline.com/doi/pdf/10.1080/08941920.2014.905894?needAccess=true&amp;instName=King%27s+College+London"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661" Type="http://schemas.openxmlformats.org/officeDocument/2006/relationships/hyperlink" Target="http://www.sandeeonline.org/uploads/documents/publication/962_PUB_Working_Paper_66_Ridhima_Gupta.pdf" TargetMode="External"/><Relationship Id="rId717" Type="http://schemas.openxmlformats.org/officeDocument/2006/relationships/hyperlink" Target="https://www.sciencedirect.com/science/article/pii/S0301479799903353"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24" Type="http://schemas.openxmlformats.org/officeDocument/2006/relationships/hyperlink" Target="https://www.sciencedirect.com/science/article/pii/S0301479713005586?via%3Dihub" TargetMode="External"/><Relationship Id="rId966" Type="http://schemas.openxmlformats.org/officeDocument/2006/relationships/hyperlink" Target="https://www.jstor.org/stable/pdf/27654196.pdf"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770" Type="http://schemas.openxmlformats.org/officeDocument/2006/relationships/hyperlink" Target="https://www.researchgate.net/publication/256645443_Grazing_Systems_and_Biodiversity_in_Mediterranean_Areas_Spain_Italy_and_Greece"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26" Type="http://schemas.openxmlformats.org/officeDocument/2006/relationships/hyperlink" Target="https://www.researchgate.net/publication/311487251" TargetMode="External"/><Relationship Id="rId868" Type="http://schemas.openxmlformats.org/officeDocument/2006/relationships/hyperlink" Target="https://www.mdpi.com/1999-4907/7/10/237" TargetMode="External"/><Relationship Id="rId1011" Type="http://schemas.openxmlformats.org/officeDocument/2006/relationships/hyperlink" Target="https://www.sciencedirect.com/science/article/pii/S0167880996010997" TargetMode="External"/><Relationship Id="rId1053" Type="http://schemas.openxmlformats.org/officeDocument/2006/relationships/hyperlink" Target="https://link.springer.com/content/pdf/10.1007/s13143-013-0015-0.pdf" TargetMode="External"/><Relationship Id="rId1109"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30" Type="http://schemas.openxmlformats.org/officeDocument/2006/relationships/hyperlink" Target="https://link.springer.com/article/10.1186/s42408-019-0041-0" TargetMode="External"/><Relationship Id="rId672" Type="http://schemas.openxmlformats.org/officeDocument/2006/relationships/hyperlink" Target="https://doi.org/10.1080/19460171.2020.1724168"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095" Type="http://schemas.openxmlformats.org/officeDocument/2006/relationships/hyperlink" Target="http://www.pnas.orgcgidoi10.1073pnas.0900991106/"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977" Type="http://schemas.openxmlformats.org/officeDocument/2006/relationships/hyperlink" Target="http://reap-canada.com/library/IntDev/8%20Strategies%20to%20Avoid%20Crop%20Residue%20Burning%20in%20the%20Philippine%20Context%20(1999).htm" TargetMode="External"/><Relationship Id="rId1120" Type="http://schemas.openxmlformats.org/officeDocument/2006/relationships/hyperlink" Target="https://www.jstor.org/stable/43582372"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37" Type="http://schemas.openxmlformats.org/officeDocument/2006/relationships/hyperlink" Target="https://www.mdpi.com/1999-4907/7/10/237" TargetMode="External"/><Relationship Id="rId879"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641" Type="http://schemas.openxmlformats.org/officeDocument/2006/relationships/hyperlink" Target="https://www.ncbi.nlm.nih.gov/pmc/articles/PMC6163030/" TargetMode="External"/><Relationship Id="rId683" Type="http://schemas.openxmlformats.org/officeDocument/2006/relationships/hyperlink" Target="https://doi.org/10.1007/s11625-018-0592-z" TargetMode="External"/><Relationship Id="rId739" Type="http://schemas.openxmlformats.org/officeDocument/2006/relationships/hyperlink" Target="https://www.witpress.com/elibrary/wit-transactions-on-ecology-and-the-environment/137/21150"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064" Type="http://schemas.openxmlformats.org/officeDocument/2006/relationships/hyperlink" Target="https://linkinghub.elsevier.com/retrieve/pii/S0921818116302090"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946" Type="http://schemas.openxmlformats.org/officeDocument/2006/relationships/hyperlink" Target="https://pdfs.semanticscholar.org/ad35/96c82623cf33cb44dda5d20f40837b915c92.pdf" TargetMode="External"/><Relationship Id="rId988" Type="http://schemas.openxmlformats.org/officeDocument/2006/relationships/hyperlink" Target="https://insidecostarica.com/dailynews/2011/april/11/costarica11041103.htm" TargetMode="External"/><Relationship Id="rId1131" Type="http://schemas.openxmlformats.org/officeDocument/2006/relationships/hyperlink" Target="https://advances.sciencemag.org/content/advances/4/11/eaat2993.full.pdf"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750" Type="http://schemas.openxmlformats.org/officeDocument/2006/relationships/hyperlink" Target="http://dx.doi.org/10.1071/RJ12095"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52" Type="http://schemas.openxmlformats.org/officeDocument/2006/relationships/hyperlink" Target="http://www2.fire.uni-freiburg.de/sevilla-2007/contributions/doc/cd/SESIONES_TEMATICAS/ST2/Velez_SPAIN_DGB_ExpeEnglish.pdf"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075" Type="http://schemas.openxmlformats.org/officeDocument/2006/relationships/hyperlink" Target="https://www.conaf.cl/incendios-forestales/incendios-forestales-en-chile/estadisticas-historicas/"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www.ecologyandsociety.org/vol9/iss1/art15" TargetMode="External"/><Relationship Id="rId1142" Type="http://schemas.openxmlformats.org/officeDocument/2006/relationships/hyperlink" Target="https://onlinelibrary.wiley.com/doi/full/10.1111/j.1744-7429.2009.00495.x?dmmsuid=0&amp;dmmspid=0&amp;dmmsmid=0"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17" Type="http://schemas.openxmlformats.org/officeDocument/2006/relationships/hyperlink" Target="https://www.researchgate.net/publication/311487251" TargetMode="External"/><Relationship Id="rId859" Type="http://schemas.openxmlformats.org/officeDocument/2006/relationships/hyperlink" Target="https://www.mdpi.com/1999-4907/7/10/237"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44" Type="http://schemas.openxmlformats.org/officeDocument/2006/relationships/hyperlink" Target="https://doi.org/10.1016/j.gloenvcha.2020.102096" TargetMode="External"/><Relationship Id="rId1086" Type="http://schemas.openxmlformats.org/officeDocument/2006/relationships/hyperlink" Target="http://www.pnas.orgcgidoi10.1073pnas.0900991106/"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1111" Type="http://schemas.openxmlformats.org/officeDocument/2006/relationships/hyperlink" Target="https://doi.org/10.1080/03056244.2015.1085381"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30" Type="http://schemas.openxmlformats.org/officeDocument/2006/relationships/hyperlink" Target="https://www.sciencedirect.com/science/article/pii/S0301479799903353" TargetMode="External"/><Relationship Id="rId772" Type="http://schemas.openxmlformats.org/officeDocument/2006/relationships/hyperlink" Target="https://www.researchgate.net/publication/256645443_Grazing_Systems_and_Biodiversity_in_Mediterranean_Areas_Spain_Italy_and_Greece"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097" Type="http://schemas.openxmlformats.org/officeDocument/2006/relationships/hyperlink" Target="https://royalsocietypublishing.org/doi/10.1098/rstb.2007.2203" TargetMode="External"/><Relationship Id="rId271" Type="http://schemas.openxmlformats.org/officeDocument/2006/relationships/hyperlink" Target="https://link.springer.com/article/10.1007/s10457-011-9469-1"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37" Type="http://schemas.openxmlformats.org/officeDocument/2006/relationships/hyperlink" Target="https://link.springer.com/content/pdf/10.1007/s11258-008-9459-1.pdf" TargetMode="External"/><Relationship Id="rId979" Type="http://schemas.openxmlformats.org/officeDocument/2006/relationships/hyperlink" Target="https://www.mdpi.com/2073-4433/3/1/164/htm" TargetMode="External"/><Relationship Id="rId1122" Type="http://schemas.openxmlformats.org/officeDocument/2006/relationships/hyperlink" Target="https://journals.plos.org/plosone/article?id=10.1371/journal.pone.0159035"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741" Type="http://schemas.openxmlformats.org/officeDocument/2006/relationships/hyperlink" Target="https://www.witpress.com/elibrary/wit-transactions-on-ecology-and-the-environment/137/21150" TargetMode="External"/><Relationship Id="rId783" Type="http://schemas.openxmlformats.org/officeDocument/2006/relationships/hyperlink" Target="https://www.researchgate.net/publication/256645443_Grazing_Systems_and_Biodiversity_in_Mediterranean_Areas_Spain_Italy_and_Greece" TargetMode="External"/><Relationship Id="rId839" Type="http://schemas.openxmlformats.org/officeDocument/2006/relationships/hyperlink" Target="https://www.mdpi.com/1999-4907/7/10/237" TargetMode="External"/><Relationship Id="rId990" Type="http://schemas.openxmlformats.org/officeDocument/2006/relationships/hyperlink" Target="https://insidecostarica.com/dailynews/2011/april/11/costarica11041103.htm"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43" Type="http://schemas.openxmlformats.org/officeDocument/2006/relationships/hyperlink" Target="https://link.springer.com/article/10.1007/s10342-019-01179-1" TargetMode="External"/><Relationship Id="rId1024" Type="http://schemas.openxmlformats.org/officeDocument/2006/relationships/hyperlink" Target="https://www.tandfonline.com/doi/full/10.1080/10962247.2016.1268982" TargetMode="External"/><Relationship Id="rId1066" Type="http://schemas.openxmlformats.org/officeDocument/2006/relationships/hyperlink" Target="https://linkinghub.elsevier.com/retrieve/pii/S0921818116302090"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50" Type="http://schemas.openxmlformats.org/officeDocument/2006/relationships/hyperlink" Target="https://www.mdpi.com/1999-4907/7/10/237"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35" Type="http://schemas.openxmlformats.org/officeDocument/2006/relationships/hyperlink" Target="https://acp.copernicus.org/preprints/6/9655/2006/acpd-6-9655-2006.pdf"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54" Type="http://schemas.openxmlformats.org/officeDocument/2006/relationships/hyperlink" Target="http://www2.fire.uni-freiburg.de/sevilla-2007/contributions/doc/cd/SESIONES_TEMATICAS/ST2/Velez_SPAIN_DGB_ExpeEnglish.pdf" TargetMode="External"/><Relationship Id="rId696" Type="http://schemas.openxmlformats.org/officeDocument/2006/relationships/hyperlink" Target="https://www.ecologyandsociety.org/vol22/iss3/art23/" TargetMode="External"/><Relationship Id="rId861" Type="http://schemas.openxmlformats.org/officeDocument/2006/relationships/hyperlink" Target="https://www.mdpi.com/1999-4907/7/10/237" TargetMode="External"/><Relationship Id="rId917" Type="http://schemas.openxmlformats.org/officeDocument/2006/relationships/hyperlink" Target="https://link.springer.com/article/10.1134/S1875372818030046" TargetMode="External"/><Relationship Id="rId959" Type="http://schemas.openxmlformats.org/officeDocument/2006/relationships/hyperlink" Target="https://www.tandfonline.com/doi/abs/10.1080/08941920.2014.91822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721" Type="http://schemas.openxmlformats.org/officeDocument/2006/relationships/hyperlink" Target="https://www.sciencedirect.com/science/article/pii/S0301479799903353"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44" Type="http://schemas.openxmlformats.org/officeDocument/2006/relationships/hyperlink" Target="https://link.springer.com/article/10.1007/s10457-016-9912-4"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46" Type="http://schemas.openxmlformats.org/officeDocument/2006/relationships/hyperlink" Target="https://www.researchgate.net/publication/40116523"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23" Type="http://schemas.openxmlformats.org/officeDocument/2006/relationships/hyperlink" Target="https://doi.org/10.1080/08941929709381043"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30" Type="http://schemas.openxmlformats.org/officeDocument/2006/relationships/hyperlink" Target="https://www.researchgate.net/publication/311487251" TargetMode="External"/><Relationship Id="rId872" Type="http://schemas.openxmlformats.org/officeDocument/2006/relationships/hyperlink" Target="https://www.mdpi.com/1999-4907/7/10/237" TargetMode="External"/><Relationship Id="rId928" Type="http://schemas.openxmlformats.org/officeDocument/2006/relationships/hyperlink" Target="https://esajournals.onlinelibrary.wiley.com/doi/full/10.1890/130015" TargetMode="External"/><Relationship Id="rId1088" Type="http://schemas.openxmlformats.org/officeDocument/2006/relationships/hyperlink" Target="http://www.pnas.orgcgidoi10.1073pnas.0900991106/"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1113" Type="http://schemas.openxmlformats.org/officeDocument/2006/relationships/hyperlink" Target="http://dx.doi.org/10.1016/j.gloenvcha.2013.04.005"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15" Type="http://schemas.openxmlformats.org/officeDocument/2006/relationships/hyperlink" Target="https://pubmed.ncbi.nlm.nih.gov/19201513/"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07/s11625-018-0592-z" TargetMode="External"/><Relationship Id="rId841" Type="http://schemas.openxmlformats.org/officeDocument/2006/relationships/hyperlink" Target="https://www.mdpi.com/1999-4907/7/10/237" TargetMode="External"/><Relationship Id="rId883" Type="http://schemas.openxmlformats.org/officeDocument/2006/relationships/hyperlink" Target="https://www.mdpi.com/1999-4907/7/10/237" TargetMode="External"/><Relationship Id="rId1099" Type="http://schemas.openxmlformats.org/officeDocument/2006/relationships/hyperlink" Target="https://mediatum.ub.tum.de/doc/603323/603323.pdf"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article/10.1007/s11027-006-9039-4"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pdfs.semanticscholar.org/ad35/96c82623cf33cb44dda5d20f40837b915c92.pdf" TargetMode="External"/><Relationship Id="rId992" Type="http://schemas.openxmlformats.org/officeDocument/2006/relationships/hyperlink" Target="https://ideas.repec.org/a/pje/journl/article29winv.html" TargetMode="External"/><Relationship Id="rId1026" Type="http://schemas.openxmlformats.org/officeDocument/2006/relationships/hyperlink" Target="https://www.researchgate.net/publication/310540577"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www.mdpi.com/1999-4907/7/10/237"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68" Type="http://schemas.openxmlformats.org/officeDocument/2006/relationships/hyperlink" Target="https://linkinghub.elsevier.com/retrieve/pii/S0921818116302090"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894" Type="http://schemas.openxmlformats.org/officeDocument/2006/relationships/hyperlink" Target="https://www.mdpi.com/1999-4907/7/10/237" TargetMode="External"/><Relationship Id="rId1135" Type="http://schemas.openxmlformats.org/officeDocument/2006/relationships/hyperlink" Target="https://advances.sciencemag.org/content/advances/4/11/eaat2993.full.pdf"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ww.tandfonline.com/doi/full/10.1080/03066150.2015.1013099" TargetMode="External"/><Relationship Id="rId796" Type="http://schemas.openxmlformats.org/officeDocument/2006/relationships/hyperlink" Target="https://esajournals.onlinelibrary.wiley.com/doi/full/10.1890/120298" TargetMode="External"/><Relationship Id="rId961" Type="http://schemas.openxmlformats.org/officeDocument/2006/relationships/hyperlink" Target="https://www.tandfonline.com/doi/abs/10.1080/08941920.2014.918226"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www.mdpi.com/1999-4907/7/10/237" TargetMode="External"/><Relationship Id="rId1037" Type="http://schemas.openxmlformats.org/officeDocument/2006/relationships/hyperlink" Target="https://www.scielo.br/scielo.php?pid=S1519-566X2005000400016&amp;script=sci_arttext&amp;tlng=pt" TargetMode="External"/><Relationship Id="rId1079" Type="http://schemas.openxmlformats.org/officeDocument/2006/relationships/hyperlink" Target="https://link.springer.com/content/pdf/10.1007/s13280-018-1084-1.pdf"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link.springer.com/article/10.1007/s10745-014-9641-0" TargetMode="External"/><Relationship Id="rId1146" Type="http://schemas.openxmlformats.org/officeDocument/2006/relationships/printerSettings" Target="../printerSettings/printerSettings1.bin"/><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jstor.org/stable/2388588"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6" Type="http://schemas.openxmlformats.org/officeDocument/2006/relationships/hyperlink" Target="https://www.mdpi.com/2071-1050/11/6/1762"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1126" Type="http://schemas.openxmlformats.org/officeDocument/2006/relationships/hyperlink" Target="https://link.springer.com/article/10.1007/s11027-006-9039-4"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doi.org/10.1300/J091v19n01_09"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link.springer.com/article/10.1007/s10745-014-9641-0"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1117" Type="http://schemas.openxmlformats.org/officeDocument/2006/relationships/hyperlink" Target="https://www.jstor.org/stable/43582372"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128" Type="http://schemas.openxmlformats.org/officeDocument/2006/relationships/hyperlink" Target="https://link.springer.com/book/10.1007/978-81-322-1662-9"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139" Type="http://schemas.openxmlformats.org/officeDocument/2006/relationships/hyperlink" Target="https://onlinelibrary.wiley.com/doi/abs/10.1002/ldr.2545"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www.pnas.orgcgidoi10.1073pnas.0900991106/" TargetMode="External"/><Relationship Id="rId1108" Type="http://schemas.openxmlformats.org/officeDocument/2006/relationships/hyperlink" Target="https://d-nb.info/104264179X/34"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doi:10.3390/rs8120986"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1141" Type="http://schemas.openxmlformats.org/officeDocument/2006/relationships/hyperlink" Target="https://onlinelibrary.wiley.com/doi/full/10.1111/j.1744-7429.2009.00495.x?dmmsuid=0&amp;dmmspid=0&amp;dmmsmid=0"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www.pnas.orgcgidoi10.1073pnas.090099110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www.ecologyandsociety.org/vol9/iss1/art15"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dx.doi.org/10.1016/j.gloenvcha.2013.04.005"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advances.sciencemag.org/content/advances/4/11/eaat2993.full.pdf"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s://www.sciencedirect.com/science/article/abs/pii/S0264837706000032"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link.springer.com/article/10.1007/s10745-014-9641-0"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https://link.springer.com/book/10.1007/978-81-322-1662-9"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abs/10.1002/ldr.2545"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dx.doi.org/10.3390/su11061641"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researchgate.net/publication/22225915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549"/>
  <sheetViews>
    <sheetView zoomScale="55" zoomScaleNormal="55" workbookViewId="0">
      <pane ySplit="1" topLeftCell="A1542" activePane="bottomLeft" state="frozen"/>
      <selection activeCell="I1" sqref="I1"/>
      <selection pane="bottomLeft" activeCell="A1550" sqref="A1550"/>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5187</v>
      </c>
      <c r="Q2" s="5"/>
    </row>
    <row r="3" spans="1:2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16.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5187</v>
      </c>
      <c r="Q7" s="98"/>
      <c r="U7" s="14"/>
    </row>
    <row r="8" spans="1:2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38"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41" customHeight="1">
      <c r="A105" s="31">
        <v>12</v>
      </c>
      <c r="B105" s="40" t="s">
        <v>164</v>
      </c>
      <c r="C105" s="3" t="s">
        <v>163</v>
      </c>
      <c r="D105" s="31" t="s">
        <v>2398</v>
      </c>
      <c r="E105" s="29" t="s">
        <v>2406</v>
      </c>
      <c r="F105" s="29" t="s">
        <v>2276</v>
      </c>
      <c r="G105" s="29" t="s">
        <v>166</v>
      </c>
      <c r="H105" s="28" t="s">
        <v>121</v>
      </c>
      <c r="I105" s="21">
        <v>-5</v>
      </c>
      <c r="J105" s="21">
        <v>-52</v>
      </c>
      <c r="K105" s="21">
        <v>1200000</v>
      </c>
      <c r="L105" s="3">
        <v>2002</v>
      </c>
      <c r="M105" s="3">
        <v>2012</v>
      </c>
      <c r="N105" s="3" t="s">
        <v>2276</v>
      </c>
      <c r="O105" s="3" t="s">
        <v>149</v>
      </c>
      <c r="P105" s="5" t="s">
        <v>5187</v>
      </c>
      <c r="Q105" s="3"/>
    </row>
    <row r="106" spans="1:21" ht="41" customHeight="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ht="41" customHeight="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ht="41" customHeight="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ht="41" customHeight="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1"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5187</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4">
        <v>64</v>
      </c>
      <c r="B355" s="57" t="s">
        <v>5055</v>
      </c>
      <c r="C355" s="23" t="s">
        <v>933</v>
      </c>
      <c r="D355" s="11" t="s">
        <v>2398</v>
      </c>
      <c r="E355" s="3" t="s">
        <v>2400</v>
      </c>
      <c r="F355" s="11" t="s">
        <v>5056</v>
      </c>
      <c r="G355" s="11" t="s">
        <v>3738</v>
      </c>
      <c r="H355" s="11" t="s">
        <v>1950</v>
      </c>
      <c r="I355" s="74">
        <f>6 + 53/60</f>
        <v>6.8833333333333329</v>
      </c>
      <c r="J355" s="74">
        <f>39 + 32/60</f>
        <v>39.533333333333331</v>
      </c>
      <c r="K355" s="74">
        <f>95*40*0.69</f>
        <v>2622</v>
      </c>
      <c r="L355" s="11">
        <v>1968</v>
      </c>
      <c r="M355" s="11">
        <v>2016</v>
      </c>
      <c r="N355" s="11" t="s">
        <v>2276</v>
      </c>
      <c r="O355" s="3" t="s">
        <v>67</v>
      </c>
      <c r="P355" s="5" t="s">
        <v>5187</v>
      </c>
      <c r="Q355" s="11"/>
    </row>
    <row r="356" spans="1:17" ht="40" customHeight="1">
      <c r="A356" s="154">
        <v>64</v>
      </c>
      <c r="B356" s="57" t="s">
        <v>5055</v>
      </c>
      <c r="C356" s="23" t="s">
        <v>5059</v>
      </c>
      <c r="D356" s="11" t="s">
        <v>2398</v>
      </c>
      <c r="E356" s="3" t="s">
        <v>2400</v>
      </c>
      <c r="F356" s="11" t="s">
        <v>5057</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5187</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5187</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5187</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4.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5187</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5187</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6">
        <v>118</v>
      </c>
      <c r="B571" s="40" t="s">
        <v>5037</v>
      </c>
      <c r="C571" s="11" t="s">
        <v>5040</v>
      </c>
      <c r="D571" s="11" t="s">
        <v>2398</v>
      </c>
      <c r="E571" s="3" t="s">
        <v>2399</v>
      </c>
      <c r="F571" s="113"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5187</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5187</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5187</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5187</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5187</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5187</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5187</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5187</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5187</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5187</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5187</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5187</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5187</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5187</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5187</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5187</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5187</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5187</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5187</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5187</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5187</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5187</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5187</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5187</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5187</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5187</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5187</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5187</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5187</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5187</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5187</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5187</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5187</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5187</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5187</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5187</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5187</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5187</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5187</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5187</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5187</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5187</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5187</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5187</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5187</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5187</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5187</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5187</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5187</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5187</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5187</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5187</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5187</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5187</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5187</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5187</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5187</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5187</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5187</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5187</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5187</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5187</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5187</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5187</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5187</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5187</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5187</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5187</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5187</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5187</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5187</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5187</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5187</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5187</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5187</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5187</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5187</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5187</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5187</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5187</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1">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1">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1">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1">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1">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1">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1">
        <v>205</v>
      </c>
      <c r="B824" s="40" t="s">
        <v>5122</v>
      </c>
      <c r="C824" s="11" t="s">
        <v>5123</v>
      </c>
      <c r="D824" s="3" t="s">
        <v>2398</v>
      </c>
      <c r="E824" s="3" t="s">
        <v>2422</v>
      </c>
      <c r="F824" s="64" t="s">
        <v>5134</v>
      </c>
      <c r="G824" s="3" t="s">
        <v>5133</v>
      </c>
      <c r="H824" s="11" t="s">
        <v>3414</v>
      </c>
      <c r="I824" s="184">
        <v>-16.347667699999999</v>
      </c>
      <c r="J824" s="21">
        <v>132.70656389999999</v>
      </c>
      <c r="K824" s="21">
        <v>26000</v>
      </c>
      <c r="L824" s="3">
        <v>1996</v>
      </c>
      <c r="M824" s="3">
        <v>2005</v>
      </c>
      <c r="N824" s="21" t="s">
        <v>2276</v>
      </c>
      <c r="O824" s="11" t="s">
        <v>67</v>
      </c>
      <c r="P824" s="11" t="s">
        <v>5188</v>
      </c>
      <c r="Q824" s="4" t="s">
        <v>5139</v>
      </c>
    </row>
    <row r="825" spans="1:17" ht="57" customHeight="1">
      <c r="A825" s="171">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1">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1">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1">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1">
        <v>205</v>
      </c>
      <c r="B829" s="40" t="s">
        <v>5122</v>
      </c>
      <c r="C829" s="11" t="s">
        <v>5128</v>
      </c>
      <c r="D829" s="3" t="s">
        <v>2398</v>
      </c>
      <c r="E829" s="3" t="s">
        <v>2422</v>
      </c>
      <c r="F829" s="64" t="s">
        <v>5134</v>
      </c>
      <c r="G829" s="3" t="s">
        <v>5133</v>
      </c>
      <c r="H829" s="11" t="s">
        <v>3414</v>
      </c>
      <c r="I829" s="184">
        <v>-16.347667699999999</v>
      </c>
      <c r="J829" s="21">
        <v>132.70656389999999</v>
      </c>
      <c r="K829" s="21">
        <v>26000</v>
      </c>
      <c r="L829" s="3">
        <v>2015</v>
      </c>
      <c r="M829" s="3">
        <v>2017</v>
      </c>
      <c r="N829" s="21" t="s">
        <v>2276</v>
      </c>
      <c r="O829" s="11" t="s">
        <v>67</v>
      </c>
      <c r="P829" s="11" t="s">
        <v>5188</v>
      </c>
      <c r="Q829" s="4" t="s">
        <v>5139</v>
      </c>
    </row>
    <row r="830" spans="1:17" ht="57" customHeight="1">
      <c r="A830" s="171">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1">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1">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1">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1">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1">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1">
        <v>208</v>
      </c>
      <c r="B836" s="40" t="s">
        <v>5222</v>
      </c>
      <c r="C836" s="23" t="s">
        <v>5223</v>
      </c>
      <c r="D836" s="23" t="s">
        <v>2398</v>
      </c>
      <c r="E836" s="23" t="s">
        <v>2399</v>
      </c>
      <c r="F836" s="23" t="s">
        <v>5226</v>
      </c>
      <c r="G836" s="23" t="s">
        <v>5225</v>
      </c>
      <c r="H836" s="23" t="s">
        <v>5224</v>
      </c>
      <c r="I836" s="77">
        <f>28 + 5.5/60</f>
        <v>28.091666666666665</v>
      </c>
      <c r="J836" s="77">
        <f xml:space="preserve"> 85 + 23.4/60</f>
        <v>85.39</v>
      </c>
      <c r="K836" s="77">
        <v>1</v>
      </c>
      <c r="L836" s="22">
        <v>2011</v>
      </c>
      <c r="M836" s="22">
        <v>2011</v>
      </c>
      <c r="N836" s="77" t="s">
        <v>2276</v>
      </c>
      <c r="O836" s="23" t="s">
        <v>67</v>
      </c>
      <c r="P836" s="23" t="s">
        <v>5188</v>
      </c>
      <c r="Q836" s="22"/>
    </row>
    <row r="837" spans="1:17" ht="43.5" customHeight="1">
      <c r="A837" s="171">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7" t="s">
        <v>2276</v>
      </c>
      <c r="O837" s="23" t="s">
        <v>67</v>
      </c>
      <c r="P837" s="23" t="s">
        <v>5188</v>
      </c>
      <c r="Q837" s="3"/>
    </row>
    <row r="838" spans="1:17" ht="28.5" customHeight="1">
      <c r="A838" s="171">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7" t="s">
        <v>2276</v>
      </c>
      <c r="O838" s="23" t="s">
        <v>67</v>
      </c>
      <c r="P838" s="3" t="s">
        <v>5187</v>
      </c>
      <c r="Q838" s="3"/>
    </row>
    <row r="839" spans="1:17" ht="28.5" customHeight="1">
      <c r="A839" s="171">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7" t="s">
        <v>2276</v>
      </c>
      <c r="O839" s="23" t="s">
        <v>67</v>
      </c>
      <c r="P839" s="3" t="s">
        <v>5187</v>
      </c>
      <c r="Q839" s="3"/>
    </row>
    <row r="840" spans="1:17" ht="28.5" customHeight="1">
      <c r="A840" s="171">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7" t="s">
        <v>2276</v>
      </c>
      <c r="O840" s="23" t="s">
        <v>67</v>
      </c>
      <c r="P840" s="3" t="s">
        <v>5187</v>
      </c>
      <c r="Q840" s="3"/>
    </row>
    <row r="841" spans="1:17" ht="28.5" customHeight="1">
      <c r="A841" s="171">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7" t="s">
        <v>2276</v>
      </c>
      <c r="O841" s="23" t="s">
        <v>67</v>
      </c>
      <c r="P841" s="3" t="s">
        <v>5187</v>
      </c>
      <c r="Q841" s="3"/>
    </row>
    <row r="842" spans="1:17" ht="28.5" customHeight="1">
      <c r="A842" s="171">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7" t="s">
        <v>2276</v>
      </c>
      <c r="O842" s="23" t="s">
        <v>67</v>
      </c>
      <c r="P842" s="3" t="s">
        <v>5187</v>
      </c>
      <c r="Q842" s="3"/>
    </row>
    <row r="843" spans="1:17" ht="28.5" customHeight="1">
      <c r="A843" s="171">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7" t="s">
        <v>2276</v>
      </c>
      <c r="O843" s="23" t="s">
        <v>67</v>
      </c>
      <c r="P843" s="3" t="s">
        <v>5187</v>
      </c>
      <c r="Q843" s="3"/>
    </row>
    <row r="844" spans="1:17" ht="33.5" customHeight="1">
      <c r="A844" s="171">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7" t="s">
        <v>2276</v>
      </c>
      <c r="O844" s="23" t="s">
        <v>67</v>
      </c>
      <c r="P844" s="23" t="s">
        <v>5188</v>
      </c>
      <c r="Q844" s="3"/>
    </row>
    <row r="845" spans="1:17" ht="33.5" customHeight="1">
      <c r="A845" s="171">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7" t="s">
        <v>2276</v>
      </c>
      <c r="O845" s="23" t="s">
        <v>67</v>
      </c>
      <c r="P845" s="23" t="s">
        <v>5188</v>
      </c>
      <c r="Q845" s="3"/>
    </row>
    <row r="846" spans="1:17" ht="33.5" customHeight="1">
      <c r="A846" s="171">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7" t="s">
        <v>2276</v>
      </c>
      <c r="O846" s="23" t="s">
        <v>67</v>
      </c>
      <c r="P846" s="23" t="s">
        <v>5188</v>
      </c>
      <c r="Q846" s="3"/>
    </row>
    <row r="847" spans="1:17" ht="33.5" customHeight="1">
      <c r="A847" s="171">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7" t="s">
        <v>2276</v>
      </c>
      <c r="O847" s="23" t="s">
        <v>67</v>
      </c>
      <c r="P847" s="23" t="s">
        <v>5188</v>
      </c>
      <c r="Q847" s="3"/>
    </row>
    <row r="848" spans="1:17" ht="28" customHeight="1">
      <c r="A848" s="171">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7" t="s">
        <v>2276</v>
      </c>
      <c r="O848" s="23" t="s">
        <v>67</v>
      </c>
      <c r="P848" s="23" t="s">
        <v>5188</v>
      </c>
      <c r="Q848" s="3"/>
    </row>
    <row r="849" spans="1:17" ht="32.5" customHeight="1">
      <c r="A849" s="171">
        <v>212</v>
      </c>
      <c r="B849" s="40" t="s">
        <v>5369</v>
      </c>
      <c r="C849" s="23" t="s">
        <v>5370</v>
      </c>
      <c r="D849" s="11" t="s">
        <v>2398</v>
      </c>
      <c r="E849" s="23" t="s">
        <v>2399</v>
      </c>
      <c r="F849" s="11" t="s">
        <v>5371</v>
      </c>
      <c r="G849" s="11" t="s">
        <v>5372</v>
      </c>
      <c r="H849" s="11" t="s">
        <v>5373</v>
      </c>
      <c r="I849" s="21">
        <v>50.223177</v>
      </c>
      <c r="J849" s="21">
        <v>-121.5703489</v>
      </c>
      <c r="K849" s="77" t="s">
        <v>2276</v>
      </c>
      <c r="L849" s="3">
        <v>2013</v>
      </c>
      <c r="M849" s="3">
        <v>2013</v>
      </c>
      <c r="N849" s="77" t="s">
        <v>2276</v>
      </c>
      <c r="O849" s="23" t="s">
        <v>67</v>
      </c>
      <c r="P849" s="23" t="s">
        <v>5188</v>
      </c>
      <c r="Q849" s="3"/>
    </row>
    <row r="850" spans="1:17" ht="54.5" customHeight="1">
      <c r="A850" s="171">
        <v>213</v>
      </c>
      <c r="B850" s="40" t="s">
        <v>5382</v>
      </c>
      <c r="C850" s="3" t="s">
        <v>5385</v>
      </c>
      <c r="D850" s="11" t="s">
        <v>2398</v>
      </c>
      <c r="E850" s="23" t="s">
        <v>2399</v>
      </c>
      <c r="F850" s="19" t="s">
        <v>5383</v>
      </c>
      <c r="G850" s="11" t="s">
        <v>5384</v>
      </c>
      <c r="H850" s="11" t="s">
        <v>3414</v>
      </c>
      <c r="I850" s="21">
        <v>-30.2251966</v>
      </c>
      <c r="J850" s="21">
        <v>151.5917676</v>
      </c>
      <c r="K850" s="77" t="s">
        <v>2276</v>
      </c>
      <c r="L850" s="3">
        <v>2015</v>
      </c>
      <c r="M850" s="3">
        <v>2015</v>
      </c>
      <c r="N850" s="77" t="s">
        <v>2276</v>
      </c>
      <c r="O850" s="23" t="s">
        <v>67</v>
      </c>
      <c r="P850" s="23" t="s">
        <v>5188</v>
      </c>
      <c r="Q850" s="4" t="s">
        <v>5386</v>
      </c>
    </row>
    <row r="851" spans="1:17" ht="40" customHeight="1">
      <c r="A851" s="171">
        <v>214</v>
      </c>
      <c r="B851" s="40" t="s">
        <v>5402</v>
      </c>
      <c r="C851" s="11" t="s">
        <v>5403</v>
      </c>
      <c r="D851" s="11" t="s">
        <v>2398</v>
      </c>
      <c r="E851" s="23" t="s">
        <v>2422</v>
      </c>
      <c r="F851" s="3" t="s">
        <v>5133</v>
      </c>
      <c r="G851" s="3" t="s">
        <v>5404</v>
      </c>
      <c r="H851" s="11" t="s">
        <v>3414</v>
      </c>
      <c r="I851" s="21">
        <v>-14.790237400000001</v>
      </c>
      <c r="J851" s="21">
        <v>132.4698094</v>
      </c>
      <c r="K851" s="77" t="s">
        <v>2276</v>
      </c>
      <c r="L851" s="11">
        <v>1999</v>
      </c>
      <c r="M851" s="11">
        <v>2018</v>
      </c>
      <c r="N851" s="77" t="s">
        <v>2276</v>
      </c>
      <c r="O851" s="23" t="s">
        <v>67</v>
      </c>
      <c r="P851" s="23" t="s">
        <v>5188</v>
      </c>
      <c r="Q851" s="3" t="s">
        <v>5405</v>
      </c>
    </row>
    <row r="852" spans="1:17" ht="32" customHeight="1">
      <c r="A852" s="171">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7" t="s">
        <v>2276</v>
      </c>
      <c r="O852" s="23" t="s">
        <v>67</v>
      </c>
      <c r="P852" s="23" t="s">
        <v>5188</v>
      </c>
      <c r="Q852" s="3" t="s">
        <v>2214</v>
      </c>
    </row>
    <row r="853" spans="1:17" ht="36.5" customHeight="1">
      <c r="A853" s="171">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7" t="s">
        <v>2276</v>
      </c>
      <c r="O853" s="23" t="s">
        <v>67</v>
      </c>
      <c r="P853" s="23" t="s">
        <v>5188</v>
      </c>
      <c r="Q853" s="3" t="s">
        <v>2214</v>
      </c>
    </row>
    <row r="854" spans="1:17" ht="37.5" customHeight="1">
      <c r="A854" s="171">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7" t="s">
        <v>2276</v>
      </c>
      <c r="O854" s="23" t="s">
        <v>67</v>
      </c>
      <c r="P854" s="23" t="s">
        <v>5188</v>
      </c>
      <c r="Q854" s="3" t="s">
        <v>2214</v>
      </c>
    </row>
    <row r="855" spans="1:17" ht="38" customHeight="1">
      <c r="A855" s="171">
        <v>218</v>
      </c>
      <c r="B855" s="40" t="s">
        <v>5438</v>
      </c>
      <c r="C855" s="11" t="s">
        <v>5440</v>
      </c>
      <c r="D855" s="11" t="s">
        <v>2398</v>
      </c>
      <c r="E855" s="3" t="s">
        <v>2400</v>
      </c>
      <c r="F855" s="144"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1">
        <v>218</v>
      </c>
      <c r="B856" s="40" t="s">
        <v>5438</v>
      </c>
      <c r="C856" s="11" t="s">
        <v>5443</v>
      </c>
      <c r="D856" s="11" t="s">
        <v>2398</v>
      </c>
      <c r="E856" s="3" t="s">
        <v>2400</v>
      </c>
      <c r="F856" s="144" t="s">
        <v>5452</v>
      </c>
      <c r="G856" s="3" t="s">
        <v>5448</v>
      </c>
      <c r="H856" s="11" t="s">
        <v>5441</v>
      </c>
      <c r="I856" s="21">
        <f>12+15/60</f>
        <v>12.25</v>
      </c>
      <c r="J856" s="21">
        <f>-15-25/60</f>
        <v>-15.416666666666666</v>
      </c>
      <c r="K856" s="21" t="s">
        <v>2276</v>
      </c>
      <c r="L856" s="3">
        <v>2008</v>
      </c>
      <c r="M856" s="3">
        <v>2015</v>
      </c>
      <c r="N856" s="77">
        <v>39.799999999999997</v>
      </c>
      <c r="O856" s="23" t="s">
        <v>67</v>
      </c>
      <c r="P856" s="23" t="s">
        <v>5188</v>
      </c>
      <c r="Q856" s="3"/>
    </row>
    <row r="857" spans="1:17" ht="38" customHeight="1">
      <c r="A857" s="171">
        <v>218</v>
      </c>
      <c r="B857" s="40" t="s">
        <v>5438</v>
      </c>
      <c r="C857" s="11" t="s">
        <v>5444</v>
      </c>
      <c r="D857" s="11" t="s">
        <v>2398</v>
      </c>
      <c r="E857" s="3" t="s">
        <v>2400</v>
      </c>
      <c r="F857" s="144" t="s">
        <v>5453</v>
      </c>
      <c r="G857" s="3" t="s">
        <v>5449</v>
      </c>
      <c r="H857" s="11" t="s">
        <v>5441</v>
      </c>
      <c r="I857" s="21">
        <f>12+16/60</f>
        <v>12.266666666666667</v>
      </c>
      <c r="J857" s="21">
        <f>-16</f>
        <v>-16</v>
      </c>
      <c r="K857" s="21" t="s">
        <v>2276</v>
      </c>
      <c r="L857" s="3">
        <v>2008</v>
      </c>
      <c r="M857" s="3">
        <v>2015</v>
      </c>
      <c r="N857" s="77">
        <f>AVERAGE(35.8, 110.9)</f>
        <v>73.349999999999994</v>
      </c>
      <c r="O857" s="23" t="s">
        <v>67</v>
      </c>
      <c r="P857" s="23" t="s">
        <v>5188</v>
      </c>
      <c r="Q857" s="3"/>
    </row>
    <row r="858" spans="1:17" ht="38" customHeight="1">
      <c r="A858" s="171">
        <v>218</v>
      </c>
      <c r="B858" s="40" t="s">
        <v>5438</v>
      </c>
      <c r="C858" s="11" t="s">
        <v>5446</v>
      </c>
      <c r="D858" s="11" t="s">
        <v>2398</v>
      </c>
      <c r="E858" s="3" t="s">
        <v>2400</v>
      </c>
      <c r="F858" s="144" t="s">
        <v>5454</v>
      </c>
      <c r="G858" s="3" t="s">
        <v>5450</v>
      </c>
      <c r="H858" s="11" t="s">
        <v>5441</v>
      </c>
      <c r="I858" s="21">
        <f>11+45/60</f>
        <v>11.75</v>
      </c>
      <c r="J858" s="21">
        <f>-15-3/60</f>
        <v>-15.05</v>
      </c>
      <c r="K858" s="21" t="s">
        <v>2276</v>
      </c>
      <c r="L858" s="3">
        <v>2008</v>
      </c>
      <c r="M858" s="3">
        <v>2015</v>
      </c>
      <c r="N858" s="77">
        <v>19.399999999999999</v>
      </c>
      <c r="O858" s="23" t="s">
        <v>67</v>
      </c>
      <c r="P858" s="23" t="s">
        <v>5188</v>
      </c>
      <c r="Q858" s="3"/>
    </row>
    <row r="859" spans="1:17" ht="38" customHeight="1">
      <c r="A859" s="171">
        <v>218</v>
      </c>
      <c r="B859" s="40" t="s">
        <v>5438</v>
      </c>
      <c r="C859" s="11" t="s">
        <v>5445</v>
      </c>
      <c r="D859" s="11" t="s">
        <v>2398</v>
      </c>
      <c r="E859" s="3" t="s">
        <v>2400</v>
      </c>
      <c r="F859" s="144" t="s">
        <v>5455</v>
      </c>
      <c r="G859" s="3" t="s">
        <v>5451</v>
      </c>
      <c r="H859" s="11" t="s">
        <v>5441</v>
      </c>
      <c r="I859" s="21">
        <f>11+26/60</f>
        <v>11.433333333333334</v>
      </c>
      <c r="J859" s="21">
        <f>-15-13/60</f>
        <v>-15.216666666666667</v>
      </c>
      <c r="K859" s="21" t="s">
        <v>2276</v>
      </c>
      <c r="L859" s="3">
        <v>2008</v>
      </c>
      <c r="M859" s="3">
        <v>2015</v>
      </c>
      <c r="N859" s="77">
        <v>22</v>
      </c>
      <c r="O859" s="23" t="s">
        <v>67</v>
      </c>
      <c r="P859" s="23" t="s">
        <v>5188</v>
      </c>
      <c r="Q859" s="3"/>
    </row>
    <row r="860" spans="1:17" ht="39.5" customHeight="1">
      <c r="A860" s="171">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1">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1">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1">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1">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1">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1">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1">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1">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1">
        <v>221</v>
      </c>
      <c r="B869" s="40" t="s">
        <v>5589</v>
      </c>
      <c r="C869" s="11" t="s">
        <v>5590</v>
      </c>
      <c r="D869" s="11" t="s">
        <v>2398</v>
      </c>
      <c r="E869" s="23" t="s">
        <v>2399</v>
      </c>
      <c r="F869" s="186"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1">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1">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1">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1">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1">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1">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1">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1">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1">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1">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1">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1">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1">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1">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1">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1">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1">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1">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1">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1">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1">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1">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1">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1">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1">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8">
        <v>236</v>
      </c>
      <c r="B895" s="41" t="s">
        <v>5836</v>
      </c>
      <c r="C895" s="19" t="s">
        <v>5837</v>
      </c>
      <c r="D895" s="19" t="s">
        <v>2398</v>
      </c>
      <c r="E895" s="4" t="s">
        <v>4847</v>
      </c>
      <c r="F895" s="24" t="s">
        <v>5838</v>
      </c>
      <c r="G895" s="4" t="s">
        <v>5839</v>
      </c>
      <c r="H895" s="19" t="s">
        <v>4314</v>
      </c>
      <c r="I895" s="75">
        <v>43.208880299999997</v>
      </c>
      <c r="J895" s="75">
        <v>-4.3576147000000001</v>
      </c>
      <c r="K895" s="75" t="s">
        <v>2276</v>
      </c>
      <c r="L895" s="19">
        <v>1900</v>
      </c>
      <c r="M895" s="19">
        <v>2018</v>
      </c>
      <c r="N895" s="75" t="s">
        <v>2276</v>
      </c>
      <c r="O895" s="26" t="s">
        <v>67</v>
      </c>
      <c r="P895" s="26" t="s">
        <v>5840</v>
      </c>
      <c r="Q895" s="26" t="s">
        <v>5841</v>
      </c>
    </row>
    <row r="896" spans="1:17" ht="56.5" customHeight="1">
      <c r="A896" s="188">
        <v>237</v>
      </c>
      <c r="B896" s="41" t="s">
        <v>5847</v>
      </c>
      <c r="C896" s="19" t="s">
        <v>5844</v>
      </c>
      <c r="D896" s="19" t="s">
        <v>2398</v>
      </c>
      <c r="E896" s="4" t="s">
        <v>2405</v>
      </c>
      <c r="F896" s="24" t="s">
        <v>5848</v>
      </c>
      <c r="G896" s="11" t="s">
        <v>2276</v>
      </c>
      <c r="H896" s="19" t="s">
        <v>1951</v>
      </c>
      <c r="I896" s="75">
        <v>-0.15213840000000001</v>
      </c>
      <c r="J896" s="75">
        <v>37.308407899999999</v>
      </c>
      <c r="K896" s="75" t="s">
        <v>2276</v>
      </c>
      <c r="L896" s="19">
        <v>2000</v>
      </c>
      <c r="M896" s="19">
        <v>2015</v>
      </c>
      <c r="N896" s="75" t="s">
        <v>2276</v>
      </c>
      <c r="O896" s="26" t="s">
        <v>67</v>
      </c>
      <c r="P896" s="3" t="s">
        <v>5187</v>
      </c>
      <c r="Q896" s="26"/>
    </row>
    <row r="897" spans="1:17" ht="56.5" customHeight="1">
      <c r="A897" s="188">
        <v>238</v>
      </c>
      <c r="B897" s="41" t="s">
        <v>5855</v>
      </c>
      <c r="C897" s="19" t="s">
        <v>5849</v>
      </c>
      <c r="D897" s="19" t="s">
        <v>2398</v>
      </c>
      <c r="E897" s="4" t="s">
        <v>2399</v>
      </c>
      <c r="F897" s="24" t="s">
        <v>5868</v>
      </c>
      <c r="G897" s="11" t="s">
        <v>2276</v>
      </c>
      <c r="H897" s="19" t="s">
        <v>3576</v>
      </c>
      <c r="I897" s="75">
        <v>1.1496248</v>
      </c>
      <c r="J897" s="75">
        <v>34.547538799999998</v>
      </c>
      <c r="K897" s="75">
        <v>44.7</v>
      </c>
      <c r="L897" s="19">
        <v>1997</v>
      </c>
      <c r="M897" s="19">
        <v>1999</v>
      </c>
      <c r="N897" s="75" t="s">
        <v>2276</v>
      </c>
      <c r="O897" s="26" t="s">
        <v>67</v>
      </c>
      <c r="P897" s="3" t="s">
        <v>5187</v>
      </c>
      <c r="Q897" s="26"/>
    </row>
    <row r="898" spans="1:17" ht="56.5" customHeight="1">
      <c r="A898" s="188">
        <v>239</v>
      </c>
      <c r="B898" s="41" t="s">
        <v>5870</v>
      </c>
      <c r="C898" s="19" t="s">
        <v>5854</v>
      </c>
      <c r="D898" s="19" t="s">
        <v>2398</v>
      </c>
      <c r="E898" s="4" t="s">
        <v>2399</v>
      </c>
      <c r="F898" s="24" t="s">
        <v>5867</v>
      </c>
      <c r="G898" s="11" t="s">
        <v>2276</v>
      </c>
      <c r="H898" s="19" t="s">
        <v>1950</v>
      </c>
      <c r="I898" s="75">
        <v>13</v>
      </c>
      <c r="J898" s="75">
        <v>38</v>
      </c>
      <c r="K898" s="11" t="s">
        <v>2276</v>
      </c>
      <c r="L898" s="19">
        <v>1997</v>
      </c>
      <c r="M898" s="19">
        <v>1999</v>
      </c>
      <c r="N898" s="75" t="s">
        <v>2276</v>
      </c>
      <c r="O898" s="26" t="s">
        <v>67</v>
      </c>
      <c r="P898" s="3" t="s">
        <v>5187</v>
      </c>
      <c r="Q898" s="26"/>
    </row>
    <row r="899" spans="1:17" ht="56.5" customHeight="1">
      <c r="A899" s="188">
        <v>239</v>
      </c>
      <c r="B899" s="41" t="s">
        <v>5870</v>
      </c>
      <c r="C899" s="19" t="s">
        <v>5859</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5187</v>
      </c>
      <c r="Q899" s="26"/>
    </row>
    <row r="900" spans="1:17" ht="56.5" customHeight="1">
      <c r="A900" s="188">
        <v>239</v>
      </c>
      <c r="B900" s="41" t="s">
        <v>5870</v>
      </c>
      <c r="C900" s="19" t="s">
        <v>5860</v>
      </c>
      <c r="D900" s="19" t="s">
        <v>2398</v>
      </c>
      <c r="E900" s="4" t="s">
        <v>2399</v>
      </c>
      <c r="F900" s="24" t="s">
        <v>5868</v>
      </c>
      <c r="G900" s="11" t="s">
        <v>2276</v>
      </c>
      <c r="H900" s="19" t="s">
        <v>3576</v>
      </c>
      <c r="I900" s="75">
        <v>1</v>
      </c>
      <c r="J900" s="75">
        <f>34.5</f>
        <v>34.5</v>
      </c>
      <c r="K900" s="11" t="s">
        <v>2276</v>
      </c>
      <c r="L900" s="19">
        <v>1997</v>
      </c>
      <c r="M900" s="19">
        <v>1999</v>
      </c>
      <c r="N900" s="75" t="s">
        <v>2276</v>
      </c>
      <c r="O900" s="26" t="s">
        <v>67</v>
      </c>
      <c r="P900" s="3" t="s">
        <v>5187</v>
      </c>
      <c r="Q900" s="26"/>
    </row>
    <row r="901" spans="1:17" ht="56.5" customHeight="1">
      <c r="A901" s="188">
        <v>239</v>
      </c>
      <c r="B901" s="41" t="s">
        <v>5870</v>
      </c>
      <c r="C901" s="19" t="s">
        <v>5861</v>
      </c>
      <c r="D901" s="19" t="s">
        <v>2398</v>
      </c>
      <c r="E901" s="4" t="s">
        <v>2399</v>
      </c>
      <c r="F901" s="24" t="s">
        <v>5869</v>
      </c>
      <c r="G901" s="11" t="s">
        <v>2276</v>
      </c>
      <c r="H901" s="19" t="s">
        <v>3576</v>
      </c>
      <c r="I901" s="75">
        <f>0 + 1/6</f>
        <v>0.16666666666666666</v>
      </c>
      <c r="J901" s="75">
        <v>30</v>
      </c>
      <c r="K901" s="11" t="s">
        <v>2276</v>
      </c>
      <c r="L901" s="19">
        <v>1997</v>
      </c>
      <c r="M901" s="19">
        <v>1999</v>
      </c>
      <c r="N901" s="75" t="s">
        <v>2276</v>
      </c>
      <c r="O901" s="26" t="s">
        <v>67</v>
      </c>
      <c r="P901" s="3" t="s">
        <v>5187</v>
      </c>
      <c r="Q901" s="26"/>
    </row>
    <row r="902" spans="1:17" ht="56.5" customHeight="1">
      <c r="A902" s="188">
        <v>240</v>
      </c>
      <c r="B902" s="41" t="s">
        <v>5876</v>
      </c>
      <c r="C902" s="19" t="s">
        <v>5862</v>
      </c>
      <c r="D902" s="19" t="s">
        <v>2398</v>
      </c>
      <c r="E902" s="4" t="s">
        <v>2399</v>
      </c>
      <c r="F902" s="24" t="s">
        <v>5877</v>
      </c>
      <c r="G902" s="11" t="s">
        <v>5878</v>
      </c>
      <c r="H902" s="19" t="s">
        <v>4110</v>
      </c>
      <c r="I902" s="75">
        <v>-34.884701900000003</v>
      </c>
      <c r="J902" s="75">
        <v>173.37160499999999</v>
      </c>
      <c r="K902" s="11">
        <f>5530/100</f>
        <v>55.3</v>
      </c>
      <c r="L902" s="19">
        <v>2015</v>
      </c>
      <c r="M902" s="19">
        <v>2015</v>
      </c>
      <c r="N902" s="75" t="s">
        <v>2276</v>
      </c>
      <c r="O902" s="26" t="s">
        <v>67</v>
      </c>
      <c r="P902" s="23" t="s">
        <v>5188</v>
      </c>
      <c r="Q902" s="26"/>
    </row>
    <row r="903" spans="1:17" ht="56.5" customHeight="1">
      <c r="A903" s="188">
        <v>240</v>
      </c>
      <c r="B903" s="41" t="s">
        <v>5876</v>
      </c>
      <c r="C903" s="19" t="s">
        <v>5879</v>
      </c>
      <c r="D903" s="19" t="s">
        <v>2398</v>
      </c>
      <c r="E903" s="4" t="s">
        <v>4847</v>
      </c>
      <c r="F903" s="11" t="s">
        <v>2276</v>
      </c>
      <c r="G903" s="11" t="s">
        <v>5880</v>
      </c>
      <c r="H903" s="19" t="s">
        <v>4110</v>
      </c>
      <c r="I903" s="75">
        <v>-34.911798400000002</v>
      </c>
      <c r="J903" s="75">
        <v>173.18610369999999</v>
      </c>
      <c r="K903" s="11">
        <v>7324</v>
      </c>
      <c r="L903" s="19">
        <v>2009</v>
      </c>
      <c r="M903" s="19">
        <v>2013</v>
      </c>
      <c r="N903" s="75">
        <f>110000/K903</f>
        <v>15.019115237575095</v>
      </c>
      <c r="O903" s="26" t="s">
        <v>67</v>
      </c>
      <c r="P903" s="23" t="s">
        <v>5188</v>
      </c>
      <c r="Q903" s="26"/>
    </row>
    <row r="904" spans="1:17" ht="56.5" customHeight="1">
      <c r="A904" s="188">
        <v>241</v>
      </c>
      <c r="B904" s="190" t="s">
        <v>5895</v>
      </c>
      <c r="C904" s="26" t="s">
        <v>5875</v>
      </c>
      <c r="D904" s="26" t="s">
        <v>2398</v>
      </c>
      <c r="E904" s="24" t="s">
        <v>2399</v>
      </c>
      <c r="F904" s="26" t="s">
        <v>5896</v>
      </c>
      <c r="G904" s="26" t="s">
        <v>5897</v>
      </c>
      <c r="H904" s="26" t="s">
        <v>4112</v>
      </c>
      <c r="I904" s="189">
        <f>40+39/60</f>
        <v>40.65</v>
      </c>
      <c r="J904" s="191">
        <f>-94.15</f>
        <v>-94.15</v>
      </c>
      <c r="K904" s="26">
        <f>28350/100</f>
        <v>283.5</v>
      </c>
      <c r="L904" s="26">
        <v>2014</v>
      </c>
      <c r="M904" s="26">
        <v>2014</v>
      </c>
      <c r="N904" s="87" t="s">
        <v>2276</v>
      </c>
      <c r="O904" s="26" t="s">
        <v>67</v>
      </c>
      <c r="P904" s="26" t="s">
        <v>5898</v>
      </c>
      <c r="Q904" s="26"/>
    </row>
    <row r="905" spans="1:17" ht="44" customHeight="1">
      <c r="A905" s="188">
        <v>242</v>
      </c>
      <c r="B905" s="190" t="s">
        <v>5906</v>
      </c>
      <c r="C905" s="26" t="s">
        <v>5899</v>
      </c>
      <c r="D905" s="26" t="s">
        <v>2398</v>
      </c>
      <c r="E905" s="24" t="s">
        <v>2399</v>
      </c>
      <c r="F905" s="26" t="s">
        <v>5896</v>
      </c>
      <c r="G905" s="26" t="s">
        <v>5897</v>
      </c>
      <c r="H905" s="26" t="s">
        <v>4112</v>
      </c>
      <c r="I905" s="189">
        <f>40+39/60</f>
        <v>40.65</v>
      </c>
      <c r="J905" s="191">
        <f>-94.15</f>
        <v>-94.15</v>
      </c>
      <c r="K905" s="26">
        <f>28350/100</f>
        <v>283.5</v>
      </c>
      <c r="L905" s="26">
        <v>2008</v>
      </c>
      <c r="M905" s="26">
        <v>2008</v>
      </c>
      <c r="N905" s="87" t="s">
        <v>2276</v>
      </c>
      <c r="O905" s="26" t="s">
        <v>67</v>
      </c>
      <c r="P905" s="26" t="s">
        <v>5187</v>
      </c>
      <c r="Q905" s="26" t="s">
        <v>5907</v>
      </c>
    </row>
    <row r="906" spans="1:17" ht="40.5" customHeight="1">
      <c r="A906" s="171">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7" t="s">
        <v>2276</v>
      </c>
      <c r="O906" s="26" t="s">
        <v>67</v>
      </c>
      <c r="P906" s="23" t="s">
        <v>5188</v>
      </c>
      <c r="Q906" s="3"/>
    </row>
    <row r="907" spans="1:17" ht="40.5" customHeight="1">
      <c r="A907" s="188">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5188</v>
      </c>
      <c r="Q907" s="3"/>
    </row>
    <row r="908" spans="1:17" ht="33.5" customHeight="1">
      <c r="A908" s="188">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7" t="s">
        <v>2276</v>
      </c>
      <c r="O908" s="26" t="s">
        <v>67</v>
      </c>
      <c r="P908" s="23" t="s">
        <v>5188</v>
      </c>
      <c r="Q908" s="3"/>
    </row>
    <row r="909" spans="1:17" ht="30" customHeight="1">
      <c r="A909" s="188">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7" t="s">
        <v>2276</v>
      </c>
      <c r="O909" s="26" t="s">
        <v>67</v>
      </c>
      <c r="P909" s="23" t="s">
        <v>5188</v>
      </c>
      <c r="Q909" s="3"/>
    </row>
    <row r="910" spans="1:17" ht="31.5" customHeight="1">
      <c r="A910" s="188">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7" t="s">
        <v>2276</v>
      </c>
      <c r="O910" s="26" t="s">
        <v>67</v>
      </c>
      <c r="P910" s="23" t="s">
        <v>5188</v>
      </c>
      <c r="Q910" s="3"/>
    </row>
    <row r="911" spans="1:17" ht="36.5" customHeight="1">
      <c r="A911" s="188">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7" t="s">
        <v>2276</v>
      </c>
      <c r="O911" s="26" t="s">
        <v>67</v>
      </c>
      <c r="P911" s="23" t="s">
        <v>5188</v>
      </c>
      <c r="Q911" s="3"/>
    </row>
    <row r="912" spans="1:17" ht="35.5" customHeight="1">
      <c r="A912" s="188">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7" t="s">
        <v>2276</v>
      </c>
      <c r="O912" s="26" t="s">
        <v>67</v>
      </c>
      <c r="P912" s="23" t="s">
        <v>5188</v>
      </c>
      <c r="Q912" s="3"/>
    </row>
    <row r="913" spans="1:17" ht="42" customHeight="1">
      <c r="A913" s="188">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7" t="s">
        <v>2276</v>
      </c>
      <c r="O913" s="26" t="s">
        <v>67</v>
      </c>
      <c r="P913" s="23" t="s">
        <v>5188</v>
      </c>
      <c r="Q913" s="3"/>
    </row>
    <row r="914" spans="1:17" ht="42" customHeight="1">
      <c r="A914" s="188">
        <v>249</v>
      </c>
      <c r="B914" s="40" t="s">
        <v>5995</v>
      </c>
      <c r="C914" s="26" t="s">
        <v>5994</v>
      </c>
      <c r="D914" s="11" t="s">
        <v>2398</v>
      </c>
      <c r="E914" s="3" t="s">
        <v>2400</v>
      </c>
      <c r="F914" s="144" t="s">
        <v>5996</v>
      </c>
      <c r="G914" s="3" t="s">
        <v>5999</v>
      </c>
      <c r="H914" s="3" t="s">
        <v>3414</v>
      </c>
      <c r="I914" s="21">
        <f>-21 - 55/60</f>
        <v>-21.916666666666668</v>
      </c>
      <c r="J914" s="21">
        <f>122 +26/60</f>
        <v>122.43333333333334</v>
      </c>
      <c r="K914" s="21" t="s">
        <v>2276</v>
      </c>
      <c r="L914" s="3">
        <v>2000</v>
      </c>
      <c r="M914" s="3">
        <v>2010</v>
      </c>
      <c r="N914" s="87" t="s">
        <v>2276</v>
      </c>
      <c r="O914" s="26" t="s">
        <v>67</v>
      </c>
      <c r="P914" s="23" t="s">
        <v>5187</v>
      </c>
      <c r="Q914" s="3"/>
    </row>
    <row r="915" spans="1:17" ht="42" customHeight="1">
      <c r="A915" s="188">
        <v>249</v>
      </c>
      <c r="B915" s="40" t="s">
        <v>5995</v>
      </c>
      <c r="C915" s="26" t="s">
        <v>5998</v>
      </c>
      <c r="D915" s="11" t="s">
        <v>2398</v>
      </c>
      <c r="E915" s="3" t="s">
        <v>2400</v>
      </c>
      <c r="F915" s="144" t="s">
        <v>5997</v>
      </c>
      <c r="G915" s="3" t="s">
        <v>5999</v>
      </c>
      <c r="H915" s="3" t="s">
        <v>3414</v>
      </c>
      <c r="I915" s="21">
        <f>-21 - 55/60</f>
        <v>-21.916666666666668</v>
      </c>
      <c r="J915" s="21">
        <f>122 +26/60</f>
        <v>122.43333333333334</v>
      </c>
      <c r="K915" s="21" t="s">
        <v>2276</v>
      </c>
      <c r="L915" s="3">
        <v>2000</v>
      </c>
      <c r="M915" s="3">
        <v>2010</v>
      </c>
      <c r="N915" s="87" t="s">
        <v>2276</v>
      </c>
      <c r="O915" s="26" t="s">
        <v>67</v>
      </c>
      <c r="P915" s="23" t="s">
        <v>5187</v>
      </c>
      <c r="Q915" s="3"/>
    </row>
    <row r="916" spans="1:17" ht="40" customHeight="1">
      <c r="A916" s="188">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7" t="s">
        <v>2276</v>
      </c>
      <c r="O916" s="26" t="s">
        <v>67</v>
      </c>
      <c r="P916" s="23" t="s">
        <v>5187</v>
      </c>
      <c r="Q916" s="3"/>
    </row>
    <row r="917" spans="1:17" ht="45.5" customHeight="1">
      <c r="A917" s="188">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7" t="s">
        <v>2276</v>
      </c>
      <c r="O917" s="26" t="s">
        <v>67</v>
      </c>
      <c r="P917" s="23" t="s">
        <v>5188</v>
      </c>
      <c r="Q917" s="23" t="s">
        <v>6020</v>
      </c>
    </row>
    <row r="918" spans="1:17" ht="39" customHeight="1">
      <c r="A918" s="188">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7" t="s">
        <v>2276</v>
      </c>
      <c r="O918" s="26" t="s">
        <v>67</v>
      </c>
      <c r="P918" s="23" t="s">
        <v>5187</v>
      </c>
      <c r="Q918" s="3"/>
    </row>
    <row r="919" spans="1:17" ht="37.5" customHeight="1">
      <c r="A919" s="188">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5188</v>
      </c>
      <c r="Q919" s="3"/>
    </row>
    <row r="920" spans="1:17" ht="45.5" customHeight="1">
      <c r="A920" s="188">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7"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7"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7" t="s">
        <v>2276</v>
      </c>
      <c r="O923" s="26" t="s">
        <v>67</v>
      </c>
      <c r="P923" s="3" t="s">
        <v>5187</v>
      </c>
      <c r="Q923" s="3"/>
    </row>
    <row r="924" spans="1:17" ht="70.5" customHeight="1">
      <c r="A924" s="106">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7" t="s">
        <v>2276</v>
      </c>
      <c r="O924" s="26" t="s">
        <v>67</v>
      </c>
      <c r="P924" s="3" t="s">
        <v>5187</v>
      </c>
      <c r="Q924" s="4" t="s">
        <v>6081</v>
      </c>
    </row>
    <row r="925" spans="1:17" ht="40" customHeight="1">
      <c r="A925" s="106">
        <v>257</v>
      </c>
      <c r="B925" s="40" t="s">
        <v>6085</v>
      </c>
      <c r="C925" s="26" t="s">
        <v>6083</v>
      </c>
      <c r="D925" s="11" t="s">
        <v>2398</v>
      </c>
      <c r="E925" s="3" t="s">
        <v>2422</v>
      </c>
      <c r="F925" s="3" t="s">
        <v>6974</v>
      </c>
      <c r="G925" s="3" t="s">
        <v>6976</v>
      </c>
      <c r="H925" s="3" t="s">
        <v>6086</v>
      </c>
      <c r="I925" s="21">
        <v>9.1499997999999998</v>
      </c>
      <c r="J925" s="21">
        <v>-6.483333</v>
      </c>
      <c r="K925" s="21" t="s">
        <v>2276</v>
      </c>
      <c r="L925" s="3">
        <v>1985</v>
      </c>
      <c r="M925" s="3">
        <v>1995</v>
      </c>
      <c r="N925" s="3">
        <v>16</v>
      </c>
      <c r="O925" s="26" t="s">
        <v>67</v>
      </c>
      <c r="P925" s="204" t="s">
        <v>5187</v>
      </c>
      <c r="Q925" s="3" t="s">
        <v>6978</v>
      </c>
    </row>
    <row r="926" spans="1:17" ht="43.5" customHeight="1">
      <c r="A926" s="106">
        <v>257</v>
      </c>
      <c r="B926" s="40" t="s">
        <v>6085</v>
      </c>
      <c r="C926" s="26" t="s">
        <v>6084</v>
      </c>
      <c r="D926" s="11" t="s">
        <v>2398</v>
      </c>
      <c r="E926" s="204" t="s">
        <v>2422</v>
      </c>
      <c r="F926" s="3" t="s">
        <v>6975</v>
      </c>
      <c r="G926" s="3" t="s">
        <v>6977</v>
      </c>
      <c r="H926" s="3" t="s">
        <v>6086</v>
      </c>
      <c r="I926" s="21">
        <v>9.3744738000000005</v>
      </c>
      <c r="J926" s="21">
        <v>-5.6494460000000002</v>
      </c>
      <c r="K926" s="21" t="s">
        <v>2276</v>
      </c>
      <c r="L926" s="204">
        <v>1985</v>
      </c>
      <c r="M926" s="3">
        <v>1995</v>
      </c>
      <c r="N926" s="3">
        <v>73</v>
      </c>
      <c r="O926" s="26" t="s">
        <v>67</v>
      </c>
      <c r="P926" s="204" t="s">
        <v>5187</v>
      </c>
      <c r="Q926" s="204" t="s">
        <v>6978</v>
      </c>
    </row>
    <row r="927" spans="1:17" ht="45.5" customHeight="1">
      <c r="A927" s="193">
        <v>258</v>
      </c>
      <c r="B927" s="41" t="s">
        <v>6106</v>
      </c>
      <c r="C927" s="4" t="s">
        <v>6148</v>
      </c>
      <c r="D927" s="4" t="s">
        <v>2398</v>
      </c>
      <c r="E927" s="4" t="s">
        <v>2422</v>
      </c>
      <c r="F927" s="4" t="s">
        <v>6107</v>
      </c>
      <c r="G927" s="4" t="s">
        <v>4132</v>
      </c>
      <c r="H927" s="4" t="s">
        <v>4112</v>
      </c>
      <c r="I927" s="82">
        <v>38.837499999999999</v>
      </c>
      <c r="J927" s="74">
        <v>-120.89579999999999</v>
      </c>
      <c r="K927" s="75" t="s">
        <v>2276</v>
      </c>
      <c r="L927" s="4">
        <v>2007</v>
      </c>
      <c r="M927" s="4">
        <v>2015</v>
      </c>
      <c r="N927" s="75" t="s">
        <v>2276</v>
      </c>
      <c r="O927" s="4" t="s">
        <v>67</v>
      </c>
      <c r="P927" s="3" t="s">
        <v>6187</v>
      </c>
      <c r="Q927" s="4"/>
    </row>
    <row r="928" spans="1:17" ht="45.5" customHeight="1">
      <c r="A928" s="193">
        <v>258</v>
      </c>
      <c r="B928" s="41" t="s">
        <v>6106</v>
      </c>
      <c r="C928" s="4" t="s">
        <v>6149</v>
      </c>
      <c r="D928" s="4" t="s">
        <v>2398</v>
      </c>
      <c r="E928" s="4" t="s">
        <v>2422</v>
      </c>
      <c r="F928" s="4" t="s">
        <v>6108</v>
      </c>
      <c r="G928" s="4" t="s">
        <v>4132</v>
      </c>
      <c r="H928" s="4" t="s">
        <v>4112</v>
      </c>
      <c r="I928" s="82">
        <v>34.959200000000003</v>
      </c>
      <c r="J928" s="74">
        <v>-116.699</v>
      </c>
      <c r="K928" s="75">
        <v>146347</v>
      </c>
      <c r="L928" s="4">
        <v>2003</v>
      </c>
      <c r="M928" s="4">
        <v>2018</v>
      </c>
      <c r="N928" s="75">
        <f>23860000/K928</f>
        <v>163.03716509392061</v>
      </c>
      <c r="O928" s="4" t="s">
        <v>67</v>
      </c>
      <c r="P928" s="3" t="s">
        <v>6187</v>
      </c>
      <c r="Q928" s="4" t="s">
        <v>6109</v>
      </c>
    </row>
    <row r="929" spans="1:17" s="203" customFormat="1" ht="45.5" customHeight="1">
      <c r="A929" s="193">
        <v>258</v>
      </c>
      <c r="B929" s="41" t="s">
        <v>6106</v>
      </c>
      <c r="C929" s="4" t="s">
        <v>6639</v>
      </c>
      <c r="D929" s="4" t="s">
        <v>2398</v>
      </c>
      <c r="E929" s="11" t="s">
        <v>4847</v>
      </c>
      <c r="F929" s="4" t="s">
        <v>6642</v>
      </c>
      <c r="G929" s="4" t="s">
        <v>4132</v>
      </c>
      <c r="H929" s="4" t="s">
        <v>4112</v>
      </c>
      <c r="I929" s="82">
        <v>36.490676200000003</v>
      </c>
      <c r="J929" s="74">
        <v>-118.8255468</v>
      </c>
      <c r="K929" s="75">
        <f>3500</f>
        <v>3500</v>
      </c>
      <c r="L929" s="4">
        <v>1960</v>
      </c>
      <c r="M929" s="4">
        <v>2017</v>
      </c>
      <c r="N929" s="75" t="s">
        <v>2276</v>
      </c>
      <c r="O929" s="4" t="s">
        <v>67</v>
      </c>
      <c r="P929" s="204" t="s">
        <v>5187</v>
      </c>
      <c r="Q929" s="4"/>
    </row>
    <row r="930" spans="1:17" s="203" customFormat="1" ht="45.5" customHeight="1">
      <c r="A930" s="193">
        <v>258</v>
      </c>
      <c r="B930" s="41" t="s">
        <v>6106</v>
      </c>
      <c r="C930" s="4" t="s">
        <v>6640</v>
      </c>
      <c r="D930" s="4" t="s">
        <v>2398</v>
      </c>
      <c r="E930" s="11" t="s">
        <v>4847</v>
      </c>
      <c r="F930" s="4" t="s">
        <v>6643</v>
      </c>
      <c r="G930" s="4" t="s">
        <v>4132</v>
      </c>
      <c r="H930" s="4" t="s">
        <v>4112</v>
      </c>
      <c r="I930" s="82">
        <v>37.853309000000003</v>
      </c>
      <c r="J930" s="74">
        <v>-119.55110999999999</v>
      </c>
      <c r="K930" s="75">
        <v>3027</v>
      </c>
      <c r="L930" s="4">
        <v>1960</v>
      </c>
      <c r="M930" s="4">
        <v>2017</v>
      </c>
      <c r="N930" s="75" t="s">
        <v>2276</v>
      </c>
      <c r="O930" s="4" t="s">
        <v>67</v>
      </c>
      <c r="P930" s="204" t="s">
        <v>5187</v>
      </c>
      <c r="Q930" s="4"/>
    </row>
    <row r="931" spans="1:17" s="203" customFormat="1" ht="45.5" customHeight="1">
      <c r="A931" s="193">
        <v>258</v>
      </c>
      <c r="B931" s="41" t="s">
        <v>6106</v>
      </c>
      <c r="C931" s="4" t="s">
        <v>6641</v>
      </c>
      <c r="D931" s="4" t="s">
        <v>2398</v>
      </c>
      <c r="E931" s="11" t="s">
        <v>4847</v>
      </c>
      <c r="F931" s="4" t="s">
        <v>6644</v>
      </c>
      <c r="G931" s="4" t="s">
        <v>4132</v>
      </c>
      <c r="H931" s="4" t="s">
        <v>4112</v>
      </c>
      <c r="I931" s="82">
        <v>40.496962500000002</v>
      </c>
      <c r="J931" s="74">
        <v>-121.4102163</v>
      </c>
      <c r="K931" s="75">
        <v>430.8</v>
      </c>
      <c r="L931" s="4">
        <v>1960</v>
      </c>
      <c r="M931" s="4">
        <v>2017</v>
      </c>
      <c r="N931" s="75" t="s">
        <v>2276</v>
      </c>
      <c r="O931" s="4" t="s">
        <v>67</v>
      </c>
      <c r="P931" s="204" t="s">
        <v>5187</v>
      </c>
      <c r="Q931" s="4"/>
    </row>
    <row r="932" spans="1:17" ht="45.5" customHeight="1">
      <c r="A932" s="193">
        <v>259</v>
      </c>
      <c r="B932" s="41" t="s">
        <v>6110</v>
      </c>
      <c r="C932" s="4" t="s">
        <v>6150</v>
      </c>
      <c r="D932" s="4" t="s">
        <v>2398</v>
      </c>
      <c r="E932" s="11" t="s">
        <v>4847</v>
      </c>
      <c r="F932" s="4" t="s">
        <v>2276</v>
      </c>
      <c r="G932" s="4" t="s">
        <v>6111</v>
      </c>
      <c r="H932" s="4" t="s">
        <v>4051</v>
      </c>
      <c r="I932" s="74">
        <v>37.264158100000003</v>
      </c>
      <c r="J932" s="74">
        <v>22.496772700000001</v>
      </c>
      <c r="K932" s="75">
        <v>21549</v>
      </c>
      <c r="L932" s="4">
        <v>2000</v>
      </c>
      <c r="M932" s="4">
        <v>2007</v>
      </c>
      <c r="N932" s="75">
        <f t="shared" ref="N932" si="12">638942/21549</f>
        <v>29.650656642999675</v>
      </c>
      <c r="O932" s="4" t="s">
        <v>67</v>
      </c>
      <c r="P932" s="3" t="s">
        <v>6187</v>
      </c>
      <c r="Q932" s="4"/>
    </row>
    <row r="933" spans="1:17" ht="45.5" customHeight="1">
      <c r="A933" s="193">
        <v>260</v>
      </c>
      <c r="B933" s="41" t="s">
        <v>6665</v>
      </c>
      <c r="C933" s="4" t="s">
        <v>6151</v>
      </c>
      <c r="D933" s="4" t="s">
        <v>2398</v>
      </c>
      <c r="E933" s="11" t="s">
        <v>4847</v>
      </c>
      <c r="F933" s="4" t="s">
        <v>2276</v>
      </c>
      <c r="G933" s="4" t="s">
        <v>2276</v>
      </c>
      <c r="H933" s="4" t="s">
        <v>6112</v>
      </c>
      <c r="I933" s="74">
        <v>39.811516699999999</v>
      </c>
      <c r="J933" s="74">
        <v>-7.4631071000000002</v>
      </c>
      <c r="K933" s="75">
        <v>92212</v>
      </c>
      <c r="L933" s="4">
        <v>2003</v>
      </c>
      <c r="M933" s="4">
        <v>2005</v>
      </c>
      <c r="N933" s="75" t="s">
        <v>2276</v>
      </c>
      <c r="O933" s="4" t="s">
        <v>67</v>
      </c>
      <c r="P933" s="3" t="s">
        <v>6187</v>
      </c>
      <c r="Q933" s="4" t="s">
        <v>6666</v>
      </c>
    </row>
    <row r="934" spans="1:17" ht="45.5" customHeight="1">
      <c r="A934" s="193">
        <v>260</v>
      </c>
      <c r="B934" s="41" t="s">
        <v>6665</v>
      </c>
      <c r="C934" s="4" t="s">
        <v>6152</v>
      </c>
      <c r="D934" s="4" t="s">
        <v>2398</v>
      </c>
      <c r="E934" s="11" t="s">
        <v>4847</v>
      </c>
      <c r="F934" s="4" t="s">
        <v>6113</v>
      </c>
      <c r="G934" s="4" t="s">
        <v>2276</v>
      </c>
      <c r="H934" s="4" t="s">
        <v>4314</v>
      </c>
      <c r="I934" s="74">
        <v>42.799928600000001</v>
      </c>
      <c r="J934" s="74">
        <v>-8.0177344000000002</v>
      </c>
      <c r="K934" s="75">
        <v>29574</v>
      </c>
      <c r="L934" s="4">
        <v>2006</v>
      </c>
      <c r="M934" s="4">
        <v>2006</v>
      </c>
      <c r="N934" s="75">
        <v>91</v>
      </c>
      <c r="O934" s="4" t="s">
        <v>67</v>
      </c>
      <c r="P934" s="3" t="s">
        <v>6187</v>
      </c>
      <c r="Q934" s="4" t="s">
        <v>6114</v>
      </c>
    </row>
    <row r="935" spans="1:17" s="203" customFormat="1" ht="45.5" customHeight="1">
      <c r="A935" s="193">
        <v>260</v>
      </c>
      <c r="B935" s="41" t="s">
        <v>6665</v>
      </c>
      <c r="C935" s="4" t="s">
        <v>6153</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6187</v>
      </c>
      <c r="Q935" s="4"/>
    </row>
    <row r="936" spans="1:17" ht="45.5" customHeight="1">
      <c r="A936" s="193">
        <v>260</v>
      </c>
      <c r="B936" s="41" t="s">
        <v>6665</v>
      </c>
      <c r="C936" s="4" t="s">
        <v>6675</v>
      </c>
      <c r="D936" s="4" t="s">
        <v>2398</v>
      </c>
      <c r="E936" s="11" t="s">
        <v>4847</v>
      </c>
      <c r="F936" s="4" t="s">
        <v>2276</v>
      </c>
      <c r="G936" s="4" t="s">
        <v>6111</v>
      </c>
      <c r="H936" s="4" t="s">
        <v>4051</v>
      </c>
      <c r="I936" s="74">
        <v>37.264158100000003</v>
      </c>
      <c r="J936" s="74">
        <v>22.496772700000001</v>
      </c>
      <c r="K936" s="75">
        <v>21549</v>
      </c>
      <c r="L936" s="4">
        <v>2007</v>
      </c>
      <c r="M936" s="4">
        <v>2007</v>
      </c>
      <c r="N936" s="75">
        <f t="shared" ref="N936" si="13">638942/21549</f>
        <v>29.650656642999675</v>
      </c>
      <c r="O936" s="4" t="s">
        <v>67</v>
      </c>
      <c r="P936" s="3" t="s">
        <v>6187</v>
      </c>
      <c r="Q936" s="4" t="s">
        <v>6679</v>
      </c>
    </row>
    <row r="937" spans="1:17" ht="45.5" customHeight="1">
      <c r="A937" s="193">
        <v>261</v>
      </c>
      <c r="B937" s="41" t="s">
        <v>6115</v>
      </c>
      <c r="C937" s="4" t="s">
        <v>6154</v>
      </c>
      <c r="D937" s="4" t="s">
        <v>2398</v>
      </c>
      <c r="E937" s="11" t="s">
        <v>4847</v>
      </c>
      <c r="F937" s="4" t="s">
        <v>2276</v>
      </c>
      <c r="G937" s="4" t="s">
        <v>6681</v>
      </c>
      <c r="H937" s="4" t="s">
        <v>6116</v>
      </c>
      <c r="I937" s="74">
        <f>43+24/60</f>
        <v>43.4</v>
      </c>
      <c r="J937" s="74">
        <f>5+22/60</f>
        <v>5.3666666666666663</v>
      </c>
      <c r="K937" s="75">
        <v>1680</v>
      </c>
      <c r="L937" s="4">
        <v>1990</v>
      </c>
      <c r="M937" s="4">
        <v>2007</v>
      </c>
      <c r="N937" s="75">
        <v>420</v>
      </c>
      <c r="O937" s="4" t="s">
        <v>67</v>
      </c>
      <c r="P937" s="3" t="s">
        <v>6187</v>
      </c>
      <c r="Q937" s="4" t="s">
        <v>6117</v>
      </c>
    </row>
    <row r="938" spans="1:17" ht="45.5" customHeight="1">
      <c r="A938" s="193">
        <v>261</v>
      </c>
      <c r="B938" s="41" t="s">
        <v>6115</v>
      </c>
      <c r="C938" s="4" t="s">
        <v>6155</v>
      </c>
      <c r="D938" s="4" t="s">
        <v>2398</v>
      </c>
      <c r="E938" s="11" t="s">
        <v>4847</v>
      </c>
      <c r="F938" s="4" t="s">
        <v>2276</v>
      </c>
      <c r="G938" s="4" t="s">
        <v>6681</v>
      </c>
      <c r="H938" s="4" t="s">
        <v>6116</v>
      </c>
      <c r="I938" s="74">
        <f t="shared" ref="I938:I942" si="14">43+24/60</f>
        <v>43.4</v>
      </c>
      <c r="J938" s="74">
        <f t="shared" ref="J938:J942" si="15">5+22/60</f>
        <v>5.3666666666666663</v>
      </c>
      <c r="K938" s="75">
        <v>1680</v>
      </c>
      <c r="L938" s="4">
        <v>1990</v>
      </c>
      <c r="M938" s="4">
        <v>2007</v>
      </c>
      <c r="N938" s="75">
        <v>420</v>
      </c>
      <c r="O938" s="4" t="s">
        <v>67</v>
      </c>
      <c r="P938" s="3" t="s">
        <v>6187</v>
      </c>
      <c r="Q938" s="4" t="s">
        <v>6118</v>
      </c>
    </row>
    <row r="939" spans="1:17" ht="45.5" customHeight="1">
      <c r="A939" s="193">
        <v>261</v>
      </c>
      <c r="B939" s="41" t="s">
        <v>6115</v>
      </c>
      <c r="C939" s="4" t="s">
        <v>6156</v>
      </c>
      <c r="D939" s="4" t="s">
        <v>2398</v>
      </c>
      <c r="E939" s="11" t="s">
        <v>4847</v>
      </c>
      <c r="F939" s="4" t="s">
        <v>2276</v>
      </c>
      <c r="G939" s="4" t="s">
        <v>6681</v>
      </c>
      <c r="H939" s="4" t="s">
        <v>6116</v>
      </c>
      <c r="I939" s="74">
        <f t="shared" si="14"/>
        <v>43.4</v>
      </c>
      <c r="J939" s="74">
        <f t="shared" si="15"/>
        <v>5.3666666666666663</v>
      </c>
      <c r="K939" s="75">
        <v>1680</v>
      </c>
      <c r="L939" s="4">
        <v>1990</v>
      </c>
      <c r="M939" s="4">
        <v>2007</v>
      </c>
      <c r="N939" s="75">
        <v>420</v>
      </c>
      <c r="O939" s="4" t="s">
        <v>67</v>
      </c>
      <c r="P939" s="3" t="s">
        <v>6187</v>
      </c>
      <c r="Q939" s="4" t="s">
        <v>6119</v>
      </c>
    </row>
    <row r="940" spans="1:17" ht="45.5" customHeight="1">
      <c r="A940" s="193">
        <v>261</v>
      </c>
      <c r="B940" s="41" t="s">
        <v>6115</v>
      </c>
      <c r="C940" s="4" t="s">
        <v>6157</v>
      </c>
      <c r="D940" s="4" t="s">
        <v>2398</v>
      </c>
      <c r="E940" s="11" t="s">
        <v>4847</v>
      </c>
      <c r="F940" s="4" t="s">
        <v>2276</v>
      </c>
      <c r="G940" s="4" t="s">
        <v>6681</v>
      </c>
      <c r="H940" s="4" t="s">
        <v>6116</v>
      </c>
      <c r="I940" s="74">
        <f t="shared" si="14"/>
        <v>43.4</v>
      </c>
      <c r="J940" s="74">
        <f t="shared" si="15"/>
        <v>5.3666666666666663</v>
      </c>
      <c r="K940" s="75">
        <v>1680</v>
      </c>
      <c r="L940" s="4">
        <v>1990</v>
      </c>
      <c r="M940" s="4">
        <v>2007</v>
      </c>
      <c r="N940" s="75">
        <v>420</v>
      </c>
      <c r="O940" s="4" t="s">
        <v>67</v>
      </c>
      <c r="P940" s="3" t="s">
        <v>6187</v>
      </c>
      <c r="Q940" s="4" t="s">
        <v>6120</v>
      </c>
    </row>
    <row r="941" spans="1:17" ht="45.5" customHeight="1">
      <c r="A941" s="193">
        <v>261</v>
      </c>
      <c r="B941" s="41" t="s">
        <v>6121</v>
      </c>
      <c r="C941" s="4" t="s">
        <v>6158</v>
      </c>
      <c r="D941" s="4" t="s">
        <v>2398</v>
      </c>
      <c r="E941" s="11" t="s">
        <v>4847</v>
      </c>
      <c r="F941" s="4" t="s">
        <v>2276</v>
      </c>
      <c r="G941" s="4" t="s">
        <v>6681</v>
      </c>
      <c r="H941" s="4" t="s">
        <v>6116</v>
      </c>
      <c r="I941" s="74">
        <f t="shared" si="14"/>
        <v>43.4</v>
      </c>
      <c r="J941" s="74">
        <f t="shared" si="15"/>
        <v>5.3666666666666663</v>
      </c>
      <c r="K941" s="75">
        <v>1680</v>
      </c>
      <c r="L941" s="4">
        <v>1990</v>
      </c>
      <c r="M941" s="4">
        <v>2007</v>
      </c>
      <c r="N941" s="75">
        <v>420</v>
      </c>
      <c r="O941" s="4" t="s">
        <v>67</v>
      </c>
      <c r="P941" s="3" t="s">
        <v>6187</v>
      </c>
      <c r="Q941" s="4" t="s">
        <v>6122</v>
      </c>
    </row>
    <row r="942" spans="1:17" ht="45.5" customHeight="1">
      <c r="A942" s="193">
        <v>261</v>
      </c>
      <c r="B942" s="41" t="s">
        <v>6115</v>
      </c>
      <c r="C942" s="4" t="s">
        <v>6159</v>
      </c>
      <c r="D942" s="4" t="s">
        <v>2398</v>
      </c>
      <c r="E942" s="11" t="s">
        <v>4847</v>
      </c>
      <c r="F942" s="4" t="s">
        <v>2276</v>
      </c>
      <c r="G942" s="4" t="s">
        <v>6681</v>
      </c>
      <c r="H942" s="4" t="s">
        <v>6116</v>
      </c>
      <c r="I942" s="74">
        <f t="shared" si="14"/>
        <v>43.4</v>
      </c>
      <c r="J942" s="74">
        <f t="shared" si="15"/>
        <v>5.3666666666666663</v>
      </c>
      <c r="K942" s="75">
        <v>1680</v>
      </c>
      <c r="L942" s="4">
        <v>1990</v>
      </c>
      <c r="M942" s="4">
        <v>2007</v>
      </c>
      <c r="N942" s="75">
        <v>420</v>
      </c>
      <c r="O942" s="4" t="s">
        <v>67</v>
      </c>
      <c r="P942" s="3" t="s">
        <v>6187</v>
      </c>
      <c r="Q942" s="4" t="s">
        <v>6123</v>
      </c>
    </row>
    <row r="943" spans="1:17" ht="45.5" customHeight="1">
      <c r="A943" s="193">
        <v>262</v>
      </c>
      <c r="B943" s="41" t="s">
        <v>6124</v>
      </c>
      <c r="C943" s="4" t="s">
        <v>6160</v>
      </c>
      <c r="D943" s="4" t="s">
        <v>2398</v>
      </c>
      <c r="E943" s="4" t="s">
        <v>2399</v>
      </c>
      <c r="F943" s="4" t="s">
        <v>6125</v>
      </c>
      <c r="G943" s="4" t="s">
        <v>6126</v>
      </c>
      <c r="H943" s="4" t="s">
        <v>4942</v>
      </c>
      <c r="I943" s="74">
        <v>46.273333333333298</v>
      </c>
      <c r="J943" s="74">
        <v>7.8220000000000001</v>
      </c>
      <c r="K943" s="75">
        <v>257</v>
      </c>
      <c r="L943" s="4">
        <v>2005</v>
      </c>
      <c r="M943" s="4">
        <v>2009</v>
      </c>
      <c r="N943" s="75" t="s">
        <v>2276</v>
      </c>
      <c r="O943" s="4" t="s">
        <v>67</v>
      </c>
      <c r="P943" s="3" t="s">
        <v>6187</v>
      </c>
      <c r="Q943" s="4"/>
    </row>
    <row r="944" spans="1:17" ht="45.5" customHeight="1">
      <c r="A944" s="193">
        <v>263</v>
      </c>
      <c r="B944" s="41" t="s">
        <v>6127</v>
      </c>
      <c r="C944" s="4" t="s">
        <v>6161</v>
      </c>
      <c r="D944" s="4" t="s">
        <v>2398</v>
      </c>
      <c r="E944" s="11" t="s">
        <v>4847</v>
      </c>
      <c r="F944" s="4" t="s">
        <v>6128</v>
      </c>
      <c r="G944" s="4" t="s">
        <v>6113</v>
      </c>
      <c r="H944" s="4" t="s">
        <v>4314</v>
      </c>
      <c r="I944" s="74">
        <v>43.126083700000002</v>
      </c>
      <c r="J944" s="74">
        <v>-7.0688597</v>
      </c>
      <c r="K944" s="75">
        <f>139153/0.856/100</f>
        <v>1625.6191588785048</v>
      </c>
      <c r="L944" s="4">
        <v>1991</v>
      </c>
      <c r="M944" s="4">
        <v>2008</v>
      </c>
      <c r="N944" s="75" t="s">
        <v>2276</v>
      </c>
      <c r="O944" s="4" t="s">
        <v>67</v>
      </c>
      <c r="P944" s="3" t="s">
        <v>6187</v>
      </c>
      <c r="Q944" s="4"/>
    </row>
    <row r="945" spans="1:17" ht="45.5" customHeight="1">
      <c r="A945" s="193">
        <v>264</v>
      </c>
      <c r="B945" s="41" t="s">
        <v>6129</v>
      </c>
      <c r="C945" s="4" t="s">
        <v>6162</v>
      </c>
      <c r="D945" s="4" t="s">
        <v>2398</v>
      </c>
      <c r="E945" s="11" t="s">
        <v>2422</v>
      </c>
      <c r="F945" s="4" t="s">
        <v>2276</v>
      </c>
      <c r="G945" s="4" t="s">
        <v>6113</v>
      </c>
      <c r="H945" s="4" t="s">
        <v>4314</v>
      </c>
      <c r="I945" s="74">
        <v>42.799928600000001</v>
      </c>
      <c r="J945" s="74">
        <v>-8.0177344000000002</v>
      </c>
      <c r="K945" s="75">
        <v>29574</v>
      </c>
      <c r="L945" s="4">
        <v>2006</v>
      </c>
      <c r="M945" s="4">
        <v>2016</v>
      </c>
      <c r="N945" s="75">
        <v>92</v>
      </c>
      <c r="O945" s="4" t="s">
        <v>67</v>
      </c>
      <c r="P945" s="3" t="s">
        <v>6187</v>
      </c>
      <c r="Q945" s="4"/>
    </row>
    <row r="946" spans="1:17" ht="45.5" customHeight="1">
      <c r="A946" s="193">
        <v>265</v>
      </c>
      <c r="B946" s="41" t="s">
        <v>6130</v>
      </c>
      <c r="C946" s="4" t="s">
        <v>6163</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6187</v>
      </c>
      <c r="Q946" s="4"/>
    </row>
    <row r="947" spans="1:17" ht="45.5" customHeight="1">
      <c r="A947" s="193">
        <v>265</v>
      </c>
      <c r="B947" s="41" t="s">
        <v>6130</v>
      </c>
      <c r="C947" s="4" t="s">
        <v>6164</v>
      </c>
      <c r="D947" s="4" t="s">
        <v>2398</v>
      </c>
      <c r="E947" s="4" t="s">
        <v>2422</v>
      </c>
      <c r="F947" s="4" t="s">
        <v>2276</v>
      </c>
      <c r="G947" s="4" t="s">
        <v>6131</v>
      </c>
      <c r="H947" s="4" t="s">
        <v>6116</v>
      </c>
      <c r="I947" s="74">
        <v>42.066000000000003</v>
      </c>
      <c r="J947" s="74">
        <v>9.0214999999999996</v>
      </c>
      <c r="K947" s="75">
        <v>8700</v>
      </c>
      <c r="L947" s="4">
        <v>1990</v>
      </c>
      <c r="M947" s="4">
        <v>2015</v>
      </c>
      <c r="N947" s="75">
        <f>330000/K947</f>
        <v>37.931034482758619</v>
      </c>
      <c r="O947" s="4" t="s">
        <v>67</v>
      </c>
      <c r="P947" s="3" t="s">
        <v>6187</v>
      </c>
      <c r="Q947" s="4"/>
    </row>
    <row r="948" spans="1:17" ht="45.5" customHeight="1">
      <c r="A948" s="193">
        <v>265</v>
      </c>
      <c r="B948" s="41" t="s">
        <v>6130</v>
      </c>
      <c r="C948" s="4" t="s">
        <v>6165</v>
      </c>
      <c r="D948" s="4" t="s">
        <v>2398</v>
      </c>
      <c r="E948" s="4" t="s">
        <v>2422</v>
      </c>
      <c r="F948" s="4" t="s">
        <v>2276</v>
      </c>
      <c r="G948" s="4" t="s">
        <v>6132</v>
      </c>
      <c r="H948" s="4" t="s">
        <v>4314</v>
      </c>
      <c r="I948" s="74">
        <v>41.985333333333301</v>
      </c>
      <c r="J948" s="74">
        <v>1.8681666666666701</v>
      </c>
      <c r="K948" s="75">
        <v>32100</v>
      </c>
      <c r="L948" s="4">
        <v>1990</v>
      </c>
      <c r="M948" s="4">
        <v>2015</v>
      </c>
      <c r="N948" s="75">
        <f>7500000/K948</f>
        <v>233.64485981308411</v>
      </c>
      <c r="O948" s="4" t="s">
        <v>67</v>
      </c>
      <c r="P948" s="3" t="s">
        <v>6187</v>
      </c>
      <c r="Q948" s="4"/>
    </row>
    <row r="949" spans="1:17" s="203" customFormat="1" ht="45.5" customHeight="1">
      <c r="A949" s="213">
        <v>266</v>
      </c>
      <c r="B949" s="214" t="s">
        <v>6799</v>
      </c>
      <c r="C949" s="19" t="s">
        <v>6166</v>
      </c>
      <c r="D949" s="4" t="s">
        <v>2398</v>
      </c>
      <c r="E949" s="4" t="s">
        <v>6801</v>
      </c>
      <c r="F949" s="4" t="s">
        <v>2276</v>
      </c>
      <c r="G949" s="19" t="s">
        <v>6800</v>
      </c>
      <c r="H949" s="19" t="s">
        <v>6112</v>
      </c>
      <c r="I949" s="74">
        <f>41+53/60</f>
        <v>41.883333333333333</v>
      </c>
      <c r="J949" s="74">
        <f>-8-33/60</f>
        <v>-8.5500000000000007</v>
      </c>
      <c r="K949" s="82">
        <f>3697/100</f>
        <v>36.97</v>
      </c>
      <c r="L949" s="19">
        <v>1980</v>
      </c>
      <c r="M949" s="19">
        <v>1996</v>
      </c>
      <c r="N949" s="75">
        <v>113</v>
      </c>
      <c r="O949" s="4" t="s">
        <v>67</v>
      </c>
      <c r="P949" s="11" t="s">
        <v>5187</v>
      </c>
      <c r="Q949" s="19"/>
    </row>
    <row r="950" spans="1:17" s="203" customFormat="1" ht="45.5" customHeight="1">
      <c r="A950" s="213">
        <v>266</v>
      </c>
      <c r="B950" s="214" t="s">
        <v>6799</v>
      </c>
      <c r="C950" s="19" t="s">
        <v>6167</v>
      </c>
      <c r="D950" s="4" t="s">
        <v>2398</v>
      </c>
      <c r="E950" s="4" t="s">
        <v>4847</v>
      </c>
      <c r="F950" s="4" t="s">
        <v>2276</v>
      </c>
      <c r="G950" s="19" t="s">
        <v>6800</v>
      </c>
      <c r="H950" s="19" t="s">
        <v>6112</v>
      </c>
      <c r="I950" s="74">
        <f>41+53/60</f>
        <v>41.883333333333333</v>
      </c>
      <c r="J950" s="74">
        <f>-8-33/60</f>
        <v>-8.5500000000000007</v>
      </c>
      <c r="K950" s="82">
        <v>2200</v>
      </c>
      <c r="L950" s="19">
        <v>1988</v>
      </c>
      <c r="M950" s="19">
        <v>1995</v>
      </c>
      <c r="N950" s="75">
        <v>113</v>
      </c>
      <c r="O950" s="4" t="s">
        <v>67</v>
      </c>
      <c r="P950" s="11" t="s">
        <v>5187</v>
      </c>
      <c r="Q950" s="19"/>
    </row>
    <row r="951" spans="1:17" ht="45.5" customHeight="1">
      <c r="A951" s="193">
        <v>267</v>
      </c>
      <c r="B951" s="41" t="s">
        <v>6133</v>
      </c>
      <c r="C951" s="4" t="s">
        <v>6168</v>
      </c>
      <c r="D951" s="4" t="s">
        <v>2398</v>
      </c>
      <c r="E951" s="4" t="s">
        <v>2422</v>
      </c>
      <c r="F951" s="4" t="s">
        <v>6134</v>
      </c>
      <c r="G951" s="4" t="s">
        <v>2276</v>
      </c>
      <c r="H951" s="4" t="s">
        <v>4314</v>
      </c>
      <c r="I951" s="82">
        <v>43.362000000000002</v>
      </c>
      <c r="J951" s="74">
        <v>-8.6858333333333295</v>
      </c>
      <c r="K951" s="75">
        <v>37.83</v>
      </c>
      <c r="L951" s="4">
        <v>2006</v>
      </c>
      <c r="M951" s="4">
        <v>2007</v>
      </c>
      <c r="N951" s="75" t="s">
        <v>2276</v>
      </c>
      <c r="O951" s="4" t="s">
        <v>67</v>
      </c>
      <c r="P951" s="204" t="s">
        <v>6187</v>
      </c>
      <c r="Q951" s="4"/>
    </row>
    <row r="952" spans="1:17" ht="45.5" customHeight="1">
      <c r="A952" s="193">
        <v>267</v>
      </c>
      <c r="B952" s="41" t="s">
        <v>6133</v>
      </c>
      <c r="C952" s="4" t="s">
        <v>6169</v>
      </c>
      <c r="D952" s="4" t="s">
        <v>2398</v>
      </c>
      <c r="E952" s="4" t="s">
        <v>2422</v>
      </c>
      <c r="F952" s="4" t="s">
        <v>6135</v>
      </c>
      <c r="G952" s="4" t="s">
        <v>2276</v>
      </c>
      <c r="H952" s="4" t="s">
        <v>4314</v>
      </c>
      <c r="I952" s="82">
        <v>43.009</v>
      </c>
      <c r="J952" s="74">
        <v>-7.9279999999999999</v>
      </c>
      <c r="K952" s="75">
        <v>329.8</v>
      </c>
      <c r="L952" s="4">
        <v>2006</v>
      </c>
      <c r="M952" s="4">
        <v>2007</v>
      </c>
      <c r="N952" s="75" t="s">
        <v>2276</v>
      </c>
      <c r="O952" s="4" t="s">
        <v>67</v>
      </c>
      <c r="P952" s="204" t="s">
        <v>6187</v>
      </c>
      <c r="Q952" s="4"/>
    </row>
    <row r="953" spans="1:17" ht="45.5" customHeight="1">
      <c r="A953" s="193">
        <v>267</v>
      </c>
      <c r="B953" s="41" t="s">
        <v>6133</v>
      </c>
      <c r="C953" s="4" t="s">
        <v>6170</v>
      </c>
      <c r="D953" s="4" t="s">
        <v>2398</v>
      </c>
      <c r="E953" s="4" t="s">
        <v>2422</v>
      </c>
      <c r="F953" s="4" t="s">
        <v>6136</v>
      </c>
      <c r="G953" s="4" t="s">
        <v>2276</v>
      </c>
      <c r="H953" s="4" t="s">
        <v>4314</v>
      </c>
      <c r="I953" s="82">
        <v>42.335000000000001</v>
      </c>
      <c r="J953" s="74">
        <v>-7.8639000000000001</v>
      </c>
      <c r="K953" s="75">
        <v>85.2</v>
      </c>
      <c r="L953" s="4">
        <v>2006</v>
      </c>
      <c r="M953" s="4">
        <v>2007</v>
      </c>
      <c r="N953" s="75" t="s">
        <v>2276</v>
      </c>
      <c r="O953" s="4" t="s">
        <v>67</v>
      </c>
      <c r="P953" s="204" t="s">
        <v>6187</v>
      </c>
      <c r="Q953" s="4"/>
    </row>
    <row r="954" spans="1:17" ht="45.5" customHeight="1">
      <c r="A954" s="193">
        <v>267</v>
      </c>
      <c r="B954" s="41" t="s">
        <v>6133</v>
      </c>
      <c r="C954" s="4" t="s">
        <v>6171</v>
      </c>
      <c r="D954" s="4" t="s">
        <v>2398</v>
      </c>
      <c r="E954" s="4" t="s">
        <v>2422</v>
      </c>
      <c r="F954" s="4" t="s">
        <v>6137</v>
      </c>
      <c r="G954" s="4" t="s">
        <v>2276</v>
      </c>
      <c r="H954" s="4" t="s">
        <v>4314</v>
      </c>
      <c r="I954" s="82">
        <v>42.429000000000002</v>
      </c>
      <c r="J954" s="74">
        <v>-8.6446000000000005</v>
      </c>
      <c r="K954" s="75">
        <v>118.2</v>
      </c>
      <c r="L954" s="4">
        <v>2006</v>
      </c>
      <c r="M954" s="4">
        <v>2007</v>
      </c>
      <c r="N954" s="75" t="s">
        <v>2276</v>
      </c>
      <c r="O954" s="4" t="s">
        <v>67</v>
      </c>
      <c r="P954" s="204" t="s">
        <v>6187</v>
      </c>
      <c r="Q954" s="4"/>
    </row>
    <row r="955" spans="1:17" ht="45.5" customHeight="1">
      <c r="A955" s="193">
        <v>267</v>
      </c>
      <c r="B955" s="41" t="s">
        <v>6133</v>
      </c>
      <c r="C955" s="4" t="s">
        <v>6172</v>
      </c>
      <c r="D955" s="4" t="s">
        <v>2398</v>
      </c>
      <c r="E955" s="4" t="s">
        <v>2422</v>
      </c>
      <c r="F955" s="4" t="s">
        <v>6138</v>
      </c>
      <c r="G955" s="4" t="s">
        <v>2276</v>
      </c>
      <c r="H955" s="4" t="s">
        <v>4314</v>
      </c>
      <c r="I955" s="82">
        <v>43.360999999999997</v>
      </c>
      <c r="J955" s="74">
        <v>-5.8593000000000002</v>
      </c>
      <c r="K955" s="75">
        <v>10604</v>
      </c>
      <c r="L955" s="4">
        <v>2006</v>
      </c>
      <c r="M955" s="4">
        <v>2007</v>
      </c>
      <c r="N955" s="75" t="s">
        <v>2276</v>
      </c>
      <c r="O955" s="4" t="s">
        <v>67</v>
      </c>
      <c r="P955" s="204" t="s">
        <v>6187</v>
      </c>
      <c r="Q955" s="4"/>
    </row>
    <row r="956" spans="1:17" ht="45.5" customHeight="1">
      <c r="A956" s="193">
        <v>267</v>
      </c>
      <c r="B956" s="41" t="s">
        <v>6133</v>
      </c>
      <c r="C956" s="4" t="s">
        <v>6173</v>
      </c>
      <c r="D956" s="4" t="s">
        <v>2398</v>
      </c>
      <c r="E956" s="4" t="s">
        <v>2422</v>
      </c>
      <c r="F956" s="4" t="s">
        <v>6139</v>
      </c>
      <c r="G956" s="4" t="s">
        <v>2276</v>
      </c>
      <c r="H956" s="4" t="s">
        <v>4314</v>
      </c>
      <c r="I956" s="82">
        <v>43.182000000000002</v>
      </c>
      <c r="J956" s="74">
        <v>-3.9878</v>
      </c>
      <c r="K956" s="75">
        <v>5321</v>
      </c>
      <c r="L956" s="4">
        <v>2006</v>
      </c>
      <c r="M956" s="4">
        <v>2007</v>
      </c>
      <c r="N956" s="75" t="s">
        <v>2276</v>
      </c>
      <c r="O956" s="4" t="s">
        <v>67</v>
      </c>
      <c r="P956" s="204" t="s">
        <v>6187</v>
      </c>
      <c r="Q956" s="4"/>
    </row>
    <row r="957" spans="1:17" ht="45.5" customHeight="1">
      <c r="A957" s="193">
        <v>267</v>
      </c>
      <c r="B957" s="41" t="s">
        <v>6133</v>
      </c>
      <c r="C957" s="4" t="s">
        <v>6174</v>
      </c>
      <c r="D957" s="4" t="s">
        <v>2398</v>
      </c>
      <c r="E957" s="4" t="s">
        <v>2422</v>
      </c>
      <c r="F957" s="4" t="s">
        <v>6140</v>
      </c>
      <c r="G957" s="4" t="s">
        <v>2276</v>
      </c>
      <c r="H957" s="4" t="s">
        <v>4314</v>
      </c>
      <c r="I957" s="82">
        <v>42.597999999999999</v>
      </c>
      <c r="J957" s="74">
        <v>-5.9451666666666698</v>
      </c>
      <c r="K957" s="75">
        <v>39.03</v>
      </c>
      <c r="L957" s="4">
        <v>2006</v>
      </c>
      <c r="M957" s="4">
        <v>2007</v>
      </c>
      <c r="N957" s="75" t="s">
        <v>2276</v>
      </c>
      <c r="O957" s="4" t="s">
        <v>67</v>
      </c>
      <c r="P957" s="204" t="s">
        <v>6187</v>
      </c>
      <c r="Q957" s="4"/>
    </row>
    <row r="958" spans="1:17" ht="45.5" customHeight="1">
      <c r="A958" s="193">
        <v>267</v>
      </c>
      <c r="B958" s="41" t="s">
        <v>6133</v>
      </c>
      <c r="C958" s="4" t="s">
        <v>6175</v>
      </c>
      <c r="D958" s="4" t="s">
        <v>2398</v>
      </c>
      <c r="E958" s="4" t="s">
        <v>2422</v>
      </c>
      <c r="F958" s="4" t="s">
        <v>6141</v>
      </c>
      <c r="G958" s="4" t="s">
        <v>2276</v>
      </c>
      <c r="H958" s="4" t="s">
        <v>4314</v>
      </c>
      <c r="I958" s="82">
        <v>41.503</v>
      </c>
      <c r="J958" s="74">
        <v>-5.7468000000000004</v>
      </c>
      <c r="K958" s="75">
        <v>149.30000000000001</v>
      </c>
      <c r="L958" s="4">
        <v>2006</v>
      </c>
      <c r="M958" s="4">
        <v>2007</v>
      </c>
      <c r="N958" s="75" t="s">
        <v>2276</v>
      </c>
      <c r="O958" s="4" t="s">
        <v>67</v>
      </c>
      <c r="P958" s="204" t="s">
        <v>6187</v>
      </c>
      <c r="Q958" s="4"/>
    </row>
    <row r="959" spans="1:17" ht="45.5" customHeight="1">
      <c r="A959" s="193">
        <v>267</v>
      </c>
      <c r="B959" s="41" t="s">
        <v>6133</v>
      </c>
      <c r="C959" s="4" t="s">
        <v>6176</v>
      </c>
      <c r="D959" s="4" t="s">
        <v>2398</v>
      </c>
      <c r="E959" s="4" t="s">
        <v>2422</v>
      </c>
      <c r="F959" s="4" t="s">
        <v>6142</v>
      </c>
      <c r="G959" s="4" t="s">
        <v>2276</v>
      </c>
      <c r="H959" s="4" t="s">
        <v>4314</v>
      </c>
      <c r="I959" s="82">
        <v>40.655999999999999</v>
      </c>
      <c r="J959" s="74">
        <v>-4.6811999999999996</v>
      </c>
      <c r="K959" s="75">
        <v>231.9</v>
      </c>
      <c r="L959" s="4">
        <v>2006</v>
      </c>
      <c r="M959" s="4">
        <v>2007</v>
      </c>
      <c r="N959" s="75" t="s">
        <v>2276</v>
      </c>
      <c r="O959" s="4" t="s">
        <v>67</v>
      </c>
      <c r="P959" s="204" t="s">
        <v>6187</v>
      </c>
      <c r="Q959" s="4"/>
    </row>
    <row r="960" spans="1:17" ht="45.5" customHeight="1">
      <c r="A960" s="193">
        <v>267</v>
      </c>
      <c r="B960" s="41" t="s">
        <v>6133</v>
      </c>
      <c r="C960" s="4" t="s">
        <v>6177</v>
      </c>
      <c r="D960" s="4" t="s">
        <v>2398</v>
      </c>
      <c r="E960" s="4" t="s">
        <v>2422</v>
      </c>
      <c r="F960" s="4" t="s">
        <v>6143</v>
      </c>
      <c r="G960" s="4" t="s">
        <v>2276</v>
      </c>
      <c r="H960" s="4" t="s">
        <v>4314</v>
      </c>
      <c r="I960" s="82">
        <v>42.695</v>
      </c>
      <c r="J960" s="74">
        <v>-1.6760999999999999</v>
      </c>
      <c r="K960" s="75">
        <v>10391</v>
      </c>
      <c r="L960" s="4">
        <v>2006</v>
      </c>
      <c r="M960" s="4">
        <v>2007</v>
      </c>
      <c r="N960" s="75" t="s">
        <v>2276</v>
      </c>
      <c r="O960" s="4" t="s">
        <v>67</v>
      </c>
      <c r="P960" s="204" t="s">
        <v>6187</v>
      </c>
      <c r="Q960" s="4"/>
    </row>
    <row r="961" spans="1:17" ht="45.5" customHeight="1">
      <c r="A961" s="193">
        <v>267</v>
      </c>
      <c r="B961" s="41" t="s">
        <v>6133</v>
      </c>
      <c r="C961" s="4" t="s">
        <v>6178</v>
      </c>
      <c r="D961" s="4" t="s">
        <v>2398</v>
      </c>
      <c r="E961" s="4" t="s">
        <v>2422</v>
      </c>
      <c r="F961" s="4" t="s">
        <v>6144</v>
      </c>
      <c r="G961" s="4" t="s">
        <v>2276</v>
      </c>
      <c r="H961" s="4" t="s">
        <v>4314</v>
      </c>
      <c r="I961" s="82">
        <v>42.131</v>
      </c>
      <c r="J961" s="74">
        <v>0.67966666666666697</v>
      </c>
      <c r="K961" s="75">
        <v>161</v>
      </c>
      <c r="L961" s="4">
        <v>2006</v>
      </c>
      <c r="M961" s="4">
        <v>2007</v>
      </c>
      <c r="N961" s="75" t="s">
        <v>2276</v>
      </c>
      <c r="O961" s="4" t="s">
        <v>67</v>
      </c>
      <c r="P961" s="204" t="s">
        <v>6187</v>
      </c>
      <c r="Q961" s="4"/>
    </row>
    <row r="962" spans="1:17" ht="45.5" customHeight="1">
      <c r="A962" s="193">
        <v>267</v>
      </c>
      <c r="B962" s="41" t="s">
        <v>6133</v>
      </c>
      <c r="C962" s="4" t="s">
        <v>6179</v>
      </c>
      <c r="D962" s="4" t="s">
        <v>2398</v>
      </c>
      <c r="E962" s="4" t="s">
        <v>2422</v>
      </c>
      <c r="F962" s="4" t="s">
        <v>6145</v>
      </c>
      <c r="G962" s="4" t="s">
        <v>2276</v>
      </c>
      <c r="H962" s="4" t="s">
        <v>4314</v>
      </c>
      <c r="I962" s="82">
        <v>39.475000000000001</v>
      </c>
      <c r="J962" s="74">
        <v>-6.6206666666666703</v>
      </c>
      <c r="K962" s="75">
        <v>1750</v>
      </c>
      <c r="L962" s="4">
        <v>2006</v>
      </c>
      <c r="M962" s="4">
        <v>2007</v>
      </c>
      <c r="N962" s="75" t="s">
        <v>2276</v>
      </c>
      <c r="O962" s="4" t="s">
        <v>67</v>
      </c>
      <c r="P962" s="204" t="s">
        <v>6187</v>
      </c>
      <c r="Q962" s="4"/>
    </row>
    <row r="963" spans="1:17" s="203" customFormat="1" ht="45.5" customHeight="1">
      <c r="A963" s="213">
        <v>268</v>
      </c>
      <c r="B963" s="214" t="s">
        <v>6806</v>
      </c>
      <c r="C963" s="19" t="s">
        <v>6180</v>
      </c>
      <c r="D963" s="4" t="s">
        <v>2398</v>
      </c>
      <c r="E963" s="4" t="s">
        <v>2400</v>
      </c>
      <c r="F963" s="19" t="s">
        <v>6808</v>
      </c>
      <c r="G963" s="4" t="s">
        <v>2276</v>
      </c>
      <c r="H963" s="19" t="s">
        <v>6807</v>
      </c>
      <c r="I963" s="82">
        <v>46.091164999999997</v>
      </c>
      <c r="J963" s="74">
        <v>15.9262975</v>
      </c>
      <c r="K963" s="82">
        <v>1224</v>
      </c>
      <c r="L963" s="19">
        <v>1991</v>
      </c>
      <c r="M963" s="19">
        <v>2011</v>
      </c>
      <c r="N963" s="75">
        <f>133000/K963</f>
        <v>108.66013071895425</v>
      </c>
      <c r="O963" s="4" t="s">
        <v>67</v>
      </c>
      <c r="P963" s="204" t="s">
        <v>5187</v>
      </c>
      <c r="Q963" s="19"/>
    </row>
    <row r="964" spans="1:17" ht="45.5" customHeight="1">
      <c r="A964" s="213">
        <v>269</v>
      </c>
      <c r="B964" s="214" t="s">
        <v>6809</v>
      </c>
      <c r="C964" s="19" t="s">
        <v>6181</v>
      </c>
      <c r="D964" s="19" t="s">
        <v>2398</v>
      </c>
      <c r="E964" s="11" t="s">
        <v>2636</v>
      </c>
      <c r="F964" s="19" t="s">
        <v>6810</v>
      </c>
      <c r="G964" s="4" t="s">
        <v>2276</v>
      </c>
      <c r="H964" s="19" t="s">
        <v>4051</v>
      </c>
      <c r="I964" s="21">
        <v>38.683346999999998</v>
      </c>
      <c r="J964" s="21">
        <v>22.023790300000002</v>
      </c>
      <c r="K964" s="82">
        <f>56000/100</f>
        <v>560</v>
      </c>
      <c r="L964" s="19">
        <v>2000</v>
      </c>
      <c r="M964" s="19">
        <v>2000</v>
      </c>
      <c r="N964" s="82">
        <v>8</v>
      </c>
      <c r="O964" s="4" t="s">
        <v>67</v>
      </c>
      <c r="P964" s="204" t="s">
        <v>5187</v>
      </c>
      <c r="Q964" s="19"/>
    </row>
    <row r="965" spans="1:17" s="203" customFormat="1" ht="45.5" customHeight="1">
      <c r="A965" s="213">
        <v>269</v>
      </c>
      <c r="B965" s="214" t="s">
        <v>6809</v>
      </c>
      <c r="C965" s="19" t="s">
        <v>6811</v>
      </c>
      <c r="D965" s="19" t="s">
        <v>2398</v>
      </c>
      <c r="E965" s="11" t="s">
        <v>2636</v>
      </c>
      <c r="F965" s="19" t="s">
        <v>6834</v>
      </c>
      <c r="G965" s="4" t="s">
        <v>2276</v>
      </c>
      <c r="H965" s="19" t="s">
        <v>4051</v>
      </c>
      <c r="I965" s="21">
        <v>35.25</v>
      </c>
      <c r="J965" s="21">
        <v>25.15</v>
      </c>
      <c r="K965" s="82">
        <f>45000/100</f>
        <v>450</v>
      </c>
      <c r="L965" s="19">
        <v>2000</v>
      </c>
      <c r="M965" s="19">
        <v>2000</v>
      </c>
      <c r="N965" s="82">
        <v>59</v>
      </c>
      <c r="O965" s="4" t="s">
        <v>67</v>
      </c>
      <c r="P965" s="204" t="s">
        <v>5187</v>
      </c>
      <c r="Q965" s="19"/>
    </row>
    <row r="966" spans="1:17" s="203" customFormat="1" ht="45.5" customHeight="1">
      <c r="A966" s="213">
        <v>269</v>
      </c>
      <c r="B966" s="214" t="s">
        <v>6809</v>
      </c>
      <c r="C966" s="19" t="s">
        <v>6812</v>
      </c>
      <c r="D966" s="19" t="s">
        <v>2398</v>
      </c>
      <c r="E966" s="11" t="s">
        <v>2636</v>
      </c>
      <c r="F966" s="19" t="s">
        <v>6835</v>
      </c>
      <c r="G966" s="4" t="s">
        <v>6836</v>
      </c>
      <c r="H966" s="19" t="s">
        <v>6116</v>
      </c>
      <c r="I966" s="21">
        <v>42.882364872224102</v>
      </c>
      <c r="J966" s="21">
        <v>2.59374381836796</v>
      </c>
      <c r="K966" s="82">
        <f>250000/100</f>
        <v>2500</v>
      </c>
      <c r="L966" s="19">
        <v>2000</v>
      </c>
      <c r="M966" s="19">
        <v>2000</v>
      </c>
      <c r="N966" s="82">
        <v>13</v>
      </c>
      <c r="O966" s="4" t="s">
        <v>67</v>
      </c>
      <c r="P966" s="204" t="s">
        <v>5187</v>
      </c>
      <c r="Q966" s="19"/>
    </row>
    <row r="967" spans="1:17" s="203" customFormat="1" ht="45.5" customHeight="1">
      <c r="A967" s="213">
        <v>269</v>
      </c>
      <c r="B967" s="214" t="s">
        <v>6809</v>
      </c>
      <c r="C967" s="19" t="s">
        <v>6813</v>
      </c>
      <c r="D967" s="19" t="s">
        <v>2398</v>
      </c>
      <c r="E967" s="11" t="s">
        <v>2636</v>
      </c>
      <c r="F967" s="19" t="s">
        <v>6837</v>
      </c>
      <c r="G967" s="4" t="s">
        <v>2276</v>
      </c>
      <c r="H967" s="4" t="s">
        <v>4942</v>
      </c>
      <c r="I967" s="21">
        <v>42.192011899999997</v>
      </c>
      <c r="J967" s="21">
        <v>13.728916699999999</v>
      </c>
      <c r="K967" s="82">
        <f>190000/100</f>
        <v>1900</v>
      </c>
      <c r="L967" s="19">
        <v>2000</v>
      </c>
      <c r="M967" s="19">
        <v>2000</v>
      </c>
      <c r="N967" s="82">
        <v>30</v>
      </c>
      <c r="O967" s="4" t="s">
        <v>67</v>
      </c>
      <c r="P967" s="204" t="s">
        <v>5187</v>
      </c>
      <c r="Q967" s="19"/>
    </row>
    <row r="968" spans="1:17" s="203" customFormat="1" ht="45.5" customHeight="1">
      <c r="A968" s="213">
        <v>269</v>
      </c>
      <c r="B968" s="214" t="s">
        <v>6809</v>
      </c>
      <c r="C968" s="19" t="s">
        <v>6814</v>
      </c>
      <c r="D968" s="19" t="s">
        <v>2398</v>
      </c>
      <c r="E968" s="11" t="s">
        <v>2636</v>
      </c>
      <c r="F968" s="19" t="s">
        <v>6838</v>
      </c>
      <c r="G968" s="4" t="s">
        <v>2276</v>
      </c>
      <c r="H968" s="4" t="s">
        <v>4942</v>
      </c>
      <c r="I968" s="21">
        <v>40.643076600000001</v>
      </c>
      <c r="J968" s="21">
        <v>15.9699878</v>
      </c>
      <c r="K968" s="82">
        <f>201000/100</f>
        <v>2010</v>
      </c>
      <c r="L968" s="19">
        <v>2000</v>
      </c>
      <c r="M968" s="19">
        <v>2000</v>
      </c>
      <c r="N968" s="82">
        <v>54</v>
      </c>
      <c r="O968" s="4" t="s">
        <v>67</v>
      </c>
      <c r="P968" s="204" t="s">
        <v>5187</v>
      </c>
      <c r="Q968" s="19"/>
    </row>
    <row r="969" spans="1:17" s="203" customFormat="1" ht="45.5" customHeight="1">
      <c r="A969" s="213">
        <v>269</v>
      </c>
      <c r="B969" s="214" t="s">
        <v>6809</v>
      </c>
      <c r="C969" s="19" t="s">
        <v>6815</v>
      </c>
      <c r="D969" s="19" t="s">
        <v>2398</v>
      </c>
      <c r="E969" s="11" t="s">
        <v>2636</v>
      </c>
      <c r="F969" s="19" t="s">
        <v>6839</v>
      </c>
      <c r="G969" s="4" t="s">
        <v>2276</v>
      </c>
      <c r="H969" s="19" t="s">
        <v>4314</v>
      </c>
      <c r="I969" s="21">
        <v>37.083300100000002</v>
      </c>
      <c r="J969" s="21">
        <v>-3.0666983999999999</v>
      </c>
      <c r="K969" s="82">
        <f>70000/100</f>
        <v>700</v>
      </c>
      <c r="L969" s="19">
        <v>2000</v>
      </c>
      <c r="M969" s="19">
        <v>2000</v>
      </c>
      <c r="N969" s="82">
        <v>65</v>
      </c>
      <c r="O969" s="4" t="s">
        <v>67</v>
      </c>
      <c r="P969" s="204" t="s">
        <v>5187</v>
      </c>
      <c r="Q969" s="19"/>
    </row>
    <row r="970" spans="1:17" s="203" customFormat="1" ht="45.5" customHeight="1">
      <c r="A970" s="213">
        <v>269</v>
      </c>
      <c r="B970" s="214" t="s">
        <v>6809</v>
      </c>
      <c r="C970" s="19" t="s">
        <v>6816</v>
      </c>
      <c r="D970" s="19" t="s">
        <v>2398</v>
      </c>
      <c r="E970" s="11" t="s">
        <v>2636</v>
      </c>
      <c r="F970" s="19" t="s">
        <v>6840</v>
      </c>
      <c r="G970" s="4" t="s">
        <v>2276</v>
      </c>
      <c r="H970" s="19" t="s">
        <v>6112</v>
      </c>
      <c r="I970" s="21">
        <v>41.486120300000003</v>
      </c>
      <c r="J970" s="21">
        <v>-7.1787644000000004</v>
      </c>
      <c r="K970" s="82">
        <f>340000/100</f>
        <v>3400</v>
      </c>
      <c r="L970" s="19">
        <v>2000</v>
      </c>
      <c r="M970" s="19">
        <v>2000</v>
      </c>
      <c r="N970" s="82">
        <v>27</v>
      </c>
      <c r="O970" s="4" t="s">
        <v>67</v>
      </c>
      <c r="P970" s="204" t="s">
        <v>5187</v>
      </c>
      <c r="Q970" s="19"/>
    </row>
    <row r="971" spans="1:17" s="203" customFormat="1" ht="45.5" customHeight="1">
      <c r="A971" s="213">
        <v>269</v>
      </c>
      <c r="B971" s="214" t="s">
        <v>6809</v>
      </c>
      <c r="C971" s="19" t="s">
        <v>6817</v>
      </c>
      <c r="D971" s="19" t="s">
        <v>2398</v>
      </c>
      <c r="E971" s="11" t="s">
        <v>2636</v>
      </c>
      <c r="F971" s="19" t="s">
        <v>6841</v>
      </c>
      <c r="G971" s="4" t="s">
        <v>2276</v>
      </c>
      <c r="H971" s="19" t="s">
        <v>5091</v>
      </c>
      <c r="I971" s="21">
        <v>64.201952800000001</v>
      </c>
      <c r="J971" s="21">
        <v>19.718870200000001</v>
      </c>
      <c r="K971" s="82">
        <f>265000/100</f>
        <v>2650</v>
      </c>
      <c r="L971" s="19">
        <v>2000</v>
      </c>
      <c r="M971" s="19">
        <v>2000</v>
      </c>
      <c r="N971" s="82">
        <v>2</v>
      </c>
      <c r="O971" s="4" t="s">
        <v>67</v>
      </c>
      <c r="P971" s="204" t="s">
        <v>5187</v>
      </c>
      <c r="Q971" s="19"/>
    </row>
    <row r="972" spans="1:17" s="203" customFormat="1" ht="45.5" customHeight="1">
      <c r="A972" s="213">
        <v>269</v>
      </c>
      <c r="B972" s="214" t="s">
        <v>6809</v>
      </c>
      <c r="C972" s="19" t="s">
        <v>6818</v>
      </c>
      <c r="D972" s="19" t="s">
        <v>2398</v>
      </c>
      <c r="E972" s="11" t="s">
        <v>2636</v>
      </c>
      <c r="F972" s="19" t="s">
        <v>6842</v>
      </c>
      <c r="G972" s="4" t="s">
        <v>2276</v>
      </c>
      <c r="H972" s="19" t="s">
        <v>6843</v>
      </c>
      <c r="I972" s="21">
        <v>63.064316499999997</v>
      </c>
      <c r="J972" s="21">
        <v>28.322957899999999</v>
      </c>
      <c r="K972" s="82">
        <f>1999000/100</f>
        <v>19990</v>
      </c>
      <c r="L972" s="19">
        <v>2000</v>
      </c>
      <c r="M972" s="19">
        <v>2000</v>
      </c>
      <c r="N972" s="82">
        <v>14</v>
      </c>
      <c r="O972" s="4" t="s">
        <v>67</v>
      </c>
      <c r="P972" s="204" t="s">
        <v>5187</v>
      </c>
      <c r="Q972" s="19"/>
    </row>
    <row r="973" spans="1:17" s="203" customFormat="1" ht="45.5" customHeight="1">
      <c r="A973" s="213">
        <v>269</v>
      </c>
      <c r="B973" s="214" t="s">
        <v>6809</v>
      </c>
      <c r="C973" s="19" t="s">
        <v>6819</v>
      </c>
      <c r="D973" s="19" t="s">
        <v>2398</v>
      </c>
      <c r="E973" s="11" t="s">
        <v>2636</v>
      </c>
      <c r="F973" s="19" t="s">
        <v>6844</v>
      </c>
      <c r="G973" s="4" t="s">
        <v>2276</v>
      </c>
      <c r="H973" s="19" t="s">
        <v>6845</v>
      </c>
      <c r="I973" s="21">
        <v>47.075139200000002</v>
      </c>
      <c r="J973" s="21">
        <v>10.6642951</v>
      </c>
      <c r="K973" s="82">
        <f>335000/100</f>
        <v>3350</v>
      </c>
      <c r="L973" s="19">
        <v>2000</v>
      </c>
      <c r="M973" s="19">
        <v>2000</v>
      </c>
      <c r="N973" s="82">
        <v>26</v>
      </c>
      <c r="O973" s="4" t="s">
        <v>67</v>
      </c>
      <c r="P973" s="204" t="s">
        <v>5187</v>
      </c>
      <c r="Q973" s="19"/>
    </row>
    <row r="974" spans="1:17" s="203" customFormat="1" ht="45.5" customHeight="1">
      <c r="A974" s="213">
        <v>269</v>
      </c>
      <c r="B974" s="214" t="s">
        <v>6809</v>
      </c>
      <c r="C974" s="19" t="s">
        <v>6820</v>
      </c>
      <c r="D974" s="19" t="s">
        <v>2398</v>
      </c>
      <c r="E974" s="11" t="s">
        <v>2636</v>
      </c>
      <c r="F974" s="19" t="s">
        <v>6846</v>
      </c>
      <c r="G974" s="4" t="s">
        <v>2276</v>
      </c>
      <c r="H974" s="19" t="s">
        <v>6853</v>
      </c>
      <c r="I974" s="21">
        <v>46.2840104</v>
      </c>
      <c r="J974" s="21">
        <v>13.8594144</v>
      </c>
      <c r="K974" s="82">
        <f>84000/100</f>
        <v>840</v>
      </c>
      <c r="L974" s="19">
        <v>2000</v>
      </c>
      <c r="M974" s="19">
        <v>2000</v>
      </c>
      <c r="N974" s="82">
        <v>22</v>
      </c>
      <c r="O974" s="4" t="s">
        <v>67</v>
      </c>
      <c r="P974" s="204" t="s">
        <v>5187</v>
      </c>
      <c r="Q974" s="19"/>
    </row>
    <row r="975" spans="1:17" s="203" customFormat="1" ht="45.5" customHeight="1">
      <c r="A975" s="213">
        <v>269</v>
      </c>
      <c r="B975" s="214" t="s">
        <v>6809</v>
      </c>
      <c r="C975" s="19" t="s">
        <v>6821</v>
      </c>
      <c r="D975" s="19" t="s">
        <v>2398</v>
      </c>
      <c r="E975" s="11" t="s">
        <v>2636</v>
      </c>
      <c r="F975" s="19" t="s">
        <v>6863</v>
      </c>
      <c r="G975" s="4" t="s">
        <v>6864</v>
      </c>
      <c r="H975" s="19" t="s">
        <v>4942</v>
      </c>
      <c r="I975" s="21">
        <v>46.1666667</v>
      </c>
      <c r="J975" s="21">
        <v>11.25</v>
      </c>
      <c r="K975" s="82">
        <f>15000/100</f>
        <v>150</v>
      </c>
      <c r="L975" s="19">
        <v>2000</v>
      </c>
      <c r="M975" s="19">
        <v>2000</v>
      </c>
      <c r="N975" s="82">
        <v>69</v>
      </c>
      <c r="O975" s="4" t="s">
        <v>67</v>
      </c>
      <c r="P975" s="204" t="s">
        <v>5187</v>
      </c>
      <c r="Q975" s="19"/>
    </row>
    <row r="976" spans="1:17" s="203" customFormat="1" ht="45.5" customHeight="1">
      <c r="A976" s="213">
        <v>269</v>
      </c>
      <c r="B976" s="214" t="s">
        <v>6809</v>
      </c>
      <c r="C976" s="19" t="s">
        <v>6822</v>
      </c>
      <c r="D976" s="19" t="s">
        <v>2398</v>
      </c>
      <c r="E976" s="11" t="s">
        <v>2636</v>
      </c>
      <c r="F976" s="19" t="s">
        <v>6847</v>
      </c>
      <c r="G976" s="4" t="s">
        <v>2276</v>
      </c>
      <c r="H976" s="19" t="s">
        <v>6849</v>
      </c>
      <c r="I976" s="21">
        <v>47.3161925</v>
      </c>
      <c r="J976" s="21">
        <v>9.4316572999999995</v>
      </c>
      <c r="K976" s="82">
        <f>24000/100</f>
        <v>240</v>
      </c>
      <c r="L976" s="19">
        <v>2000</v>
      </c>
      <c r="M976" s="19">
        <v>2000</v>
      </c>
      <c r="N976" s="82">
        <v>224</v>
      </c>
      <c r="O976" s="4" t="s">
        <v>67</v>
      </c>
      <c r="P976" s="204" t="s">
        <v>5187</v>
      </c>
      <c r="Q976" s="19"/>
    </row>
    <row r="977" spans="1:17" s="203" customFormat="1" ht="45.5" customHeight="1">
      <c r="A977" s="213">
        <v>269</v>
      </c>
      <c r="B977" s="214" t="s">
        <v>6809</v>
      </c>
      <c r="C977" s="19" t="s">
        <v>6823</v>
      </c>
      <c r="D977" s="19" t="s">
        <v>2398</v>
      </c>
      <c r="E977" s="11" t="s">
        <v>2636</v>
      </c>
      <c r="F977" s="19" t="s">
        <v>6848</v>
      </c>
      <c r="G977" s="4" t="s">
        <v>2276</v>
      </c>
      <c r="H977" s="19" t="s">
        <v>6850</v>
      </c>
      <c r="I977" s="21">
        <v>47.539197100000003</v>
      </c>
      <c r="J977" s="21">
        <v>10.284401600000001</v>
      </c>
      <c r="K977" s="82">
        <f>153000/100</f>
        <v>1530</v>
      </c>
      <c r="L977" s="19">
        <v>2000</v>
      </c>
      <c r="M977" s="19">
        <v>2000</v>
      </c>
      <c r="N977" s="82">
        <v>94</v>
      </c>
      <c r="O977" s="4" t="s">
        <v>67</v>
      </c>
      <c r="P977" s="204" t="s">
        <v>5187</v>
      </c>
      <c r="Q977" s="19"/>
    </row>
    <row r="978" spans="1:17" s="203" customFormat="1" ht="45.5" customHeight="1">
      <c r="A978" s="213">
        <v>269</v>
      </c>
      <c r="B978" s="214" t="s">
        <v>6809</v>
      </c>
      <c r="C978" s="19" t="s">
        <v>6824</v>
      </c>
      <c r="D978" s="19" t="s">
        <v>2398</v>
      </c>
      <c r="E978" s="11" t="s">
        <v>2636</v>
      </c>
      <c r="F978" s="19" t="s">
        <v>6852</v>
      </c>
      <c r="G978" s="4" t="s">
        <v>6851</v>
      </c>
      <c r="H978" s="19" t="s">
        <v>6116</v>
      </c>
      <c r="I978" s="21">
        <v>45.717104900000002</v>
      </c>
      <c r="J978" s="21">
        <v>6.5742919999999998</v>
      </c>
      <c r="K978" s="82">
        <f>3890</f>
        <v>3890</v>
      </c>
      <c r="L978" s="19">
        <v>2000</v>
      </c>
      <c r="M978" s="19">
        <v>2000</v>
      </c>
      <c r="N978" s="82">
        <v>22</v>
      </c>
      <c r="O978" s="4" t="s">
        <v>67</v>
      </c>
      <c r="P978" s="204" t="s">
        <v>5187</v>
      </c>
      <c r="Q978" s="19"/>
    </row>
    <row r="979" spans="1:17" s="203" customFormat="1" ht="45.5" customHeight="1">
      <c r="A979" s="213">
        <v>269</v>
      </c>
      <c r="B979" s="214" t="s">
        <v>6809</v>
      </c>
      <c r="C979" s="19" t="s">
        <v>6825</v>
      </c>
      <c r="D979" s="19" t="s">
        <v>2398</v>
      </c>
      <c r="E979" s="11" t="s">
        <v>2636</v>
      </c>
      <c r="F979" s="19" t="s">
        <v>6854</v>
      </c>
      <c r="G979" s="4" t="s">
        <v>2276</v>
      </c>
      <c r="H979" s="19" t="s">
        <v>4942</v>
      </c>
      <c r="I979" s="21">
        <v>45.738887800000001</v>
      </c>
      <c r="J979" s="21">
        <v>7.4261866000000003</v>
      </c>
      <c r="K979" s="82">
        <v>3260</v>
      </c>
      <c r="L979" s="19">
        <v>2000</v>
      </c>
      <c r="M979" s="19">
        <v>2000</v>
      </c>
      <c r="N979" s="82">
        <v>36</v>
      </c>
      <c r="O979" s="4" t="s">
        <v>67</v>
      </c>
      <c r="P979" s="204" t="s">
        <v>5187</v>
      </c>
      <c r="Q979" s="19"/>
    </row>
    <row r="980" spans="1:17" s="203" customFormat="1" ht="45.5" customHeight="1">
      <c r="A980" s="213">
        <v>269</v>
      </c>
      <c r="B980" s="214" t="s">
        <v>6809</v>
      </c>
      <c r="C980" s="19" t="s">
        <v>6826</v>
      </c>
      <c r="D980" s="19" t="s">
        <v>2398</v>
      </c>
      <c r="E980" s="11" t="s">
        <v>2636</v>
      </c>
      <c r="F980" s="19" t="s">
        <v>6855</v>
      </c>
      <c r="G980" s="4" t="s">
        <v>2276</v>
      </c>
      <c r="H980" s="19" t="s">
        <v>6849</v>
      </c>
      <c r="I980" s="21">
        <v>46.190461399999997</v>
      </c>
      <c r="J980" s="21">
        <v>7.5449225999999996</v>
      </c>
      <c r="K980" s="82">
        <v>5220</v>
      </c>
      <c r="L980" s="19">
        <v>2000</v>
      </c>
      <c r="M980" s="19">
        <v>2000</v>
      </c>
      <c r="N980" s="82">
        <v>52</v>
      </c>
      <c r="O980" s="4" t="s">
        <v>67</v>
      </c>
      <c r="P980" s="204" t="s">
        <v>5187</v>
      </c>
      <c r="Q980" s="19"/>
    </row>
    <row r="981" spans="1:17" s="203" customFormat="1" ht="45.5" customHeight="1">
      <c r="A981" s="213">
        <v>269</v>
      </c>
      <c r="B981" s="214" t="s">
        <v>6809</v>
      </c>
      <c r="C981" s="19" t="s">
        <v>6827</v>
      </c>
      <c r="D981" s="19" t="s">
        <v>2398</v>
      </c>
      <c r="E981" s="11" t="s">
        <v>2636</v>
      </c>
      <c r="F981" s="19" t="s">
        <v>6865</v>
      </c>
      <c r="G981" s="4" t="s">
        <v>6866</v>
      </c>
      <c r="H981" s="19" t="s">
        <v>6116</v>
      </c>
      <c r="I981" s="21">
        <v>44.967608599999998</v>
      </c>
      <c r="J981" s="21">
        <v>5.5300643000000003</v>
      </c>
      <c r="K981" s="82">
        <v>1770</v>
      </c>
      <c r="L981" s="19">
        <v>2000</v>
      </c>
      <c r="M981" s="19">
        <v>2000</v>
      </c>
      <c r="N981" s="82">
        <v>17</v>
      </c>
      <c r="O981" s="4" t="s">
        <v>67</v>
      </c>
      <c r="P981" s="204" t="s">
        <v>5187</v>
      </c>
      <c r="Q981" s="19"/>
    </row>
    <row r="982" spans="1:17" s="203" customFormat="1" ht="45.5" customHeight="1">
      <c r="A982" s="213">
        <v>269</v>
      </c>
      <c r="B982" s="214" t="s">
        <v>6809</v>
      </c>
      <c r="C982" s="19" t="s">
        <v>6828</v>
      </c>
      <c r="D982" s="19" t="s">
        <v>2398</v>
      </c>
      <c r="E982" s="11" t="s">
        <v>2636</v>
      </c>
      <c r="F982" s="19" t="s">
        <v>6856</v>
      </c>
      <c r="G982" s="4" t="s">
        <v>2276</v>
      </c>
      <c r="H982" s="19" t="s">
        <v>6116</v>
      </c>
      <c r="I982" s="21">
        <v>46.374850000000002</v>
      </c>
      <c r="J982" s="21">
        <v>5.9737280000000004</v>
      </c>
      <c r="K982" s="82">
        <v>4300</v>
      </c>
      <c r="L982" s="19">
        <v>2000</v>
      </c>
      <c r="M982" s="19">
        <v>2000</v>
      </c>
      <c r="N982" s="82">
        <v>35</v>
      </c>
      <c r="O982" s="4" t="s">
        <v>67</v>
      </c>
      <c r="P982" s="204" t="s">
        <v>5187</v>
      </c>
      <c r="Q982" s="19"/>
    </row>
    <row r="983" spans="1:17" s="203" customFormat="1" ht="45.5" customHeight="1">
      <c r="A983" s="213">
        <v>269</v>
      </c>
      <c r="B983" s="214" t="s">
        <v>6809</v>
      </c>
      <c r="C983" s="19" t="s">
        <v>6829</v>
      </c>
      <c r="D983" s="19" t="s">
        <v>2398</v>
      </c>
      <c r="E983" s="11" t="s">
        <v>2636</v>
      </c>
      <c r="F983" s="19" t="s">
        <v>6858</v>
      </c>
      <c r="G983" s="4" t="s">
        <v>6857</v>
      </c>
      <c r="H983" s="19" t="s">
        <v>4314</v>
      </c>
      <c r="I983" s="21">
        <v>43.187215500000001</v>
      </c>
      <c r="J983" s="21">
        <v>-4.8215240000000001</v>
      </c>
      <c r="K983" s="82">
        <v>1800</v>
      </c>
      <c r="L983" s="19">
        <v>2000</v>
      </c>
      <c r="M983" s="19">
        <v>2000</v>
      </c>
      <c r="N983" s="82">
        <v>10</v>
      </c>
      <c r="O983" s="4" t="s">
        <v>67</v>
      </c>
      <c r="P983" s="204" t="s">
        <v>5187</v>
      </c>
      <c r="Q983" s="19"/>
    </row>
    <row r="984" spans="1:17" s="203" customFormat="1" ht="45.5" customHeight="1">
      <c r="A984" s="213">
        <v>269</v>
      </c>
      <c r="B984" s="214" t="s">
        <v>6809</v>
      </c>
      <c r="C984" s="19" t="s">
        <v>6830</v>
      </c>
      <c r="D984" s="19" t="s">
        <v>2398</v>
      </c>
      <c r="E984" s="11" t="s">
        <v>2636</v>
      </c>
      <c r="F984" s="19" t="s">
        <v>6859</v>
      </c>
      <c r="G984" s="4" t="s">
        <v>2276</v>
      </c>
      <c r="H984" s="19" t="s">
        <v>6116</v>
      </c>
      <c r="I984" s="21">
        <v>43.244912800000002</v>
      </c>
      <c r="J984" s="21">
        <v>-1.2891036</v>
      </c>
      <c r="K984" s="82">
        <v>2480</v>
      </c>
      <c r="L984" s="19">
        <v>2000</v>
      </c>
      <c r="M984" s="19">
        <v>2000</v>
      </c>
      <c r="N984" s="82">
        <v>100</v>
      </c>
      <c r="O984" s="4" t="s">
        <v>67</v>
      </c>
      <c r="P984" s="204" t="s">
        <v>5187</v>
      </c>
      <c r="Q984" s="19"/>
    </row>
    <row r="985" spans="1:17" s="203" customFormat="1" ht="45.5" customHeight="1">
      <c r="A985" s="213">
        <v>269</v>
      </c>
      <c r="B985" s="214" t="s">
        <v>6809</v>
      </c>
      <c r="C985" s="19" t="s">
        <v>6831</v>
      </c>
      <c r="D985" s="19" t="s">
        <v>2398</v>
      </c>
      <c r="E985" s="11" t="s">
        <v>2636</v>
      </c>
      <c r="F985" s="19" t="s">
        <v>6860</v>
      </c>
      <c r="G985" s="4" t="s">
        <v>2276</v>
      </c>
      <c r="H985" s="19" t="s">
        <v>4314</v>
      </c>
      <c r="I985" s="21">
        <v>42.95</v>
      </c>
      <c r="J985" s="21">
        <v>-2.3166669999999998</v>
      </c>
      <c r="K985" s="82">
        <v>1660</v>
      </c>
      <c r="L985" s="19">
        <v>2000</v>
      </c>
      <c r="M985" s="19">
        <v>2000</v>
      </c>
      <c r="N985" s="82">
        <v>13</v>
      </c>
      <c r="O985" s="4" t="s">
        <v>67</v>
      </c>
      <c r="P985" s="204" t="s">
        <v>5187</v>
      </c>
      <c r="Q985" s="19"/>
    </row>
    <row r="986" spans="1:17" s="203" customFormat="1" ht="45.5" customHeight="1">
      <c r="A986" s="213">
        <v>269</v>
      </c>
      <c r="B986" s="214" t="s">
        <v>6809</v>
      </c>
      <c r="C986" s="19" t="s">
        <v>6832</v>
      </c>
      <c r="D986" s="19" t="s">
        <v>2398</v>
      </c>
      <c r="E986" s="11" t="s">
        <v>2636</v>
      </c>
      <c r="F986" s="19" t="s">
        <v>6861</v>
      </c>
      <c r="G986" s="4" t="s">
        <v>2276</v>
      </c>
      <c r="H986" s="19" t="s">
        <v>6116</v>
      </c>
      <c r="I986" s="21">
        <v>42.840257893276302</v>
      </c>
      <c r="J986" s="21">
        <v>1.3032658975710401</v>
      </c>
      <c r="K986" s="82">
        <v>1200</v>
      </c>
      <c r="L986" s="19">
        <v>2000</v>
      </c>
      <c r="M986" s="19">
        <v>2000</v>
      </c>
      <c r="N986" s="82">
        <v>15</v>
      </c>
      <c r="O986" s="4" t="s">
        <v>67</v>
      </c>
      <c r="P986" s="204" t="s">
        <v>5187</v>
      </c>
      <c r="Q986" s="19"/>
    </row>
    <row r="987" spans="1:17" s="203" customFormat="1" ht="45.5" customHeight="1">
      <c r="A987" s="213">
        <v>269</v>
      </c>
      <c r="B987" s="214" t="s">
        <v>6809</v>
      </c>
      <c r="C987" s="19" t="s">
        <v>6833</v>
      </c>
      <c r="D987" s="19" t="s">
        <v>2398</v>
      </c>
      <c r="E987" s="11" t="s">
        <v>2636</v>
      </c>
      <c r="F987" s="19" t="s">
        <v>6862</v>
      </c>
      <c r="G987" s="4" t="s">
        <v>2276</v>
      </c>
      <c r="H987" s="19" t="s">
        <v>4314</v>
      </c>
      <c r="I987" s="21">
        <v>42.525766405594503</v>
      </c>
      <c r="J987" s="21">
        <v>1.08426298991359</v>
      </c>
      <c r="K987" s="82">
        <v>1120</v>
      </c>
      <c r="L987" s="19">
        <v>2000</v>
      </c>
      <c r="M987" s="19">
        <v>2000</v>
      </c>
      <c r="N987" s="82">
        <v>3</v>
      </c>
      <c r="O987" s="4" t="s">
        <v>67</v>
      </c>
      <c r="P987" s="204" t="s">
        <v>5187</v>
      </c>
      <c r="Q987" s="19"/>
    </row>
    <row r="988" spans="1:17" ht="45.5" customHeight="1">
      <c r="A988" s="193">
        <v>270</v>
      </c>
      <c r="B988" s="41" t="s">
        <v>6146</v>
      </c>
      <c r="C988" s="4" t="s">
        <v>6182</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6187</v>
      </c>
      <c r="Q988" s="4"/>
    </row>
    <row r="989" spans="1:17" ht="45.5" customHeight="1">
      <c r="A989" s="193">
        <v>271</v>
      </c>
      <c r="B989" s="41" t="s">
        <v>6147</v>
      </c>
      <c r="C989" s="4" t="s">
        <v>6183</v>
      </c>
      <c r="D989" s="4" t="s">
        <v>2398</v>
      </c>
      <c r="E989" s="11" t="s">
        <v>4847</v>
      </c>
      <c r="F989" s="4" t="s">
        <v>2276</v>
      </c>
      <c r="G989" s="4" t="s">
        <v>2276</v>
      </c>
      <c r="H989" s="4" t="s">
        <v>6112</v>
      </c>
      <c r="I989" s="74">
        <v>39.666499999999999</v>
      </c>
      <c r="J989" s="74">
        <v>-8.3741666666666692</v>
      </c>
      <c r="K989" s="75">
        <v>89000</v>
      </c>
      <c r="L989" s="4">
        <v>2007</v>
      </c>
      <c r="M989" s="4">
        <v>2014</v>
      </c>
      <c r="N989" s="75" t="s">
        <v>2276</v>
      </c>
      <c r="O989" s="4" t="s">
        <v>67</v>
      </c>
      <c r="P989" s="3" t="s">
        <v>6187</v>
      </c>
      <c r="Q989" s="4"/>
    </row>
    <row r="990" spans="1:17" ht="71" customHeight="1">
      <c r="A990" s="213">
        <v>272</v>
      </c>
      <c r="B990" s="214" t="s">
        <v>6899</v>
      </c>
      <c r="C990" s="19" t="s">
        <v>6184</v>
      </c>
      <c r="D990" s="19" t="s">
        <v>2398</v>
      </c>
      <c r="E990" s="11" t="s">
        <v>4847</v>
      </c>
      <c r="F990" s="4" t="s">
        <v>2276</v>
      </c>
      <c r="G990" s="4" t="s">
        <v>6113</v>
      </c>
      <c r="H990" s="4" t="s">
        <v>4314</v>
      </c>
      <c r="I990" s="74">
        <v>42.799928600000001</v>
      </c>
      <c r="J990" s="74">
        <v>-8.0177344000000002</v>
      </c>
      <c r="K990" s="75">
        <f>SUM(K991:K996)</f>
        <v>29109</v>
      </c>
      <c r="L990" s="4">
        <v>1988</v>
      </c>
      <c r="M990" s="4">
        <v>2006</v>
      </c>
      <c r="N990" s="75" t="s">
        <v>2276</v>
      </c>
      <c r="O990" s="4" t="s">
        <v>67</v>
      </c>
      <c r="P990" s="204" t="s">
        <v>5187</v>
      </c>
      <c r="Q990" s="19" t="s">
        <v>6900</v>
      </c>
    </row>
    <row r="991" spans="1:17" s="203" customFormat="1" ht="71" customHeight="1">
      <c r="A991" s="213">
        <v>272</v>
      </c>
      <c r="B991" s="214" t="s">
        <v>6899</v>
      </c>
      <c r="C991" s="19" t="s">
        <v>6185</v>
      </c>
      <c r="D991" s="19" t="s">
        <v>2398</v>
      </c>
      <c r="E991" s="11" t="s">
        <v>4847</v>
      </c>
      <c r="F991" s="4" t="s">
        <v>2276</v>
      </c>
      <c r="G991" s="4" t="s">
        <v>6113</v>
      </c>
      <c r="H991" s="4" t="s">
        <v>4314</v>
      </c>
      <c r="I991" s="74">
        <v>42.799928600000001</v>
      </c>
      <c r="J991" s="74">
        <v>-8.0177344000000002</v>
      </c>
      <c r="K991" s="75">
        <f>36*9300/100</f>
        <v>3348</v>
      </c>
      <c r="L991" s="4">
        <v>1988</v>
      </c>
      <c r="M991" s="4">
        <v>2006</v>
      </c>
      <c r="N991" s="75" t="s">
        <v>2276</v>
      </c>
      <c r="O991" s="4" t="s">
        <v>67</v>
      </c>
      <c r="P991" s="204" t="s">
        <v>5187</v>
      </c>
      <c r="Q991" s="19" t="s">
        <v>6916</v>
      </c>
    </row>
    <row r="992" spans="1:17" s="203" customFormat="1" ht="71" customHeight="1">
      <c r="A992" s="213">
        <v>272</v>
      </c>
      <c r="B992" s="214" t="s">
        <v>6899</v>
      </c>
      <c r="C992" s="19" t="s">
        <v>6186</v>
      </c>
      <c r="D992" s="19" t="s">
        <v>2398</v>
      </c>
      <c r="E992" s="11" t="s">
        <v>4847</v>
      </c>
      <c r="F992" s="4" t="s">
        <v>2276</v>
      </c>
      <c r="G992" s="4" t="s">
        <v>6113</v>
      </c>
      <c r="H992" s="4" t="s">
        <v>4314</v>
      </c>
      <c r="I992" s="74">
        <v>42.799928600000001</v>
      </c>
      <c r="J992" s="74">
        <v>-8.0177344000000002</v>
      </c>
      <c r="K992" s="75">
        <f>37*9300/100</f>
        <v>3441</v>
      </c>
      <c r="L992" s="4">
        <v>1988</v>
      </c>
      <c r="M992" s="4">
        <v>2006</v>
      </c>
      <c r="N992" s="75" t="s">
        <v>2276</v>
      </c>
      <c r="O992" s="4" t="s">
        <v>67</v>
      </c>
      <c r="P992" s="204" t="s">
        <v>5187</v>
      </c>
      <c r="Q992" s="19" t="s">
        <v>6916</v>
      </c>
    </row>
    <row r="993" spans="1:17" s="203" customFormat="1" ht="71" customHeight="1">
      <c r="A993" s="213">
        <v>272</v>
      </c>
      <c r="B993" s="214" t="s">
        <v>6899</v>
      </c>
      <c r="C993" s="19" t="s">
        <v>6901</v>
      </c>
      <c r="D993" s="19" t="s">
        <v>2398</v>
      </c>
      <c r="E993" s="11" t="s">
        <v>4847</v>
      </c>
      <c r="F993" s="4" t="s">
        <v>2276</v>
      </c>
      <c r="G993" s="4" t="s">
        <v>6113</v>
      </c>
      <c r="H993" s="4" t="s">
        <v>4314</v>
      </c>
      <c r="I993" s="74">
        <v>42.799928600000001</v>
      </c>
      <c r="J993" s="74">
        <v>-8.0177344000000002</v>
      </c>
      <c r="K993" s="75">
        <f>92*9300/100</f>
        <v>8556</v>
      </c>
      <c r="L993" s="4">
        <v>1988</v>
      </c>
      <c r="M993" s="4">
        <v>2006</v>
      </c>
      <c r="N993" s="75" t="s">
        <v>2276</v>
      </c>
      <c r="O993" s="4" t="s">
        <v>67</v>
      </c>
      <c r="P993" s="204" t="s">
        <v>5187</v>
      </c>
      <c r="Q993" s="19" t="s">
        <v>6916</v>
      </c>
    </row>
    <row r="994" spans="1:17" s="203" customFormat="1" ht="71" customHeight="1">
      <c r="A994" s="213">
        <v>272</v>
      </c>
      <c r="B994" s="214" t="s">
        <v>6899</v>
      </c>
      <c r="C994" s="19" t="s">
        <v>6902</v>
      </c>
      <c r="D994" s="19" t="s">
        <v>2398</v>
      </c>
      <c r="E994" s="11" t="s">
        <v>4847</v>
      </c>
      <c r="F994" s="4" t="s">
        <v>2276</v>
      </c>
      <c r="G994" s="4" t="s">
        <v>6113</v>
      </c>
      <c r="H994" s="4" t="s">
        <v>4314</v>
      </c>
      <c r="I994" s="74">
        <v>42.799928600000001</v>
      </c>
      <c r="J994" s="74">
        <v>-8.0177344000000002</v>
      </c>
      <c r="K994" s="75">
        <f>110*9300/100</f>
        <v>10230</v>
      </c>
      <c r="L994" s="4">
        <v>1988</v>
      </c>
      <c r="M994" s="4">
        <v>2006</v>
      </c>
      <c r="N994" s="75" t="s">
        <v>2276</v>
      </c>
      <c r="O994" s="4" t="s">
        <v>67</v>
      </c>
      <c r="P994" s="204" t="s">
        <v>5187</v>
      </c>
      <c r="Q994" s="19" t="s">
        <v>6916</v>
      </c>
    </row>
    <row r="995" spans="1:17" s="203" customFormat="1" ht="71" customHeight="1">
      <c r="A995" s="213">
        <v>272</v>
      </c>
      <c r="B995" s="214" t="s">
        <v>6899</v>
      </c>
      <c r="C995" s="19" t="s">
        <v>6903</v>
      </c>
      <c r="D995" s="19" t="s">
        <v>2398</v>
      </c>
      <c r="E995" s="11" t="s">
        <v>4847</v>
      </c>
      <c r="F995" s="4" t="s">
        <v>2276</v>
      </c>
      <c r="G995" s="4" t="s">
        <v>6113</v>
      </c>
      <c r="H995" s="4" t="s">
        <v>4314</v>
      </c>
      <c r="I995" s="74">
        <v>42.799928600000001</v>
      </c>
      <c r="J995" s="74">
        <v>-8.0177344000000002</v>
      </c>
      <c r="K995" s="75">
        <f>17*9300/100</f>
        <v>1581</v>
      </c>
      <c r="L995" s="4">
        <v>1988</v>
      </c>
      <c r="M995" s="4">
        <v>2006</v>
      </c>
      <c r="N995" s="75" t="s">
        <v>2276</v>
      </c>
      <c r="O995" s="4" t="s">
        <v>67</v>
      </c>
      <c r="P995" s="204" t="s">
        <v>5187</v>
      </c>
      <c r="Q995" s="19" t="s">
        <v>6916</v>
      </c>
    </row>
    <row r="996" spans="1:17" s="203" customFormat="1" ht="71" customHeight="1">
      <c r="A996" s="213">
        <v>272</v>
      </c>
      <c r="B996" s="214" t="s">
        <v>6899</v>
      </c>
      <c r="C996" s="19" t="s">
        <v>6928</v>
      </c>
      <c r="D996" s="19" t="s">
        <v>2398</v>
      </c>
      <c r="E996" s="11" t="s">
        <v>4847</v>
      </c>
      <c r="F996" s="4" t="s">
        <v>2276</v>
      </c>
      <c r="G996" s="4" t="s">
        <v>6113</v>
      </c>
      <c r="H996" s="4" t="s">
        <v>4314</v>
      </c>
      <c r="I996" s="74">
        <v>42.799928600000001</v>
      </c>
      <c r="J996" s="74">
        <v>-8.0177344000000002</v>
      </c>
      <c r="K996" s="75">
        <f>21*9300/100</f>
        <v>1953</v>
      </c>
      <c r="L996" s="4">
        <v>1988</v>
      </c>
      <c r="M996" s="4">
        <v>2006</v>
      </c>
      <c r="N996" s="75" t="s">
        <v>2276</v>
      </c>
      <c r="O996" s="4" t="s">
        <v>67</v>
      </c>
      <c r="P996" s="204" t="s">
        <v>5187</v>
      </c>
      <c r="Q996" s="19" t="s">
        <v>6916</v>
      </c>
    </row>
    <row r="997" spans="1:17" ht="71" customHeight="1">
      <c r="A997" s="31">
        <v>273</v>
      </c>
      <c r="B997" s="40" t="s">
        <v>6265</v>
      </c>
      <c r="C997" s="3" t="s">
        <v>6364</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6325</v>
      </c>
      <c r="Q997" s="4" t="s">
        <v>6266</v>
      </c>
    </row>
    <row r="998" spans="1:17" ht="71" customHeight="1">
      <c r="A998" s="31">
        <v>273</v>
      </c>
      <c r="B998" s="40" t="s">
        <v>6265</v>
      </c>
      <c r="C998" s="3" t="s">
        <v>6365</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6325</v>
      </c>
      <c r="Q998" s="4" t="s">
        <v>6267</v>
      </c>
    </row>
    <row r="999" spans="1:17" ht="71" customHeight="1">
      <c r="A999" s="31">
        <v>273</v>
      </c>
      <c r="B999" s="40" t="s">
        <v>6265</v>
      </c>
      <c r="C999" s="3" t="s">
        <v>6366</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6325</v>
      </c>
      <c r="Q999" s="4" t="s">
        <v>6268</v>
      </c>
    </row>
    <row r="1000" spans="1:17" ht="71" customHeight="1">
      <c r="A1000" s="31">
        <v>274</v>
      </c>
      <c r="B1000" s="40" t="s">
        <v>6269</v>
      </c>
      <c r="C1000" s="31" t="s">
        <v>6367</v>
      </c>
      <c r="D1000" s="3" t="s">
        <v>2398</v>
      </c>
      <c r="E1000" s="3" t="s">
        <v>2399</v>
      </c>
      <c r="F1000" s="75" t="s">
        <v>2276</v>
      </c>
      <c r="G1000" s="3" t="s">
        <v>6270</v>
      </c>
      <c r="H1000" s="3" t="s">
        <v>88</v>
      </c>
      <c r="I1000" s="75">
        <f>AVERAGE(I39,I8)</f>
        <v>30.226188616332699</v>
      </c>
      <c r="J1000" s="75">
        <f>AVERAGE(J39,J8)</f>
        <v>75.750873684034303</v>
      </c>
      <c r="K1000" s="75" t="s">
        <v>2276</v>
      </c>
      <c r="L1000" s="3">
        <v>2007</v>
      </c>
      <c r="M1000" s="3">
        <v>2008</v>
      </c>
      <c r="N1000" s="75" t="s">
        <v>2276</v>
      </c>
      <c r="O1000" s="3" t="s">
        <v>67</v>
      </c>
      <c r="P1000" s="3" t="s">
        <v>6325</v>
      </c>
      <c r="Q1000" s="4" t="s">
        <v>6326</v>
      </c>
    </row>
    <row r="1001" spans="1:17" ht="71" customHeight="1">
      <c r="A1001" s="31">
        <v>275</v>
      </c>
      <c r="B1001" s="40" t="s">
        <v>6271</v>
      </c>
      <c r="C1001" s="3" t="s">
        <v>6327</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6325</v>
      </c>
      <c r="Q1001" s="4" t="s">
        <v>6272</v>
      </c>
    </row>
    <row r="1002" spans="1:17" ht="58">
      <c r="A1002" s="31">
        <v>275</v>
      </c>
      <c r="B1002" s="40" t="s">
        <v>6271</v>
      </c>
      <c r="C1002" s="3" t="s">
        <v>6328</v>
      </c>
      <c r="D1002" s="3" t="s">
        <v>2398</v>
      </c>
      <c r="E1002" s="3" t="s">
        <v>2399</v>
      </c>
      <c r="F1002" s="3" t="s">
        <v>6273</v>
      </c>
      <c r="G1002" s="3" t="s">
        <v>90</v>
      </c>
      <c r="H1002" s="3" t="s">
        <v>88</v>
      </c>
      <c r="I1002" s="201">
        <v>29.969512000000002</v>
      </c>
      <c r="J1002" s="201">
        <v>76.878281999999999</v>
      </c>
      <c r="K1002" s="75" t="s">
        <v>2276</v>
      </c>
      <c r="L1002" s="3">
        <v>2005</v>
      </c>
      <c r="M1002" s="3">
        <v>2005</v>
      </c>
      <c r="N1002" s="75" t="s">
        <v>2276</v>
      </c>
      <c r="O1002" s="3" t="s">
        <v>67</v>
      </c>
      <c r="P1002" s="3" t="s">
        <v>6325</v>
      </c>
      <c r="Q1002" s="4" t="s">
        <v>6272</v>
      </c>
    </row>
    <row r="1003" spans="1:17" ht="58">
      <c r="A1003" s="31">
        <v>275</v>
      </c>
      <c r="B1003" s="40" t="s">
        <v>6271</v>
      </c>
      <c r="C1003" s="3" t="s">
        <v>6329</v>
      </c>
      <c r="D1003" s="3" t="s">
        <v>2398</v>
      </c>
      <c r="E1003" s="3" t="s">
        <v>2399</v>
      </c>
      <c r="F1003" s="3" t="s">
        <v>6274</v>
      </c>
      <c r="G1003" s="3" t="s">
        <v>90</v>
      </c>
      <c r="H1003" s="3" t="s">
        <v>88</v>
      </c>
      <c r="I1003" s="201">
        <v>29.149187999999999</v>
      </c>
      <c r="J1003" s="201">
        <v>75.721653000000003</v>
      </c>
      <c r="K1003" s="75" t="s">
        <v>2276</v>
      </c>
      <c r="L1003" s="3">
        <v>2005</v>
      </c>
      <c r="M1003" s="3">
        <v>2005</v>
      </c>
      <c r="N1003" s="75" t="s">
        <v>2276</v>
      </c>
      <c r="O1003" s="3" t="s">
        <v>67</v>
      </c>
      <c r="P1003" s="3" t="s">
        <v>6325</v>
      </c>
      <c r="Q1003" s="4" t="s">
        <v>6272</v>
      </c>
    </row>
    <row r="1004" spans="1:17" ht="58">
      <c r="A1004" s="31">
        <v>275</v>
      </c>
      <c r="B1004" s="40" t="s">
        <v>6275</v>
      </c>
      <c r="C1004" s="3" t="s">
        <v>6330</v>
      </c>
      <c r="D1004" s="3" t="s">
        <v>2398</v>
      </c>
      <c r="E1004" s="3" t="s">
        <v>2399</v>
      </c>
      <c r="F1004" s="3" t="s">
        <v>6276</v>
      </c>
      <c r="G1004" s="3" t="s">
        <v>6277</v>
      </c>
      <c r="H1004" s="3" t="s">
        <v>88</v>
      </c>
      <c r="I1004" s="201">
        <v>28.984462000000001</v>
      </c>
      <c r="J1004" s="201">
        <v>77.706413999999995</v>
      </c>
      <c r="K1004" s="75" t="s">
        <v>2276</v>
      </c>
      <c r="L1004" s="3">
        <v>2005</v>
      </c>
      <c r="M1004" s="3">
        <v>2005</v>
      </c>
      <c r="N1004" s="75" t="s">
        <v>2276</v>
      </c>
      <c r="O1004" s="3" t="s">
        <v>67</v>
      </c>
      <c r="P1004" s="3" t="s">
        <v>6325</v>
      </c>
      <c r="Q1004" s="4" t="s">
        <v>6272</v>
      </c>
    </row>
    <row r="1005" spans="1:17" ht="58">
      <c r="A1005" s="31">
        <v>275</v>
      </c>
      <c r="B1005" s="40" t="s">
        <v>6275</v>
      </c>
      <c r="C1005" s="3" t="s">
        <v>6331</v>
      </c>
      <c r="D1005" s="3" t="s">
        <v>2398</v>
      </c>
      <c r="E1005" s="3" t="s">
        <v>2399</v>
      </c>
      <c r="F1005" s="3" t="s">
        <v>6278</v>
      </c>
      <c r="G1005" s="3" t="s">
        <v>6277</v>
      </c>
      <c r="H1005" s="3" t="s">
        <v>88</v>
      </c>
      <c r="I1005" s="201">
        <v>26.449922999999998</v>
      </c>
      <c r="J1005" s="201">
        <v>80.331873999999999</v>
      </c>
      <c r="K1005" s="75" t="s">
        <v>2276</v>
      </c>
      <c r="L1005" s="3">
        <v>2005</v>
      </c>
      <c r="M1005" s="3">
        <v>2005</v>
      </c>
      <c r="N1005" s="75" t="s">
        <v>2276</v>
      </c>
      <c r="O1005" s="3" t="s">
        <v>67</v>
      </c>
      <c r="P1005" s="3" t="s">
        <v>6325</v>
      </c>
      <c r="Q1005" s="4" t="s">
        <v>6272</v>
      </c>
    </row>
    <row r="1006" spans="1:17" ht="58">
      <c r="A1006" s="31">
        <v>275</v>
      </c>
      <c r="B1006" s="40" t="s">
        <v>6275</v>
      </c>
      <c r="C1006" s="3" t="s">
        <v>6332</v>
      </c>
      <c r="D1006" s="3" t="s">
        <v>2398</v>
      </c>
      <c r="E1006" s="3" t="s">
        <v>2399</v>
      </c>
      <c r="F1006" s="3" t="s">
        <v>6279</v>
      </c>
      <c r="G1006" s="3" t="s">
        <v>6277</v>
      </c>
      <c r="H1006" s="3" t="s">
        <v>88</v>
      </c>
      <c r="I1006" s="201">
        <v>26.772974999999999</v>
      </c>
      <c r="J1006" s="201">
        <v>82.145792999999998</v>
      </c>
      <c r="K1006" s="75" t="s">
        <v>2276</v>
      </c>
      <c r="L1006" s="3">
        <v>2005</v>
      </c>
      <c r="M1006" s="3">
        <v>2005</v>
      </c>
      <c r="N1006" s="75" t="s">
        <v>2276</v>
      </c>
      <c r="O1006" s="3" t="s">
        <v>67</v>
      </c>
      <c r="P1006" s="3" t="s">
        <v>6325</v>
      </c>
      <c r="Q1006" s="4" t="s">
        <v>6272</v>
      </c>
    </row>
    <row r="1007" spans="1:17" ht="58">
      <c r="A1007" s="31">
        <v>275</v>
      </c>
      <c r="B1007" s="40" t="s">
        <v>6280</v>
      </c>
      <c r="C1007" s="3" t="s">
        <v>6333</v>
      </c>
      <c r="D1007" s="3" t="s">
        <v>2398</v>
      </c>
      <c r="E1007" s="3" t="s">
        <v>2399</v>
      </c>
      <c r="F1007" s="3" t="s">
        <v>6281</v>
      </c>
      <c r="G1007" s="3" t="s">
        <v>6282</v>
      </c>
      <c r="H1007" s="3" t="s">
        <v>88</v>
      </c>
      <c r="I1007" s="201">
        <v>25.466155000000001</v>
      </c>
      <c r="J1007" s="201">
        <v>84.522219000000007</v>
      </c>
      <c r="K1007" s="75" t="s">
        <v>2276</v>
      </c>
      <c r="L1007" s="3">
        <v>2005</v>
      </c>
      <c r="M1007" s="3">
        <v>2005</v>
      </c>
      <c r="N1007" s="75" t="s">
        <v>2276</v>
      </c>
      <c r="O1007" s="3" t="s">
        <v>67</v>
      </c>
      <c r="P1007" s="3" t="s">
        <v>6325</v>
      </c>
      <c r="Q1007" s="4" t="s">
        <v>6272</v>
      </c>
    </row>
    <row r="1008" spans="1:17" ht="58">
      <c r="A1008" s="31">
        <v>275</v>
      </c>
      <c r="B1008" s="40" t="s">
        <v>6280</v>
      </c>
      <c r="C1008" s="3" t="s">
        <v>6334</v>
      </c>
      <c r="D1008" s="3" t="s">
        <v>2398</v>
      </c>
      <c r="E1008" s="3" t="s">
        <v>2399</v>
      </c>
      <c r="F1008" s="3" t="s">
        <v>6283</v>
      </c>
      <c r="G1008" s="3" t="s">
        <v>6282</v>
      </c>
      <c r="H1008" s="3" t="s">
        <v>88</v>
      </c>
      <c r="I1008" s="201">
        <v>25.856027000000001</v>
      </c>
      <c r="J1008" s="201">
        <v>85.786822999999998</v>
      </c>
      <c r="K1008" s="75" t="s">
        <v>2276</v>
      </c>
      <c r="L1008" s="3">
        <v>2005</v>
      </c>
      <c r="M1008" s="3">
        <v>2005</v>
      </c>
      <c r="N1008" s="75" t="s">
        <v>2276</v>
      </c>
      <c r="O1008" s="3" t="s">
        <v>67</v>
      </c>
      <c r="P1008" s="3" t="s">
        <v>6325</v>
      </c>
      <c r="Q1008" s="4" t="s">
        <v>6272</v>
      </c>
    </row>
    <row r="1009" spans="1:17" ht="58">
      <c r="A1009" s="31">
        <v>275</v>
      </c>
      <c r="B1009" s="40" t="s">
        <v>6280</v>
      </c>
      <c r="C1009" s="3" t="s">
        <v>6335</v>
      </c>
      <c r="D1009" s="3" t="s">
        <v>2398</v>
      </c>
      <c r="E1009" s="3" t="s">
        <v>2399</v>
      </c>
      <c r="F1009" s="3" t="s">
        <v>6284</v>
      </c>
      <c r="G1009" s="3" t="s">
        <v>6282</v>
      </c>
      <c r="H1009" s="3" t="s">
        <v>88</v>
      </c>
      <c r="I1009" s="201">
        <v>25.418164000000001</v>
      </c>
      <c r="J1009" s="201">
        <v>86.127154000000004</v>
      </c>
      <c r="K1009" s="75" t="s">
        <v>2276</v>
      </c>
      <c r="L1009" s="3">
        <v>2005</v>
      </c>
      <c r="M1009" s="3">
        <v>2005</v>
      </c>
      <c r="N1009" s="75" t="s">
        <v>2276</v>
      </c>
      <c r="O1009" s="3" t="s">
        <v>67</v>
      </c>
      <c r="P1009" s="3" t="s">
        <v>6325</v>
      </c>
      <c r="Q1009" s="4" t="s">
        <v>6272</v>
      </c>
    </row>
    <row r="1010" spans="1:17" ht="58">
      <c r="A1010" s="31">
        <v>275</v>
      </c>
      <c r="B1010" s="40" t="s">
        <v>6285</v>
      </c>
      <c r="C1010" s="3" t="s">
        <v>6336</v>
      </c>
      <c r="D1010" s="3" t="s">
        <v>2398</v>
      </c>
      <c r="E1010" s="3" t="s">
        <v>2399</v>
      </c>
      <c r="F1010" s="3" t="s">
        <v>6286</v>
      </c>
      <c r="G1010" s="3" t="s">
        <v>6287</v>
      </c>
      <c r="H1010" s="3" t="s">
        <v>88</v>
      </c>
      <c r="I1010" s="201">
        <v>25.178577000000001</v>
      </c>
      <c r="J1010" s="201">
        <v>88.246117999999996</v>
      </c>
      <c r="K1010" s="75" t="s">
        <v>2276</v>
      </c>
      <c r="L1010" s="3">
        <v>2005</v>
      </c>
      <c r="M1010" s="3">
        <v>2005</v>
      </c>
      <c r="N1010" s="75" t="s">
        <v>2276</v>
      </c>
      <c r="O1010" s="3" t="s">
        <v>67</v>
      </c>
      <c r="P1010" s="3" t="s">
        <v>6325</v>
      </c>
      <c r="Q1010" s="4" t="s">
        <v>6272</v>
      </c>
    </row>
    <row r="1011" spans="1:17" ht="58">
      <c r="A1011" s="31">
        <v>275</v>
      </c>
      <c r="B1011" s="40" t="s">
        <v>6285</v>
      </c>
      <c r="C1011" s="3" t="s">
        <v>6337</v>
      </c>
      <c r="D1011" s="3" t="s">
        <v>2398</v>
      </c>
      <c r="E1011" s="3" t="s">
        <v>2399</v>
      </c>
      <c r="F1011" s="3" t="s">
        <v>6288</v>
      </c>
      <c r="G1011" s="3" t="s">
        <v>6287</v>
      </c>
      <c r="H1011" s="3" t="s">
        <v>88</v>
      </c>
      <c r="I1011" s="201">
        <v>24.617218000000001</v>
      </c>
      <c r="J1011" s="201">
        <v>88.303489999999996</v>
      </c>
      <c r="K1011" s="75" t="s">
        <v>2276</v>
      </c>
      <c r="L1011" s="3">
        <v>2005</v>
      </c>
      <c r="M1011" s="3">
        <v>2005</v>
      </c>
      <c r="N1011" s="75" t="s">
        <v>2276</v>
      </c>
      <c r="O1011" s="3" t="s">
        <v>67</v>
      </c>
      <c r="P1011" s="3" t="s">
        <v>6325</v>
      </c>
      <c r="Q1011" s="4" t="s">
        <v>6272</v>
      </c>
    </row>
    <row r="1012" spans="1:17" ht="58">
      <c r="A1012" s="31">
        <v>275</v>
      </c>
      <c r="B1012" s="40" t="s">
        <v>6285</v>
      </c>
      <c r="C1012" s="3" t="s">
        <v>6338</v>
      </c>
      <c r="D1012" s="3" t="s">
        <v>2398</v>
      </c>
      <c r="E1012" s="3" t="s">
        <v>2399</v>
      </c>
      <c r="F1012" s="3" t="s">
        <v>6289</v>
      </c>
      <c r="G1012" s="3" t="s">
        <v>6287</v>
      </c>
      <c r="H1012" s="3" t="s">
        <v>88</v>
      </c>
      <c r="I1012" s="201">
        <v>22.425661000000002</v>
      </c>
      <c r="J1012" s="201">
        <v>87.319882000000007</v>
      </c>
      <c r="K1012" s="75" t="s">
        <v>2276</v>
      </c>
      <c r="L1012" s="3">
        <v>2005</v>
      </c>
      <c r="M1012" s="3">
        <v>2005</v>
      </c>
      <c r="N1012" s="75" t="s">
        <v>2276</v>
      </c>
      <c r="O1012" s="3" t="s">
        <v>67</v>
      </c>
      <c r="P1012" s="3" t="s">
        <v>6325</v>
      </c>
      <c r="Q1012" s="4" t="s">
        <v>6272</v>
      </c>
    </row>
    <row r="1013" spans="1:17" ht="51" customHeight="1">
      <c r="A1013" s="31">
        <v>276</v>
      </c>
      <c r="B1013" s="41" t="s">
        <v>6290</v>
      </c>
      <c r="C1013" s="3" t="s">
        <v>6339</v>
      </c>
      <c r="D1013" s="3" t="s">
        <v>2398</v>
      </c>
      <c r="E1013" s="3" t="s">
        <v>2422</v>
      </c>
      <c r="F1013" s="3" t="s">
        <v>6291</v>
      </c>
      <c r="G1013" s="3" t="s">
        <v>6292</v>
      </c>
      <c r="H1013" s="3" t="s">
        <v>1052</v>
      </c>
      <c r="I1013" s="201">
        <v>18.788343999999999</v>
      </c>
      <c r="J1013" s="201">
        <v>98.985301000000007</v>
      </c>
      <c r="K1013" s="75" t="s">
        <v>2276</v>
      </c>
      <c r="L1013" s="3">
        <v>2019</v>
      </c>
      <c r="M1013" s="3">
        <v>2019</v>
      </c>
      <c r="N1013" s="75" t="s">
        <v>2276</v>
      </c>
      <c r="O1013" s="3" t="s">
        <v>67</v>
      </c>
      <c r="P1013" s="3" t="s">
        <v>6325</v>
      </c>
      <c r="Q1013" s="4" t="s">
        <v>6293</v>
      </c>
    </row>
    <row r="1014" spans="1:17" ht="87">
      <c r="A1014" s="31">
        <v>277</v>
      </c>
      <c r="B1014" s="40" t="s">
        <v>8597</v>
      </c>
      <c r="C1014" s="3" t="s">
        <v>6340</v>
      </c>
      <c r="D1014" s="3" t="s">
        <v>2398</v>
      </c>
      <c r="E1014" s="3" t="s">
        <v>2422</v>
      </c>
      <c r="F1014" s="3" t="s">
        <v>6294</v>
      </c>
      <c r="G1014" s="3" t="s">
        <v>6295</v>
      </c>
      <c r="H1014" s="3" t="s">
        <v>114</v>
      </c>
      <c r="I1014" s="201">
        <v>31.370037</v>
      </c>
      <c r="J1014" s="201">
        <v>119.54579699999999</v>
      </c>
      <c r="K1014" s="75" t="s">
        <v>2276</v>
      </c>
      <c r="L1014" s="3">
        <v>2016</v>
      </c>
      <c r="M1014" s="3">
        <v>2016</v>
      </c>
      <c r="N1014" s="75" t="s">
        <v>2276</v>
      </c>
      <c r="O1014" s="3" t="s">
        <v>67</v>
      </c>
      <c r="P1014" s="3" t="s">
        <v>6325</v>
      </c>
      <c r="Q1014" s="4" t="s">
        <v>6296</v>
      </c>
    </row>
    <row r="1015" spans="1:17" ht="115.5" customHeight="1">
      <c r="A1015" s="31">
        <v>277</v>
      </c>
      <c r="B1015" s="40" t="s">
        <v>8597</v>
      </c>
      <c r="C1015" s="3" t="s">
        <v>6504</v>
      </c>
      <c r="D1015" s="3" t="s">
        <v>2398</v>
      </c>
      <c r="E1015" s="3" t="s">
        <v>2422</v>
      </c>
      <c r="F1015" s="3" t="s">
        <v>6297</v>
      </c>
      <c r="G1015" s="3" t="s">
        <v>6295</v>
      </c>
      <c r="H1015" s="3" t="s">
        <v>114</v>
      </c>
      <c r="I1015" s="201">
        <v>31.654971</v>
      </c>
      <c r="J1015" s="201">
        <v>120.753182</v>
      </c>
      <c r="K1015" s="75" t="s">
        <v>2276</v>
      </c>
      <c r="L1015" s="3">
        <v>2016</v>
      </c>
      <c r="M1015" s="3">
        <v>2016</v>
      </c>
      <c r="N1015" s="75" t="s">
        <v>2276</v>
      </c>
      <c r="O1015" s="3" t="s">
        <v>67</v>
      </c>
      <c r="P1015" s="3" t="s">
        <v>6325</v>
      </c>
      <c r="Q1015" s="4" t="s">
        <v>6296</v>
      </c>
    </row>
    <row r="1016" spans="1:17" ht="112" customHeight="1">
      <c r="A1016" s="31">
        <v>277</v>
      </c>
      <c r="B1016" s="40" t="s">
        <v>8597</v>
      </c>
      <c r="C1016" s="3" t="s">
        <v>6341</v>
      </c>
      <c r="D1016" s="3" t="s">
        <v>2398</v>
      </c>
      <c r="E1016" s="3" t="s">
        <v>2422</v>
      </c>
      <c r="F1016" s="3" t="s">
        <v>6298</v>
      </c>
      <c r="G1016" s="3" t="s">
        <v>6295</v>
      </c>
      <c r="H1016" s="3" t="s">
        <v>114</v>
      </c>
      <c r="I1016" s="201">
        <v>32.910459000000003</v>
      </c>
      <c r="J1016" s="201">
        <v>119.85254</v>
      </c>
      <c r="K1016" s="75" t="s">
        <v>2276</v>
      </c>
      <c r="L1016" s="3">
        <v>2016</v>
      </c>
      <c r="M1016" s="3">
        <v>2016</v>
      </c>
      <c r="N1016" s="75" t="s">
        <v>2276</v>
      </c>
      <c r="O1016" s="3" t="s">
        <v>67</v>
      </c>
      <c r="P1016" s="3" t="s">
        <v>6325</v>
      </c>
      <c r="Q1016" s="4" t="s">
        <v>6299</v>
      </c>
    </row>
    <row r="1017" spans="1:17" ht="87">
      <c r="A1017" s="31">
        <v>277</v>
      </c>
      <c r="B1017" s="40" t="s">
        <v>8597</v>
      </c>
      <c r="C1017" s="3" t="s">
        <v>6342</v>
      </c>
      <c r="D1017" s="3" t="s">
        <v>2398</v>
      </c>
      <c r="E1017" s="3" t="s">
        <v>2422</v>
      </c>
      <c r="F1017" s="3" t="s">
        <v>6300</v>
      </c>
      <c r="G1017" s="3" t="s">
        <v>6295</v>
      </c>
      <c r="H1017" s="3" t="s">
        <v>114</v>
      </c>
      <c r="I1017" s="201">
        <v>33.238593999999999</v>
      </c>
      <c r="J1017" s="201">
        <v>119.353319</v>
      </c>
      <c r="K1017" s="75" t="s">
        <v>2276</v>
      </c>
      <c r="L1017" s="3">
        <v>2016</v>
      </c>
      <c r="M1017" s="3">
        <v>2016</v>
      </c>
      <c r="N1017" s="75" t="s">
        <v>2276</v>
      </c>
      <c r="O1017" s="3" t="s">
        <v>67</v>
      </c>
      <c r="P1017" s="3" t="s">
        <v>6325</v>
      </c>
      <c r="Q1017" s="4" t="s">
        <v>6299</v>
      </c>
    </row>
    <row r="1018" spans="1:17" ht="87">
      <c r="A1018" s="31">
        <v>277</v>
      </c>
      <c r="B1018" s="40" t="s">
        <v>8597</v>
      </c>
      <c r="C1018" s="3" t="s">
        <v>6343</v>
      </c>
      <c r="D1018" s="3" t="s">
        <v>2398</v>
      </c>
      <c r="E1018" s="3" t="s">
        <v>2422</v>
      </c>
      <c r="F1018" s="3" t="s">
        <v>6301</v>
      </c>
      <c r="G1018" s="3" t="s">
        <v>6295</v>
      </c>
      <c r="H1018" s="3" t="s">
        <v>114</v>
      </c>
      <c r="I1018" s="201">
        <v>34.369579999999999</v>
      </c>
      <c r="J1018" s="201">
        <v>118.35453699999999</v>
      </c>
      <c r="K1018" s="75" t="s">
        <v>2276</v>
      </c>
      <c r="L1018" s="3">
        <v>2016</v>
      </c>
      <c r="M1018" s="3">
        <v>2016</v>
      </c>
      <c r="N1018" s="75" t="s">
        <v>2276</v>
      </c>
      <c r="O1018" s="3" t="s">
        <v>67</v>
      </c>
      <c r="P1018" s="3" t="s">
        <v>6325</v>
      </c>
      <c r="Q1018" s="4" t="s">
        <v>6302</v>
      </c>
    </row>
    <row r="1019" spans="1:17" ht="117" customHeight="1">
      <c r="A1019" s="31">
        <v>277</v>
      </c>
      <c r="B1019" s="40" t="s">
        <v>8597</v>
      </c>
      <c r="C1019" s="3" t="s">
        <v>6344</v>
      </c>
      <c r="D1019" s="3" t="s">
        <v>2398</v>
      </c>
      <c r="E1019" s="3" t="s">
        <v>2422</v>
      </c>
      <c r="F1019" s="3" t="s">
        <v>6303</v>
      </c>
      <c r="G1019" s="3" t="s">
        <v>6295</v>
      </c>
      <c r="H1019" s="3" t="s">
        <v>114</v>
      </c>
      <c r="I1019" s="201">
        <v>34.190972000000002</v>
      </c>
      <c r="J1019" s="201">
        <v>119.58672900000001</v>
      </c>
      <c r="K1019" s="75" t="s">
        <v>2276</v>
      </c>
      <c r="L1019" s="3">
        <v>2016</v>
      </c>
      <c r="M1019" s="3">
        <v>2016</v>
      </c>
      <c r="N1019" s="75" t="s">
        <v>2276</v>
      </c>
      <c r="O1019" s="3" t="s">
        <v>67</v>
      </c>
      <c r="P1019" s="3" t="s">
        <v>6325</v>
      </c>
      <c r="Q1019" s="4" t="s">
        <v>6302</v>
      </c>
    </row>
    <row r="1020" spans="1:17" ht="57.5" customHeight="1">
      <c r="A1020" s="31">
        <v>278</v>
      </c>
      <c r="B1020" s="41" t="s">
        <v>6304</v>
      </c>
      <c r="C1020" s="3" t="s">
        <v>8401</v>
      </c>
      <c r="D1020" s="3" t="s">
        <v>2398</v>
      </c>
      <c r="E1020" s="3" t="s">
        <v>2399</v>
      </c>
      <c r="F1020" s="3" t="s">
        <v>6305</v>
      </c>
      <c r="G1020" s="3" t="s">
        <v>87</v>
      </c>
      <c r="H1020" s="3" t="s">
        <v>6306</v>
      </c>
      <c r="I1020" s="201">
        <v>32.187691999999998</v>
      </c>
      <c r="J1020" s="201">
        <v>74.194452999999996</v>
      </c>
      <c r="K1020" s="75" t="s">
        <v>2276</v>
      </c>
      <c r="L1020" s="3">
        <v>2010</v>
      </c>
      <c r="M1020" s="3">
        <v>2010</v>
      </c>
      <c r="N1020" s="75" t="s">
        <v>2276</v>
      </c>
      <c r="O1020" s="3" t="s">
        <v>67</v>
      </c>
      <c r="P1020" s="3" t="s">
        <v>6325</v>
      </c>
      <c r="Q1020" s="4"/>
    </row>
    <row r="1021" spans="1:17" ht="88" customHeight="1">
      <c r="A1021" s="31">
        <v>278</v>
      </c>
      <c r="B1021" s="41" t="s">
        <v>6304</v>
      </c>
      <c r="C1021" s="3" t="s">
        <v>8402</v>
      </c>
      <c r="D1021" s="3" t="s">
        <v>2398</v>
      </c>
      <c r="E1021" s="3" t="s">
        <v>2399</v>
      </c>
      <c r="F1021" s="3" t="s">
        <v>6307</v>
      </c>
      <c r="G1021" s="3" t="s">
        <v>87</v>
      </c>
      <c r="H1021" s="3" t="s">
        <v>6306</v>
      </c>
      <c r="I1021" s="201">
        <v>32.494498999999998</v>
      </c>
      <c r="J1021" s="201">
        <v>74.522891999999999</v>
      </c>
      <c r="K1021" s="75" t="s">
        <v>2276</v>
      </c>
      <c r="L1021" s="3">
        <v>2010</v>
      </c>
      <c r="M1021" s="3">
        <v>2010</v>
      </c>
      <c r="N1021" s="75" t="s">
        <v>2276</v>
      </c>
      <c r="O1021" s="3" t="s">
        <v>67</v>
      </c>
      <c r="P1021" s="3" t="s">
        <v>6325</v>
      </c>
      <c r="Q1021" s="4"/>
    </row>
    <row r="1022" spans="1:17" ht="31" customHeight="1">
      <c r="A1022" s="31">
        <v>279</v>
      </c>
      <c r="B1022" s="40" t="s">
        <v>6308</v>
      </c>
      <c r="C1022" s="3" t="s">
        <v>6345</v>
      </c>
      <c r="D1022" s="3" t="s">
        <v>2398</v>
      </c>
      <c r="E1022" s="3" t="s">
        <v>2422</v>
      </c>
      <c r="F1022" s="3" t="s">
        <v>6309</v>
      </c>
      <c r="G1022" s="75" t="s">
        <v>2276</v>
      </c>
      <c r="H1022" s="3" t="s">
        <v>3490</v>
      </c>
      <c r="I1022" s="201">
        <v>-17.850000000000001</v>
      </c>
      <c r="J1022" s="201">
        <v>31.566666999999999</v>
      </c>
      <c r="K1022" s="75" t="s">
        <v>2276</v>
      </c>
      <c r="L1022" s="3">
        <v>2009</v>
      </c>
      <c r="M1022" s="3">
        <v>2010</v>
      </c>
      <c r="N1022" s="3">
        <v>104</v>
      </c>
      <c r="O1022" s="3" t="s">
        <v>67</v>
      </c>
      <c r="P1022" s="3" t="s">
        <v>6325</v>
      </c>
      <c r="Q1022" s="4"/>
    </row>
    <row r="1023" spans="1:17" ht="31" customHeight="1">
      <c r="A1023" s="31">
        <v>279</v>
      </c>
      <c r="B1023" s="40" t="s">
        <v>6308</v>
      </c>
      <c r="C1023" s="3" t="s">
        <v>6346</v>
      </c>
      <c r="D1023" s="3" t="s">
        <v>2398</v>
      </c>
      <c r="E1023" s="3" t="s">
        <v>2422</v>
      </c>
      <c r="F1023" s="3" t="s">
        <v>6310</v>
      </c>
      <c r="G1023" s="75" t="s">
        <v>2276</v>
      </c>
      <c r="H1023" s="3" t="s">
        <v>6353</v>
      </c>
      <c r="I1023" s="21">
        <v>-18.833333</v>
      </c>
      <c r="J1023" s="21">
        <v>33.183332999999998</v>
      </c>
      <c r="K1023" s="75" t="s">
        <v>2276</v>
      </c>
      <c r="L1023" s="3">
        <v>2009</v>
      </c>
      <c r="M1023" s="3">
        <v>2010</v>
      </c>
      <c r="N1023" s="3">
        <v>22</v>
      </c>
      <c r="O1023" s="3" t="s">
        <v>67</v>
      </c>
      <c r="P1023" s="3" t="s">
        <v>6325</v>
      </c>
      <c r="Q1023" s="4"/>
    </row>
    <row r="1024" spans="1:17" ht="31" customHeight="1">
      <c r="A1024" s="31">
        <v>279</v>
      </c>
      <c r="B1024" s="40" t="s">
        <v>6308</v>
      </c>
      <c r="C1024" s="3" t="s">
        <v>6347</v>
      </c>
      <c r="D1024" s="3" t="s">
        <v>2398</v>
      </c>
      <c r="E1024" s="3" t="s">
        <v>2422</v>
      </c>
      <c r="F1024" s="3" t="s">
        <v>6311</v>
      </c>
      <c r="G1024" s="75" t="s">
        <v>2276</v>
      </c>
      <c r="H1024" s="3" t="s">
        <v>6353</v>
      </c>
      <c r="I1024" s="21">
        <v>-18.766667000000002</v>
      </c>
      <c r="J1024" s="21">
        <v>34.333333000000003</v>
      </c>
      <c r="K1024" s="75" t="s">
        <v>2276</v>
      </c>
      <c r="L1024" s="3">
        <v>2009</v>
      </c>
      <c r="M1024" s="3">
        <v>2010</v>
      </c>
      <c r="N1024" s="3">
        <v>25</v>
      </c>
      <c r="O1024" s="3" t="s">
        <v>67</v>
      </c>
      <c r="P1024" s="3" t="s">
        <v>6325</v>
      </c>
      <c r="Q1024" s="4"/>
    </row>
    <row r="1025" spans="1:17" ht="32.5" customHeight="1">
      <c r="A1025" s="31">
        <v>280</v>
      </c>
      <c r="B1025" s="40" t="s">
        <v>6312</v>
      </c>
      <c r="C1025" s="3" t="s">
        <v>6348</v>
      </c>
      <c r="D1025" s="3" t="s">
        <v>2398</v>
      </c>
      <c r="E1025" s="3" t="s">
        <v>2399</v>
      </c>
      <c r="F1025" s="3" t="s">
        <v>6313</v>
      </c>
      <c r="G1025" s="3" t="s">
        <v>6314</v>
      </c>
      <c r="H1025" s="3" t="s">
        <v>779</v>
      </c>
      <c r="I1025" s="201">
        <v>20.26408</v>
      </c>
      <c r="J1025" s="201">
        <v>106.05813999999999</v>
      </c>
      <c r="K1025" s="75" t="s">
        <v>2276</v>
      </c>
      <c r="L1025" s="3">
        <v>2015</v>
      </c>
      <c r="M1025" s="3">
        <v>2015</v>
      </c>
      <c r="N1025" s="75" t="s">
        <v>2276</v>
      </c>
      <c r="O1025" s="3" t="s">
        <v>67</v>
      </c>
      <c r="P1025" s="3" t="s">
        <v>6325</v>
      </c>
      <c r="Q1025" s="4"/>
    </row>
    <row r="1026" spans="1:17" ht="32.5" customHeight="1">
      <c r="A1026" s="31">
        <v>280</v>
      </c>
      <c r="B1026" s="40" t="s">
        <v>6312</v>
      </c>
      <c r="C1026" s="3" t="s">
        <v>6349</v>
      </c>
      <c r="D1026" s="3" t="s">
        <v>2398</v>
      </c>
      <c r="E1026" s="3" t="s">
        <v>2399</v>
      </c>
      <c r="F1026" s="3" t="s">
        <v>6315</v>
      </c>
      <c r="G1026" s="3" t="s">
        <v>6316</v>
      </c>
      <c r="H1026" s="3" t="s">
        <v>779</v>
      </c>
      <c r="I1026" s="201">
        <v>21.342251000000001</v>
      </c>
      <c r="J1026" s="201">
        <v>106.014059</v>
      </c>
      <c r="K1026" s="75" t="s">
        <v>2276</v>
      </c>
      <c r="L1026" s="3">
        <v>2015</v>
      </c>
      <c r="M1026" s="3">
        <v>2015</v>
      </c>
      <c r="N1026" s="75" t="s">
        <v>2276</v>
      </c>
      <c r="O1026" s="3" t="s">
        <v>67</v>
      </c>
      <c r="P1026" s="3" t="s">
        <v>6325</v>
      </c>
      <c r="Q1026" s="4"/>
    </row>
    <row r="1027" spans="1:17" ht="32.5" customHeight="1">
      <c r="A1027" s="31">
        <v>280</v>
      </c>
      <c r="B1027" s="40" t="s">
        <v>6312</v>
      </c>
      <c r="C1027" s="3" t="s">
        <v>6350</v>
      </c>
      <c r="D1027" s="3" t="s">
        <v>2398</v>
      </c>
      <c r="E1027" s="3" t="s">
        <v>2399</v>
      </c>
      <c r="F1027" s="3" t="s">
        <v>6317</v>
      </c>
      <c r="G1027" s="3" t="s">
        <v>6318</v>
      </c>
      <c r="H1027" s="3" t="s">
        <v>779</v>
      </c>
      <c r="I1027" s="201">
        <v>21.868908999999999</v>
      </c>
      <c r="J1027" s="201">
        <v>104.18146900000001</v>
      </c>
      <c r="K1027" s="75" t="s">
        <v>2276</v>
      </c>
      <c r="L1027" s="3">
        <v>2015</v>
      </c>
      <c r="M1027" s="3">
        <v>2015</v>
      </c>
      <c r="N1027" s="75" t="s">
        <v>2276</v>
      </c>
      <c r="O1027" s="3" t="s">
        <v>67</v>
      </c>
      <c r="P1027" s="3" t="s">
        <v>6325</v>
      </c>
      <c r="Q1027" s="4"/>
    </row>
    <row r="1028" spans="1:17" ht="45.5" customHeight="1">
      <c r="A1028" s="96">
        <v>281</v>
      </c>
      <c r="B1028" s="230"/>
      <c r="C1028" s="44"/>
      <c r="D1028" s="44"/>
      <c r="E1028" s="44"/>
      <c r="F1028" s="44"/>
      <c r="G1028" s="44"/>
      <c r="H1028" s="44"/>
      <c r="I1028" s="231"/>
      <c r="J1028" s="231"/>
      <c r="K1028" s="227"/>
      <c r="L1028" s="44"/>
      <c r="M1028" s="44"/>
      <c r="N1028" s="228"/>
      <c r="O1028" s="44"/>
      <c r="P1028" s="44"/>
      <c r="Q1028" s="58"/>
    </row>
    <row r="1029" spans="1:17" ht="32.5" customHeight="1">
      <c r="A1029" s="31">
        <v>282</v>
      </c>
      <c r="B1029" s="40" t="s">
        <v>6319</v>
      </c>
      <c r="C1029" s="3" t="s">
        <v>6351</v>
      </c>
      <c r="D1029" s="3" t="s">
        <v>2398</v>
      </c>
      <c r="E1029" s="3" t="s">
        <v>2399</v>
      </c>
      <c r="F1029" s="3" t="s">
        <v>6320</v>
      </c>
      <c r="G1029" s="3" t="s">
        <v>6321</v>
      </c>
      <c r="H1029" s="3" t="s">
        <v>895</v>
      </c>
      <c r="I1029" s="201">
        <v>-8.7302070000000001</v>
      </c>
      <c r="J1029" s="201">
        <v>115.545165</v>
      </c>
      <c r="K1029" s="75" t="s">
        <v>2276</v>
      </c>
      <c r="L1029" s="3">
        <v>2017</v>
      </c>
      <c r="M1029" s="3">
        <v>2017</v>
      </c>
      <c r="N1029" s="75" t="s">
        <v>2276</v>
      </c>
      <c r="O1029" s="3" t="s">
        <v>67</v>
      </c>
      <c r="P1029" s="3" t="s">
        <v>6325</v>
      </c>
      <c r="Q1029" s="4"/>
    </row>
    <row r="1030" spans="1:17" ht="32.5" customHeight="1">
      <c r="A1030" s="31">
        <v>283</v>
      </c>
      <c r="B1030" s="40" t="s">
        <v>6322</v>
      </c>
      <c r="C1030" s="3" t="s">
        <v>6352</v>
      </c>
      <c r="D1030" s="3" t="s">
        <v>2398</v>
      </c>
      <c r="E1030" s="3" t="s">
        <v>2422</v>
      </c>
      <c r="F1030" s="75" t="s">
        <v>2276</v>
      </c>
      <c r="G1030" s="3" t="s">
        <v>6323</v>
      </c>
      <c r="H1030" s="3" t="s">
        <v>6324</v>
      </c>
      <c r="I1030" s="201">
        <v>51.79363</v>
      </c>
      <c r="J1030" s="201">
        <v>82.67586</v>
      </c>
      <c r="K1030" s="21">
        <v>86000</v>
      </c>
      <c r="L1030" s="3">
        <v>2013</v>
      </c>
      <c r="M1030" s="3">
        <v>2014</v>
      </c>
      <c r="N1030" s="75" t="s">
        <v>2276</v>
      </c>
      <c r="O1030" s="3" t="s">
        <v>67</v>
      </c>
      <c r="P1030" s="3" t="s">
        <v>6325</v>
      </c>
      <c r="Q1030" s="4"/>
    </row>
    <row r="1031" spans="1:17" ht="43" customHeight="1">
      <c r="A1031" s="188">
        <v>284</v>
      </c>
      <c r="B1031" s="206" t="s">
        <v>6368</v>
      </c>
      <c r="C1031" s="26" t="s">
        <v>6401</v>
      </c>
      <c r="D1031" s="26" t="s">
        <v>2633</v>
      </c>
      <c r="E1031" s="26" t="s">
        <v>2636</v>
      </c>
      <c r="F1031" s="26" t="s">
        <v>6369</v>
      </c>
      <c r="G1031" s="75" t="s">
        <v>2276</v>
      </c>
      <c r="H1031" s="26" t="s">
        <v>3414</v>
      </c>
      <c r="I1031" s="26">
        <v>-33.200000000000003</v>
      </c>
      <c r="J1031" s="26">
        <v>117.4</v>
      </c>
      <c r="K1031" s="26">
        <v>25000</v>
      </c>
      <c r="L1031" s="26">
        <v>1962</v>
      </c>
      <c r="M1031" s="26">
        <v>1990</v>
      </c>
      <c r="N1031" s="75" t="s">
        <v>2276</v>
      </c>
      <c r="O1031" s="26" t="s">
        <v>67</v>
      </c>
      <c r="P1031" s="19" t="s">
        <v>6400</v>
      </c>
      <c r="Q1031" s="26" t="s">
        <v>7860</v>
      </c>
    </row>
    <row r="1032" spans="1:17" ht="42" customHeight="1">
      <c r="A1032" s="188">
        <v>284</v>
      </c>
      <c r="B1032" s="207" t="s">
        <v>6368</v>
      </c>
      <c r="C1032" s="26" t="s">
        <v>6402</v>
      </c>
      <c r="D1032" s="26" t="s">
        <v>2633</v>
      </c>
      <c r="E1032" s="26" t="s">
        <v>2636</v>
      </c>
      <c r="F1032" s="26" t="s">
        <v>6369</v>
      </c>
      <c r="G1032" s="75" t="s">
        <v>2276</v>
      </c>
      <c r="H1032" s="26" t="s">
        <v>3414</v>
      </c>
      <c r="I1032" s="26">
        <v>-33.200000000000003</v>
      </c>
      <c r="J1032" s="26">
        <v>117.4</v>
      </c>
      <c r="K1032" s="26">
        <v>25000</v>
      </c>
      <c r="L1032" s="26">
        <v>1991</v>
      </c>
      <c r="M1032" s="26">
        <v>2012</v>
      </c>
      <c r="N1032" s="75" t="s">
        <v>2276</v>
      </c>
      <c r="O1032" s="26" t="s">
        <v>67</v>
      </c>
      <c r="P1032" s="19" t="s">
        <v>6400</v>
      </c>
      <c r="Q1032" s="26" t="s">
        <v>7860</v>
      </c>
    </row>
    <row r="1033" spans="1:17" ht="87">
      <c r="A1033" s="188">
        <v>285</v>
      </c>
      <c r="B1033" s="207" t="s">
        <v>6370</v>
      </c>
      <c r="C1033" s="26" t="s">
        <v>6403</v>
      </c>
      <c r="D1033" s="26" t="s">
        <v>2398</v>
      </c>
      <c r="E1033" s="26" t="s">
        <v>4847</v>
      </c>
      <c r="F1033" s="26" t="s">
        <v>6371</v>
      </c>
      <c r="G1033" s="26" t="s">
        <v>5781</v>
      </c>
      <c r="H1033" s="26" t="s">
        <v>4112</v>
      </c>
      <c r="I1033" s="26">
        <v>64.83</v>
      </c>
      <c r="J1033" s="26">
        <v>-147.72</v>
      </c>
      <c r="K1033" s="26">
        <v>79</v>
      </c>
      <c r="L1033" s="26">
        <v>1988</v>
      </c>
      <c r="M1033" s="26">
        <v>2016</v>
      </c>
      <c r="N1033" s="208">
        <v>379.74683544303798</v>
      </c>
      <c r="O1033" s="26" t="s">
        <v>67</v>
      </c>
      <c r="P1033" s="19" t="s">
        <v>6400</v>
      </c>
      <c r="Q1033" s="26" t="s">
        <v>6372</v>
      </c>
    </row>
    <row r="1034" spans="1:17" ht="130.5">
      <c r="A1034" s="188">
        <v>285</v>
      </c>
      <c r="B1034" s="207" t="s">
        <v>6370</v>
      </c>
      <c r="C1034" s="26" t="s">
        <v>6404</v>
      </c>
      <c r="D1034" s="26" t="s">
        <v>2398</v>
      </c>
      <c r="E1034" s="26" t="s">
        <v>4847</v>
      </c>
      <c r="F1034" s="75" t="s">
        <v>2276</v>
      </c>
      <c r="G1034" s="26" t="s">
        <v>5781</v>
      </c>
      <c r="H1034" s="26" t="s">
        <v>4112</v>
      </c>
      <c r="I1034" s="26">
        <v>65.5</v>
      </c>
      <c r="J1034" s="26">
        <v>-149.30000000000001</v>
      </c>
      <c r="K1034" s="26">
        <v>455000</v>
      </c>
      <c r="L1034" s="26">
        <v>1988</v>
      </c>
      <c r="M1034" s="26">
        <v>2016</v>
      </c>
      <c r="N1034" s="208">
        <v>0.25934065934065897</v>
      </c>
      <c r="O1034" s="4" t="s">
        <v>67</v>
      </c>
      <c r="P1034" s="19" t="s">
        <v>6400</v>
      </c>
      <c r="Q1034" s="26" t="s">
        <v>6373</v>
      </c>
    </row>
    <row r="1035" spans="1:17" ht="30" customHeight="1">
      <c r="A1035" s="193">
        <v>286</v>
      </c>
      <c r="B1035" s="207" t="s">
        <v>6374</v>
      </c>
      <c r="C1035" s="4" t="s">
        <v>6405</v>
      </c>
      <c r="D1035" s="4" t="s">
        <v>2416</v>
      </c>
      <c r="E1035" s="4" t="s">
        <v>2636</v>
      </c>
      <c r="F1035" s="75" t="s">
        <v>2276</v>
      </c>
      <c r="G1035" s="75" t="s">
        <v>2276</v>
      </c>
      <c r="H1035" s="4" t="s">
        <v>4032</v>
      </c>
      <c r="I1035" s="21">
        <v>47</v>
      </c>
      <c r="J1035" s="21">
        <v>104</v>
      </c>
      <c r="K1035" s="21">
        <v>1560000</v>
      </c>
      <c r="L1035" s="4">
        <v>2007</v>
      </c>
      <c r="M1035" s="4">
        <v>2007</v>
      </c>
      <c r="N1035" s="75" t="s">
        <v>2276</v>
      </c>
      <c r="O1035" s="4" t="s">
        <v>67</v>
      </c>
      <c r="P1035" s="19" t="s">
        <v>6400</v>
      </c>
      <c r="Q1035" s="4"/>
    </row>
    <row r="1036" spans="1:17" ht="30" customHeight="1">
      <c r="A1036" s="193">
        <v>286</v>
      </c>
      <c r="B1036" s="207" t="s">
        <v>6374</v>
      </c>
      <c r="C1036" s="4" t="s">
        <v>6406</v>
      </c>
      <c r="D1036" s="4" t="s">
        <v>2416</v>
      </c>
      <c r="E1036" s="4" t="s">
        <v>2636</v>
      </c>
      <c r="F1036" s="75" t="s">
        <v>2276</v>
      </c>
      <c r="G1036" s="75" t="s">
        <v>2276</v>
      </c>
      <c r="H1036" s="4" t="s">
        <v>4032</v>
      </c>
      <c r="I1036" s="21">
        <v>47</v>
      </c>
      <c r="J1036" s="21">
        <v>104</v>
      </c>
      <c r="K1036" s="21">
        <v>1560000</v>
      </c>
      <c r="L1036" s="4">
        <v>2007</v>
      </c>
      <c r="M1036" s="4">
        <v>2007</v>
      </c>
      <c r="N1036" s="75" t="s">
        <v>2276</v>
      </c>
      <c r="O1036" s="4" t="s">
        <v>67</v>
      </c>
      <c r="P1036" s="19" t="s">
        <v>6400</v>
      </c>
      <c r="Q1036" s="4"/>
    </row>
    <row r="1037" spans="1:17" ht="30" customHeight="1">
      <c r="A1037" s="193">
        <v>286</v>
      </c>
      <c r="B1037" s="207" t="s">
        <v>6374</v>
      </c>
      <c r="C1037" s="4" t="s">
        <v>6407</v>
      </c>
      <c r="D1037" s="4" t="s">
        <v>2416</v>
      </c>
      <c r="E1037" s="4" t="s">
        <v>2636</v>
      </c>
      <c r="F1037" s="75" t="s">
        <v>2276</v>
      </c>
      <c r="G1037" s="75" t="s">
        <v>2276</v>
      </c>
      <c r="H1037" s="4" t="s">
        <v>4032</v>
      </c>
      <c r="I1037" s="21">
        <v>47</v>
      </c>
      <c r="J1037" s="21">
        <v>104</v>
      </c>
      <c r="K1037" s="21">
        <v>1560000</v>
      </c>
      <c r="L1037" s="4">
        <v>2007</v>
      </c>
      <c r="M1037" s="4">
        <v>2007</v>
      </c>
      <c r="N1037" s="75" t="s">
        <v>2276</v>
      </c>
      <c r="O1037" s="4" t="s">
        <v>67</v>
      </c>
      <c r="P1037" s="19" t="s">
        <v>6400</v>
      </c>
      <c r="Q1037" s="4"/>
    </row>
    <row r="1038" spans="1:17" ht="30" customHeight="1">
      <c r="A1038" s="193">
        <v>287</v>
      </c>
      <c r="B1038" s="41" t="s">
        <v>6375</v>
      </c>
      <c r="C1038" s="4" t="s">
        <v>6408</v>
      </c>
      <c r="D1038" s="4" t="s">
        <v>2398</v>
      </c>
      <c r="E1038" s="26" t="s">
        <v>4847</v>
      </c>
      <c r="F1038" s="4" t="s">
        <v>6376</v>
      </c>
      <c r="G1038" s="4" t="s">
        <v>4132</v>
      </c>
      <c r="H1038" s="4" t="s">
        <v>4112</v>
      </c>
      <c r="I1038" s="75">
        <v>34.4</v>
      </c>
      <c r="J1038" s="75">
        <v>-118.3</v>
      </c>
      <c r="K1038" s="209">
        <v>264</v>
      </c>
      <c r="L1038" s="4">
        <v>1980</v>
      </c>
      <c r="M1038" s="4">
        <v>2007</v>
      </c>
      <c r="N1038" s="75" t="s">
        <v>2276</v>
      </c>
      <c r="O1038" s="4" t="s">
        <v>67</v>
      </c>
      <c r="P1038" s="19" t="s">
        <v>6400</v>
      </c>
      <c r="Q1038" s="4"/>
    </row>
    <row r="1039" spans="1:17" ht="30" customHeight="1">
      <c r="A1039" s="193">
        <v>287</v>
      </c>
      <c r="B1039" s="207" t="s">
        <v>6375</v>
      </c>
      <c r="C1039" s="4" t="s">
        <v>6409</v>
      </c>
      <c r="D1039" s="4" t="s">
        <v>2398</v>
      </c>
      <c r="E1039" s="26" t="s">
        <v>4847</v>
      </c>
      <c r="F1039" s="4" t="s">
        <v>6377</v>
      </c>
      <c r="G1039" s="4" t="s">
        <v>4132</v>
      </c>
      <c r="H1039" s="4" t="s">
        <v>4112</v>
      </c>
      <c r="I1039" s="75">
        <v>34.799999999999997</v>
      </c>
      <c r="J1039" s="75">
        <v>-119.6</v>
      </c>
      <c r="K1039" s="209">
        <v>615</v>
      </c>
      <c r="L1039" s="4">
        <v>1980</v>
      </c>
      <c r="M1039" s="4">
        <v>2007</v>
      </c>
      <c r="N1039" s="75" t="s">
        <v>2276</v>
      </c>
      <c r="O1039" s="4" t="s">
        <v>67</v>
      </c>
      <c r="P1039" s="19" t="s">
        <v>6400</v>
      </c>
      <c r="Q1039" s="4"/>
    </row>
    <row r="1040" spans="1:17" ht="30" customHeight="1">
      <c r="A1040" s="193">
        <v>287</v>
      </c>
      <c r="B1040" s="207" t="s">
        <v>6375</v>
      </c>
      <c r="C1040" s="4" t="s">
        <v>6410</v>
      </c>
      <c r="D1040" s="4" t="s">
        <v>2398</v>
      </c>
      <c r="E1040" s="26" t="s">
        <v>4847</v>
      </c>
      <c r="F1040" s="4" t="s">
        <v>6378</v>
      </c>
      <c r="G1040" s="4" t="s">
        <v>4132</v>
      </c>
      <c r="H1040" s="4" t="s">
        <v>4112</v>
      </c>
      <c r="I1040" s="75">
        <v>33.69</v>
      </c>
      <c r="J1040" s="75">
        <v>-116.6</v>
      </c>
      <c r="K1040" s="209">
        <v>305</v>
      </c>
      <c r="L1040" s="4">
        <v>1980</v>
      </c>
      <c r="M1040" s="4">
        <v>2007</v>
      </c>
      <c r="N1040" s="75" t="s">
        <v>2276</v>
      </c>
      <c r="O1040" s="4" t="s">
        <v>67</v>
      </c>
      <c r="P1040" s="19" t="s">
        <v>6400</v>
      </c>
      <c r="Q1040" s="4"/>
    </row>
    <row r="1041" spans="1:17" ht="30" customHeight="1">
      <c r="A1041" s="193">
        <v>287</v>
      </c>
      <c r="B1041" s="207" t="s">
        <v>6375</v>
      </c>
      <c r="C1041" s="4" t="s">
        <v>6411</v>
      </c>
      <c r="D1041" s="4" t="s">
        <v>2398</v>
      </c>
      <c r="E1041" s="26" t="s">
        <v>4847</v>
      </c>
      <c r="F1041" s="4" t="s">
        <v>6379</v>
      </c>
      <c r="G1041" s="4" t="s">
        <v>4132</v>
      </c>
      <c r="H1041" s="4" t="s">
        <v>4112</v>
      </c>
      <c r="I1041" s="75">
        <v>32.9</v>
      </c>
      <c r="J1041" s="75">
        <v>-116.5</v>
      </c>
      <c r="K1041" s="209">
        <v>211</v>
      </c>
      <c r="L1041" s="4">
        <v>1980</v>
      </c>
      <c r="M1041" s="4">
        <v>2007</v>
      </c>
      <c r="N1041" s="75" t="s">
        <v>2276</v>
      </c>
      <c r="O1041" s="4" t="s">
        <v>67</v>
      </c>
      <c r="P1041" s="19" t="s">
        <v>6400</v>
      </c>
      <c r="Q1041" s="4"/>
    </row>
    <row r="1042" spans="1:17" ht="72.5">
      <c r="A1042" s="193">
        <v>288</v>
      </c>
      <c r="B1042" s="206" t="s">
        <v>6380</v>
      </c>
      <c r="C1042" s="4" t="s">
        <v>6412</v>
      </c>
      <c r="D1042" s="4" t="s">
        <v>2398</v>
      </c>
      <c r="E1042" s="4" t="s">
        <v>2636</v>
      </c>
      <c r="F1042" s="4" t="s">
        <v>6381</v>
      </c>
      <c r="G1042" s="4" t="s">
        <v>6382</v>
      </c>
      <c r="H1042" s="4" t="s">
        <v>4112</v>
      </c>
      <c r="I1042" s="75">
        <v>43.2</v>
      </c>
      <c r="J1042" s="75">
        <v>-121.6</v>
      </c>
      <c r="K1042" s="209">
        <v>15578</v>
      </c>
      <c r="L1042" s="4">
        <v>1905</v>
      </c>
      <c r="M1042" s="4">
        <v>1924</v>
      </c>
      <c r="N1042" s="75" t="s">
        <v>2276</v>
      </c>
      <c r="O1042" s="4" t="s">
        <v>67</v>
      </c>
      <c r="P1042" s="19" t="s">
        <v>6400</v>
      </c>
      <c r="Q1042" s="4" t="s">
        <v>6383</v>
      </c>
    </row>
    <row r="1043" spans="1:17" ht="72.5">
      <c r="A1043" s="193">
        <v>288</v>
      </c>
      <c r="B1043" s="206" t="s">
        <v>6380</v>
      </c>
      <c r="C1043" s="4" t="s">
        <v>6413</v>
      </c>
      <c r="D1043" s="4" t="s">
        <v>2398</v>
      </c>
      <c r="E1043" s="4" t="s">
        <v>2636</v>
      </c>
      <c r="F1043" s="4" t="s">
        <v>6381</v>
      </c>
      <c r="G1043" s="4" t="s">
        <v>6382</v>
      </c>
      <c r="H1043" s="4" t="s">
        <v>4112</v>
      </c>
      <c r="I1043" s="75">
        <v>43.2</v>
      </c>
      <c r="J1043" s="75">
        <v>-121.6</v>
      </c>
      <c r="K1043" s="209">
        <v>15578</v>
      </c>
      <c r="L1043" s="4">
        <v>1925</v>
      </c>
      <c r="M1043" s="4">
        <v>1975</v>
      </c>
      <c r="N1043" s="75" t="s">
        <v>2276</v>
      </c>
      <c r="O1043" s="4" t="s">
        <v>67</v>
      </c>
      <c r="P1043" s="19" t="s">
        <v>6400</v>
      </c>
      <c r="Q1043" s="4" t="s">
        <v>6383</v>
      </c>
    </row>
    <row r="1044" spans="1:17" ht="72.5">
      <c r="A1044" s="193">
        <v>288</v>
      </c>
      <c r="B1044" s="206" t="s">
        <v>6380</v>
      </c>
      <c r="C1044" s="4" t="s">
        <v>6414</v>
      </c>
      <c r="D1044" s="4" t="s">
        <v>2398</v>
      </c>
      <c r="E1044" s="4" t="s">
        <v>2636</v>
      </c>
      <c r="F1044" s="4" t="s">
        <v>6381</v>
      </c>
      <c r="G1044" s="4" t="s">
        <v>6382</v>
      </c>
      <c r="H1044" s="4" t="s">
        <v>4112</v>
      </c>
      <c r="I1044" s="75">
        <v>43.2</v>
      </c>
      <c r="J1044" s="75">
        <v>-121.6</v>
      </c>
      <c r="K1044" s="209">
        <v>15578</v>
      </c>
      <c r="L1044" s="4">
        <v>1976</v>
      </c>
      <c r="M1044" s="4">
        <v>1995</v>
      </c>
      <c r="N1044" s="75" t="s">
        <v>2276</v>
      </c>
      <c r="O1044" s="4" t="s">
        <v>67</v>
      </c>
      <c r="P1044" s="19" t="s">
        <v>6400</v>
      </c>
      <c r="Q1044" s="4" t="s">
        <v>6383</v>
      </c>
    </row>
    <row r="1045" spans="1:17" ht="73.5" customHeight="1">
      <c r="A1045" s="193">
        <v>288</v>
      </c>
      <c r="B1045" s="206" t="s">
        <v>6380</v>
      </c>
      <c r="C1045" s="4" t="s">
        <v>6415</v>
      </c>
      <c r="D1045" s="4" t="s">
        <v>2398</v>
      </c>
      <c r="E1045" s="4" t="s">
        <v>2636</v>
      </c>
      <c r="F1045" s="4" t="s">
        <v>6381</v>
      </c>
      <c r="G1045" s="4" t="s">
        <v>6382</v>
      </c>
      <c r="H1045" s="4" t="s">
        <v>4112</v>
      </c>
      <c r="I1045" s="75">
        <v>43.2</v>
      </c>
      <c r="J1045" s="75">
        <v>-121.6</v>
      </c>
      <c r="K1045" s="209">
        <v>15578</v>
      </c>
      <c r="L1045" s="4">
        <v>1995</v>
      </c>
      <c r="M1045" s="4">
        <v>2010</v>
      </c>
      <c r="N1045" s="75" t="s">
        <v>2276</v>
      </c>
      <c r="O1045" s="4" t="s">
        <v>67</v>
      </c>
      <c r="P1045" s="19" t="s">
        <v>6400</v>
      </c>
      <c r="Q1045" s="4" t="s">
        <v>6383</v>
      </c>
    </row>
    <row r="1046" spans="1:17" ht="73.5" customHeight="1">
      <c r="A1046" s="193">
        <v>288</v>
      </c>
      <c r="B1046" s="206" t="s">
        <v>6380</v>
      </c>
      <c r="C1046" s="4" t="s">
        <v>6416</v>
      </c>
      <c r="D1046" s="4" t="s">
        <v>2398</v>
      </c>
      <c r="E1046" s="4" t="s">
        <v>2636</v>
      </c>
      <c r="F1046" s="4" t="s">
        <v>6381</v>
      </c>
      <c r="G1046" s="4" t="s">
        <v>6382</v>
      </c>
      <c r="H1046" s="4" t="s">
        <v>4112</v>
      </c>
      <c r="I1046" s="75">
        <v>42.8</v>
      </c>
      <c r="J1046" s="75">
        <v>-121.3</v>
      </c>
      <c r="K1046" s="75" t="s">
        <v>2276</v>
      </c>
      <c r="L1046" s="4">
        <v>1911</v>
      </c>
      <c r="M1046" s="4">
        <v>1924</v>
      </c>
      <c r="N1046" s="75" t="s">
        <v>2276</v>
      </c>
      <c r="O1046" s="4" t="s">
        <v>67</v>
      </c>
      <c r="P1046" s="19" t="s">
        <v>6400</v>
      </c>
      <c r="Q1046" s="4"/>
    </row>
    <row r="1047" spans="1:17" ht="73.5" customHeight="1">
      <c r="A1047" s="193">
        <v>288</v>
      </c>
      <c r="B1047" s="206" t="s">
        <v>6380</v>
      </c>
      <c r="C1047" s="4" t="s">
        <v>6417</v>
      </c>
      <c r="D1047" s="4" t="s">
        <v>2398</v>
      </c>
      <c r="E1047" s="4" t="s">
        <v>2636</v>
      </c>
      <c r="F1047" s="4" t="s">
        <v>6381</v>
      </c>
      <c r="G1047" s="4" t="s">
        <v>6382</v>
      </c>
      <c r="H1047" s="4" t="s">
        <v>4112</v>
      </c>
      <c r="I1047" s="75">
        <v>42.8</v>
      </c>
      <c r="J1047" s="75">
        <v>-121.3</v>
      </c>
      <c r="K1047" s="75" t="s">
        <v>2276</v>
      </c>
      <c r="L1047" s="4">
        <v>1925</v>
      </c>
      <c r="M1047" s="4">
        <v>1997</v>
      </c>
      <c r="N1047" s="75" t="s">
        <v>2276</v>
      </c>
      <c r="O1047" s="4" t="s">
        <v>67</v>
      </c>
      <c r="P1047" s="19" t="s">
        <v>6400</v>
      </c>
      <c r="Q1047" s="4"/>
    </row>
    <row r="1048" spans="1:17" ht="73.5" customHeight="1">
      <c r="A1048" s="193">
        <v>288</v>
      </c>
      <c r="B1048" s="206" t="s">
        <v>6380</v>
      </c>
      <c r="C1048" s="4" t="s">
        <v>6566</v>
      </c>
      <c r="D1048" s="4" t="s">
        <v>2398</v>
      </c>
      <c r="E1048" s="4" t="s">
        <v>2636</v>
      </c>
      <c r="F1048" s="4" t="s">
        <v>6381</v>
      </c>
      <c r="G1048" s="4" t="s">
        <v>6382</v>
      </c>
      <c r="H1048" s="4" t="s">
        <v>4112</v>
      </c>
      <c r="I1048" s="75">
        <v>42.8</v>
      </c>
      <c r="J1048" s="75">
        <v>-121.3</v>
      </c>
      <c r="K1048" s="75" t="s">
        <v>2276</v>
      </c>
      <c r="L1048" s="4">
        <v>1998</v>
      </c>
      <c r="M1048" s="4">
        <v>2010</v>
      </c>
      <c r="N1048" s="75" t="s">
        <v>2276</v>
      </c>
      <c r="O1048" s="4" t="s">
        <v>67</v>
      </c>
      <c r="P1048" s="19" t="s">
        <v>6400</v>
      </c>
      <c r="Q1048" s="4"/>
    </row>
    <row r="1049" spans="1:17" ht="43.5">
      <c r="A1049" s="193">
        <v>288</v>
      </c>
      <c r="B1049" s="206" t="s">
        <v>6380</v>
      </c>
      <c r="C1049" s="4" t="s">
        <v>6419</v>
      </c>
      <c r="D1049" s="4" t="s">
        <v>2398</v>
      </c>
      <c r="E1049" s="4" t="s">
        <v>2636</v>
      </c>
      <c r="F1049" s="4" t="s">
        <v>6384</v>
      </c>
      <c r="G1049" s="4" t="s">
        <v>6382</v>
      </c>
      <c r="H1049" s="4" t="s">
        <v>4112</v>
      </c>
      <c r="I1049" s="75">
        <v>44.8</v>
      </c>
      <c r="J1049" s="75">
        <v>-121.4</v>
      </c>
      <c r="K1049" s="209">
        <v>2640</v>
      </c>
      <c r="L1049" s="4">
        <v>1910</v>
      </c>
      <c r="M1049" s="4">
        <v>1924</v>
      </c>
      <c r="N1049" s="75" t="s">
        <v>2276</v>
      </c>
      <c r="O1049" s="4" t="s">
        <v>67</v>
      </c>
      <c r="P1049" s="19" t="s">
        <v>6400</v>
      </c>
      <c r="Q1049" s="4" t="s">
        <v>6385</v>
      </c>
    </row>
    <row r="1050" spans="1:17" ht="43.5">
      <c r="A1050" s="193">
        <v>288</v>
      </c>
      <c r="B1050" s="206" t="s">
        <v>6380</v>
      </c>
      <c r="C1050" s="4" t="s">
        <v>6420</v>
      </c>
      <c r="D1050" s="4" t="s">
        <v>2398</v>
      </c>
      <c r="E1050" s="4" t="s">
        <v>2636</v>
      </c>
      <c r="F1050" s="4" t="s">
        <v>6384</v>
      </c>
      <c r="G1050" s="4" t="s">
        <v>6382</v>
      </c>
      <c r="H1050" s="4" t="s">
        <v>4112</v>
      </c>
      <c r="I1050" s="75">
        <v>44.8</v>
      </c>
      <c r="J1050" s="75">
        <v>-121.4</v>
      </c>
      <c r="K1050" s="209">
        <v>2640</v>
      </c>
      <c r="L1050" s="4">
        <v>1925</v>
      </c>
      <c r="M1050" s="4">
        <v>1975</v>
      </c>
      <c r="N1050" s="75" t="s">
        <v>2276</v>
      </c>
      <c r="O1050" s="4" t="s">
        <v>67</v>
      </c>
      <c r="P1050" s="19" t="s">
        <v>6400</v>
      </c>
      <c r="Q1050" s="4" t="s">
        <v>6385</v>
      </c>
    </row>
    <row r="1051" spans="1:17" ht="43.5">
      <c r="A1051" s="193">
        <v>288</v>
      </c>
      <c r="B1051" s="206" t="s">
        <v>6380</v>
      </c>
      <c r="C1051" s="4" t="s">
        <v>6421</v>
      </c>
      <c r="D1051" s="4" t="s">
        <v>2398</v>
      </c>
      <c r="E1051" s="4" t="s">
        <v>2636</v>
      </c>
      <c r="F1051" s="4" t="s">
        <v>6384</v>
      </c>
      <c r="G1051" s="4" t="s">
        <v>6382</v>
      </c>
      <c r="H1051" s="4" t="s">
        <v>4112</v>
      </c>
      <c r="I1051" s="75">
        <v>44.8</v>
      </c>
      <c r="J1051" s="75">
        <v>-121.4</v>
      </c>
      <c r="K1051" s="209">
        <v>2640</v>
      </c>
      <c r="L1051" s="4">
        <v>1976</v>
      </c>
      <c r="M1051" s="4">
        <v>1995</v>
      </c>
      <c r="N1051" s="75" t="s">
        <v>2276</v>
      </c>
      <c r="O1051" s="4" t="s">
        <v>67</v>
      </c>
      <c r="P1051" s="19" t="s">
        <v>6400</v>
      </c>
      <c r="Q1051" s="4" t="s">
        <v>6385</v>
      </c>
    </row>
    <row r="1052" spans="1:17" ht="43.5">
      <c r="A1052" s="193">
        <v>288</v>
      </c>
      <c r="B1052" s="206" t="s">
        <v>6380</v>
      </c>
      <c r="C1052" s="4" t="s">
        <v>6422</v>
      </c>
      <c r="D1052" s="4" t="s">
        <v>2398</v>
      </c>
      <c r="E1052" s="4" t="s">
        <v>2636</v>
      </c>
      <c r="F1052" s="4" t="s">
        <v>6384</v>
      </c>
      <c r="G1052" s="4" t="s">
        <v>6382</v>
      </c>
      <c r="H1052" s="4" t="s">
        <v>4112</v>
      </c>
      <c r="I1052" s="75">
        <v>44.8</v>
      </c>
      <c r="J1052" s="75">
        <v>-121.4</v>
      </c>
      <c r="K1052" s="209">
        <v>2640</v>
      </c>
      <c r="L1052" s="4">
        <v>1996</v>
      </c>
      <c r="M1052" s="4">
        <v>2010</v>
      </c>
      <c r="N1052" s="75" t="s">
        <v>2276</v>
      </c>
      <c r="O1052" s="4" t="s">
        <v>67</v>
      </c>
      <c r="P1052" s="19" t="s">
        <v>6400</v>
      </c>
      <c r="Q1052" s="4" t="s">
        <v>6385</v>
      </c>
    </row>
    <row r="1053" spans="1:17" ht="41.5" customHeight="1">
      <c r="A1053" s="193">
        <v>289</v>
      </c>
      <c r="B1053" s="207" t="s">
        <v>6386</v>
      </c>
      <c r="C1053" s="4" t="s">
        <v>6423</v>
      </c>
      <c r="D1053" s="4" t="s">
        <v>2398</v>
      </c>
      <c r="E1053" s="4" t="s">
        <v>2636</v>
      </c>
      <c r="F1053" s="4" t="s">
        <v>6387</v>
      </c>
      <c r="G1053" s="4" t="s">
        <v>6388</v>
      </c>
      <c r="H1053" s="4" t="s">
        <v>5373</v>
      </c>
      <c r="I1053" s="75">
        <v>60</v>
      </c>
      <c r="J1053" s="75">
        <v>-112.1</v>
      </c>
      <c r="K1053" s="209">
        <v>43000</v>
      </c>
      <c r="L1053" s="4">
        <v>1970</v>
      </c>
      <c r="M1053" s="4">
        <v>2015</v>
      </c>
      <c r="N1053" s="75" t="s">
        <v>2276</v>
      </c>
      <c r="O1053" s="4" t="s">
        <v>67</v>
      </c>
      <c r="P1053" s="19" t="s">
        <v>6400</v>
      </c>
      <c r="Q1053" s="4"/>
    </row>
    <row r="1054" spans="1:17" ht="58">
      <c r="A1054" s="193">
        <v>289</v>
      </c>
      <c r="B1054" s="206" t="s">
        <v>6386</v>
      </c>
      <c r="C1054" s="4" t="s">
        <v>6424</v>
      </c>
      <c r="D1054" s="4" t="s">
        <v>2398</v>
      </c>
      <c r="E1054" s="4" t="s">
        <v>2636</v>
      </c>
      <c r="F1054" s="4" t="s">
        <v>6389</v>
      </c>
      <c r="G1054" s="4" t="s">
        <v>6388</v>
      </c>
      <c r="H1054" s="4" t="s">
        <v>5373</v>
      </c>
      <c r="I1054" s="75">
        <v>57.2</v>
      </c>
      <c r="J1054" s="75">
        <v>-111.5</v>
      </c>
      <c r="K1054" s="209">
        <v>79000</v>
      </c>
      <c r="L1054" s="4">
        <v>1970</v>
      </c>
      <c r="M1054" s="4">
        <v>2015</v>
      </c>
      <c r="N1054" s="4">
        <v>1.3</v>
      </c>
      <c r="O1054" s="4" t="s">
        <v>67</v>
      </c>
      <c r="P1054" s="19" t="s">
        <v>6400</v>
      </c>
      <c r="Q1054" s="4" t="s">
        <v>6390</v>
      </c>
    </row>
    <row r="1055" spans="1:17" ht="112.5" customHeight="1">
      <c r="A1055" s="193">
        <v>290</v>
      </c>
      <c r="B1055" s="58" t="s">
        <v>6391</v>
      </c>
      <c r="C1055" s="4" t="s">
        <v>6425</v>
      </c>
      <c r="D1055" s="4" t="s">
        <v>2416</v>
      </c>
      <c r="E1055" s="4" t="s">
        <v>2636</v>
      </c>
      <c r="F1055" s="4" t="s">
        <v>6392</v>
      </c>
      <c r="G1055" s="75" t="s">
        <v>2276</v>
      </c>
      <c r="H1055" s="4" t="s">
        <v>3490</v>
      </c>
      <c r="I1055" s="75">
        <v>-18.440000000000001</v>
      </c>
      <c r="J1055" s="75">
        <v>27.26</v>
      </c>
      <c r="K1055" s="209">
        <v>6387</v>
      </c>
      <c r="L1055" s="4">
        <v>1989</v>
      </c>
      <c r="M1055" s="4">
        <v>2007</v>
      </c>
      <c r="N1055" s="211">
        <v>3.0056779077770099</v>
      </c>
      <c r="O1055" s="4" t="s">
        <v>67</v>
      </c>
      <c r="P1055" s="19" t="s">
        <v>6400</v>
      </c>
      <c r="Q1055" s="4" t="s">
        <v>6393</v>
      </c>
    </row>
    <row r="1056" spans="1:17" ht="29" customHeight="1">
      <c r="A1056" s="193">
        <v>291</v>
      </c>
      <c r="B1056" s="207" t="s">
        <v>6394</v>
      </c>
      <c r="C1056" s="4" t="s">
        <v>6426</v>
      </c>
      <c r="D1056" s="4" t="s">
        <v>2398</v>
      </c>
      <c r="E1056" s="4" t="s">
        <v>2636</v>
      </c>
      <c r="F1056" s="4" t="s">
        <v>6395</v>
      </c>
      <c r="G1056" s="4" t="s">
        <v>6396</v>
      </c>
      <c r="H1056" s="4" t="s">
        <v>6397</v>
      </c>
      <c r="I1056" s="75">
        <v>65.17</v>
      </c>
      <c r="J1056" s="75">
        <v>18.75</v>
      </c>
      <c r="K1056" s="209">
        <v>598</v>
      </c>
      <c r="L1056" s="4">
        <v>1921</v>
      </c>
      <c r="M1056" s="4">
        <v>1970</v>
      </c>
      <c r="N1056" s="75" t="s">
        <v>2276</v>
      </c>
      <c r="O1056" s="4" t="s">
        <v>67</v>
      </c>
      <c r="P1056" s="19" t="s">
        <v>6400</v>
      </c>
      <c r="Q1056" s="4"/>
    </row>
    <row r="1057" spans="1:17" ht="32" customHeight="1">
      <c r="A1057" s="193">
        <v>292</v>
      </c>
      <c r="B1057" s="207" t="s">
        <v>6398</v>
      </c>
      <c r="C1057" s="4" t="s">
        <v>6427</v>
      </c>
      <c r="D1057" s="4" t="s">
        <v>2398</v>
      </c>
      <c r="E1057" s="4" t="s">
        <v>4847</v>
      </c>
      <c r="F1057" s="75" t="s">
        <v>2276</v>
      </c>
      <c r="G1057" s="75" t="s">
        <v>2276</v>
      </c>
      <c r="H1057" s="4" t="s">
        <v>6397</v>
      </c>
      <c r="I1057" s="75">
        <v>59.2</v>
      </c>
      <c r="J1057" s="75">
        <v>18.5</v>
      </c>
      <c r="K1057" s="209">
        <v>305360</v>
      </c>
      <c r="L1057" s="4">
        <v>2011</v>
      </c>
      <c r="M1057" s="4">
        <v>2015</v>
      </c>
      <c r="N1057" s="75" t="s">
        <v>2276</v>
      </c>
      <c r="O1057" s="4" t="s">
        <v>67</v>
      </c>
      <c r="P1057" s="19" t="s">
        <v>6400</v>
      </c>
      <c r="Q1057" s="4" t="s">
        <v>6399</v>
      </c>
    </row>
    <row r="1058" spans="1:17" ht="33.5" customHeight="1">
      <c r="A1058" s="213">
        <v>293</v>
      </c>
      <c r="B1058" s="40" t="s">
        <v>6988</v>
      </c>
      <c r="C1058" s="19" t="s">
        <v>6989</v>
      </c>
      <c r="D1058" s="4" t="s">
        <v>2398</v>
      </c>
      <c r="E1058" s="204" t="s">
        <v>2399</v>
      </c>
      <c r="F1058" s="19" t="s">
        <v>6990</v>
      </c>
      <c r="G1058" s="19" t="s">
        <v>6991</v>
      </c>
      <c r="H1058" s="19" t="s">
        <v>7294</v>
      </c>
      <c r="I1058" s="21">
        <f>48 + 23/60</f>
        <v>48.383333333333333</v>
      </c>
      <c r="J1058" s="21">
        <f>21 + 21.7/60</f>
        <v>21.361666666666668</v>
      </c>
      <c r="K1058" s="21">
        <v>1</v>
      </c>
      <c r="L1058" s="19">
        <v>2006</v>
      </c>
      <c r="M1058" s="19">
        <v>2007</v>
      </c>
      <c r="N1058" s="75" t="s">
        <v>2276</v>
      </c>
      <c r="O1058" s="4" t="s">
        <v>67</v>
      </c>
      <c r="P1058" s="19" t="s">
        <v>5187</v>
      </c>
      <c r="Q1058" s="204"/>
    </row>
    <row r="1059" spans="1:17" ht="38" customHeight="1">
      <c r="A1059" s="213">
        <v>294</v>
      </c>
      <c r="B1059" s="40" t="s">
        <v>6996</v>
      </c>
      <c r="C1059" s="19" t="s">
        <v>6997</v>
      </c>
      <c r="D1059" s="4" t="s">
        <v>2398</v>
      </c>
      <c r="E1059" s="204" t="s">
        <v>2400</v>
      </c>
      <c r="F1059" s="204" t="s">
        <v>6998</v>
      </c>
      <c r="G1059" s="82" t="s">
        <v>166</v>
      </c>
      <c r="H1059" s="19" t="s">
        <v>121</v>
      </c>
      <c r="I1059" s="21">
        <v>-7.9078809999999997</v>
      </c>
      <c r="J1059" s="21">
        <v>-55.433556799999998</v>
      </c>
      <c r="K1059" s="21">
        <f>185*185</f>
        <v>34225</v>
      </c>
      <c r="L1059" s="19">
        <v>2013</v>
      </c>
      <c r="M1059" s="19">
        <v>2014</v>
      </c>
      <c r="N1059" s="75" t="s">
        <v>2276</v>
      </c>
      <c r="O1059" s="4" t="s">
        <v>67</v>
      </c>
      <c r="P1059" s="19" t="s">
        <v>5187</v>
      </c>
      <c r="Q1059" s="4" t="s">
        <v>7009</v>
      </c>
    </row>
    <row r="1060" spans="1:17" ht="42.5" customHeight="1">
      <c r="A1060" s="213">
        <v>295</v>
      </c>
      <c r="B1060" s="40" t="s">
        <v>7007</v>
      </c>
      <c r="C1060" s="19" t="s">
        <v>7008</v>
      </c>
      <c r="D1060" s="4" t="s">
        <v>2398</v>
      </c>
      <c r="E1060" s="204" t="s">
        <v>2400</v>
      </c>
      <c r="F1060" s="75" t="s">
        <v>2276</v>
      </c>
      <c r="G1060" s="204" t="s">
        <v>165</v>
      </c>
      <c r="H1060" s="19" t="s">
        <v>121</v>
      </c>
      <c r="I1060" s="21">
        <f>AVERAGE(-9 - 15/60, -10-40/60)</f>
        <v>-9.9583333333333321</v>
      </c>
      <c r="J1060" s="21">
        <f>AVERAGE(-62 - 50/60, -60)</f>
        <v>-61.416666666666671</v>
      </c>
      <c r="K1060" s="21">
        <f>185*185</f>
        <v>34225</v>
      </c>
      <c r="L1060" s="204">
        <v>2005</v>
      </c>
      <c r="M1060" s="204">
        <v>2005</v>
      </c>
      <c r="N1060" s="75" t="s">
        <v>2276</v>
      </c>
      <c r="O1060" s="4" t="s">
        <v>67</v>
      </c>
      <c r="P1060" s="19" t="s">
        <v>5187</v>
      </c>
      <c r="Q1060" s="19" t="s">
        <v>7010</v>
      </c>
    </row>
    <row r="1061" spans="1:17" ht="37.5" customHeight="1">
      <c r="A1061" s="213">
        <v>296</v>
      </c>
      <c r="B1061" s="40" t="s">
        <v>7017</v>
      </c>
      <c r="C1061" s="19" t="s">
        <v>7018</v>
      </c>
      <c r="D1061" s="4" t="s">
        <v>2398</v>
      </c>
      <c r="E1061" s="204" t="s">
        <v>2405</v>
      </c>
      <c r="F1061" s="75" t="s">
        <v>2276</v>
      </c>
      <c r="G1061" s="204" t="s">
        <v>165</v>
      </c>
      <c r="H1061" s="19" t="s">
        <v>121</v>
      </c>
      <c r="I1061" s="21">
        <v>-12.6955445</v>
      </c>
      <c r="J1061" s="21">
        <v>-55.928997299999999</v>
      </c>
      <c r="K1061" s="21">
        <v>903357</v>
      </c>
      <c r="L1061" s="204">
        <v>2001</v>
      </c>
      <c r="M1061" s="204">
        <v>2004</v>
      </c>
      <c r="N1061" s="75" t="s">
        <v>2276</v>
      </c>
      <c r="O1061" s="204" t="s">
        <v>149</v>
      </c>
      <c r="P1061" s="19" t="s">
        <v>5187</v>
      </c>
      <c r="Q1061" s="204"/>
    </row>
    <row r="1062" spans="1:17" ht="39" customHeight="1">
      <c r="A1062" s="213">
        <v>297</v>
      </c>
      <c r="B1062" s="40" t="s">
        <v>7023</v>
      </c>
      <c r="C1062" s="19" t="s">
        <v>7024</v>
      </c>
      <c r="D1062" s="4" t="s">
        <v>2398</v>
      </c>
      <c r="E1062" s="204" t="s">
        <v>2637</v>
      </c>
      <c r="F1062" s="204" t="s">
        <v>7026</v>
      </c>
      <c r="G1062" s="204" t="s">
        <v>7025</v>
      </c>
      <c r="H1062" s="19" t="s">
        <v>4112</v>
      </c>
      <c r="I1062" s="21">
        <v>40.752764800000001</v>
      </c>
      <c r="J1062" s="21">
        <v>-104.0032815</v>
      </c>
      <c r="K1062" s="21">
        <f>60900/100</f>
        <v>609</v>
      </c>
      <c r="L1062" s="19">
        <v>2007</v>
      </c>
      <c r="M1062" s="19">
        <v>2010</v>
      </c>
      <c r="N1062" s="75" t="s">
        <v>2276</v>
      </c>
      <c r="O1062" s="4" t="s">
        <v>67</v>
      </c>
      <c r="P1062" s="19" t="s">
        <v>5187</v>
      </c>
      <c r="Q1062" s="4" t="s">
        <v>7028</v>
      </c>
    </row>
    <row r="1063" spans="1:17" ht="41.5" customHeight="1">
      <c r="A1063" s="213">
        <v>298</v>
      </c>
      <c r="B1063" s="40" t="s">
        <v>7035</v>
      </c>
      <c r="C1063" s="204" t="s">
        <v>7034</v>
      </c>
      <c r="D1063" s="4" t="s">
        <v>2398</v>
      </c>
      <c r="E1063" s="204" t="s">
        <v>2399</v>
      </c>
      <c r="F1063" s="204" t="s">
        <v>7033</v>
      </c>
      <c r="G1063" s="75" t="s">
        <v>2276</v>
      </c>
      <c r="H1063" s="204" t="s">
        <v>3616</v>
      </c>
      <c r="I1063" s="21">
        <v>-31.682602500000002</v>
      </c>
      <c r="J1063" s="21">
        <v>-64.837188999999995</v>
      </c>
      <c r="K1063" s="21">
        <f>200*16/(1000^2)</f>
        <v>3.2000000000000002E-3</v>
      </c>
      <c r="L1063" s="19">
        <v>2009</v>
      </c>
      <c r="M1063" s="19">
        <v>2009</v>
      </c>
      <c r="N1063" s="75" t="s">
        <v>2276</v>
      </c>
      <c r="O1063" s="4" t="s">
        <v>67</v>
      </c>
      <c r="P1063" s="19" t="s">
        <v>5187</v>
      </c>
      <c r="Q1063" s="204"/>
    </row>
    <row r="1064" spans="1:17" ht="38" customHeight="1">
      <c r="A1064" s="213">
        <v>299</v>
      </c>
      <c r="B1064" s="40" t="s">
        <v>7039</v>
      </c>
      <c r="C1064" s="19" t="s">
        <v>7040</v>
      </c>
      <c r="D1064" s="19" t="s">
        <v>2398</v>
      </c>
      <c r="E1064" s="204" t="s">
        <v>2422</v>
      </c>
      <c r="F1064" s="11" t="s">
        <v>7042</v>
      </c>
      <c r="G1064" s="11" t="s">
        <v>7041</v>
      </c>
      <c r="H1064" s="19" t="s">
        <v>4112</v>
      </c>
      <c r="I1064" s="21">
        <f>43 + 10 /60</f>
        <v>43.166666666666664</v>
      </c>
      <c r="J1064" s="21">
        <f>-116-48/60</f>
        <v>-116.8</v>
      </c>
      <c r="K1064" s="21">
        <f>324/100</f>
        <v>3.24</v>
      </c>
      <c r="L1064" s="19">
        <v>2004</v>
      </c>
      <c r="M1064" s="19">
        <v>2010</v>
      </c>
      <c r="N1064" s="75" t="s">
        <v>2276</v>
      </c>
      <c r="O1064" s="4" t="s">
        <v>67</v>
      </c>
      <c r="P1064" s="19" t="s">
        <v>5187</v>
      </c>
      <c r="Q1064" s="204"/>
    </row>
    <row r="1065" spans="1:17" ht="36.5" customHeight="1">
      <c r="A1065" s="213">
        <v>300</v>
      </c>
      <c r="B1065" s="57" t="s">
        <v>7046</v>
      </c>
      <c r="C1065" s="19" t="s">
        <v>7047</v>
      </c>
      <c r="D1065" s="19" t="s">
        <v>2398</v>
      </c>
      <c r="E1065" s="11" t="s">
        <v>2636</v>
      </c>
      <c r="F1065" s="82" t="s">
        <v>2276</v>
      </c>
      <c r="G1065" s="11" t="s">
        <v>7045</v>
      </c>
      <c r="H1065" s="19" t="s">
        <v>3414</v>
      </c>
      <c r="I1065" s="74">
        <v>-17.377790600000001</v>
      </c>
      <c r="J1065" s="74">
        <v>123.9260275</v>
      </c>
      <c r="K1065" s="74">
        <v>423517</v>
      </c>
      <c r="L1065" s="11">
        <v>1980</v>
      </c>
      <c r="M1065" s="11">
        <v>1997</v>
      </c>
      <c r="N1065" s="82" t="s">
        <v>2276</v>
      </c>
      <c r="O1065" s="19" t="s">
        <v>67</v>
      </c>
      <c r="P1065" s="19" t="s">
        <v>5187</v>
      </c>
      <c r="Q1065" s="11"/>
    </row>
    <row r="1066" spans="1:17" ht="44.5" customHeight="1">
      <c r="A1066" s="213">
        <v>301</v>
      </c>
      <c r="B1066" s="40" t="s">
        <v>7059</v>
      </c>
      <c r="C1066" s="19" t="s">
        <v>7060</v>
      </c>
      <c r="D1066" s="19" t="s">
        <v>2398</v>
      </c>
      <c r="E1066" s="204" t="s">
        <v>2422</v>
      </c>
      <c r="F1066" s="4" t="s">
        <v>7064</v>
      </c>
      <c r="G1066" s="204" t="s">
        <v>7067</v>
      </c>
      <c r="H1066" s="204" t="s">
        <v>121</v>
      </c>
      <c r="I1066" s="21">
        <v>-16</v>
      </c>
      <c r="J1066" s="21">
        <v>-42</v>
      </c>
      <c r="K1066" s="21">
        <v>609</v>
      </c>
      <c r="L1066" s="204">
        <v>2014</v>
      </c>
      <c r="M1066" s="204">
        <v>2014</v>
      </c>
      <c r="N1066" s="82" t="s">
        <v>2276</v>
      </c>
      <c r="O1066" s="19" t="s">
        <v>67</v>
      </c>
      <c r="P1066" s="19" t="s">
        <v>5187</v>
      </c>
      <c r="Q1066" s="4" t="s">
        <v>7063</v>
      </c>
    </row>
    <row r="1067" spans="1:17" ht="44.5" customHeight="1">
      <c r="A1067" s="213">
        <v>301</v>
      </c>
      <c r="B1067" s="40" t="s">
        <v>7059</v>
      </c>
      <c r="C1067" s="19" t="s">
        <v>7061</v>
      </c>
      <c r="D1067" s="19" t="s">
        <v>2398</v>
      </c>
      <c r="E1067" s="204" t="s">
        <v>2422</v>
      </c>
      <c r="F1067" s="4" t="s">
        <v>7065</v>
      </c>
      <c r="G1067" s="204" t="s">
        <v>7066</v>
      </c>
      <c r="H1067" s="204" t="s">
        <v>121</v>
      </c>
      <c r="I1067" s="21">
        <v>-15.823395100000001</v>
      </c>
      <c r="J1067" s="21">
        <v>-43.322687899999998</v>
      </c>
      <c r="K1067" s="21">
        <v>1761</v>
      </c>
      <c r="L1067" s="204">
        <v>2014</v>
      </c>
      <c r="M1067" s="204">
        <v>2014</v>
      </c>
      <c r="N1067" s="82" t="s">
        <v>2276</v>
      </c>
      <c r="O1067" s="19" t="s">
        <v>67</v>
      </c>
      <c r="P1067" s="19" t="s">
        <v>5187</v>
      </c>
      <c r="Q1067" s="4" t="s">
        <v>7063</v>
      </c>
    </row>
    <row r="1068" spans="1:17" ht="44.5" customHeight="1">
      <c r="A1068" s="213">
        <v>301</v>
      </c>
      <c r="B1068" s="40" t="s">
        <v>7059</v>
      </c>
      <c r="C1068" s="204" t="s">
        <v>7062</v>
      </c>
      <c r="D1068" s="19" t="s">
        <v>2398</v>
      </c>
      <c r="E1068" s="204" t="s">
        <v>2422</v>
      </c>
      <c r="F1068" s="4" t="s">
        <v>3046</v>
      </c>
      <c r="G1068" s="204" t="s">
        <v>2956</v>
      </c>
      <c r="H1068" s="204" t="s">
        <v>121</v>
      </c>
      <c r="I1068" s="21">
        <v>-14.578281</v>
      </c>
      <c r="J1068" s="21">
        <v>-38.866053600000001</v>
      </c>
      <c r="K1068" s="21">
        <v>7070</v>
      </c>
      <c r="L1068" s="204">
        <v>2014</v>
      </c>
      <c r="M1068" s="204">
        <v>2014</v>
      </c>
      <c r="N1068" s="82" t="s">
        <v>2276</v>
      </c>
      <c r="O1068" s="19" t="s">
        <v>67</v>
      </c>
      <c r="P1068" s="19" t="s">
        <v>5187</v>
      </c>
      <c r="Q1068" s="4" t="s">
        <v>7063</v>
      </c>
    </row>
    <row r="1069" spans="1:17" ht="36.5" customHeight="1">
      <c r="A1069" s="213">
        <v>302</v>
      </c>
      <c r="B1069" s="40" t="s">
        <v>7081</v>
      </c>
      <c r="C1069" s="204" t="s">
        <v>7080</v>
      </c>
      <c r="D1069" s="19" t="s">
        <v>2398</v>
      </c>
      <c r="E1069" s="204" t="s">
        <v>2399</v>
      </c>
      <c r="F1069" s="204" t="s">
        <v>7082</v>
      </c>
      <c r="G1069" s="204" t="s">
        <v>7083</v>
      </c>
      <c r="H1069" s="11" t="s">
        <v>6116</v>
      </c>
      <c r="I1069" s="21">
        <f>42 + 36/60</f>
        <v>42.6</v>
      </c>
      <c r="J1069" s="21">
        <f>1/60</f>
        <v>1.6666666666666666E-2</v>
      </c>
      <c r="K1069" s="21">
        <f>3.6/100</f>
        <v>3.6000000000000004E-2</v>
      </c>
      <c r="L1069" s="11">
        <v>2015</v>
      </c>
      <c r="M1069" s="11">
        <v>2015</v>
      </c>
      <c r="N1069" s="82" t="s">
        <v>2276</v>
      </c>
      <c r="O1069" s="19" t="s">
        <v>67</v>
      </c>
      <c r="P1069" s="19" t="s">
        <v>5187</v>
      </c>
      <c r="Q1069" s="204"/>
    </row>
    <row r="1070" spans="1:17" ht="39.5" customHeight="1">
      <c r="A1070" s="213">
        <v>303</v>
      </c>
      <c r="B1070" s="40" t="s">
        <v>7094</v>
      </c>
      <c r="C1070" s="19" t="s">
        <v>7095</v>
      </c>
      <c r="D1070" s="204" t="s">
        <v>2398</v>
      </c>
      <c r="E1070" s="204" t="s">
        <v>2422</v>
      </c>
      <c r="F1070" s="204" t="s">
        <v>7097</v>
      </c>
      <c r="G1070" s="204" t="s">
        <v>7096</v>
      </c>
      <c r="H1070" s="204" t="s">
        <v>4314</v>
      </c>
      <c r="I1070" s="21">
        <v>43.224080006857598</v>
      </c>
      <c r="J1070" s="21">
        <v>-7.6646931826081497</v>
      </c>
      <c r="K1070" s="21">
        <f>30000/0.6</f>
        <v>50000</v>
      </c>
      <c r="L1070" s="204">
        <v>2005</v>
      </c>
      <c r="M1070" s="204">
        <v>2009</v>
      </c>
      <c r="N1070" s="82" t="s">
        <v>2276</v>
      </c>
      <c r="O1070" s="19" t="s">
        <v>67</v>
      </c>
      <c r="P1070" s="19" t="s">
        <v>5187</v>
      </c>
      <c r="Q1070" s="19" t="s">
        <v>7114</v>
      </c>
    </row>
    <row r="1071" spans="1:17" ht="39.5" customHeight="1">
      <c r="A1071" s="213">
        <v>303</v>
      </c>
      <c r="B1071" s="40" t="s">
        <v>7094</v>
      </c>
      <c r="C1071" s="19" t="s">
        <v>7115</v>
      </c>
      <c r="D1071" s="204" t="s">
        <v>2398</v>
      </c>
      <c r="E1071" s="204" t="s">
        <v>2422</v>
      </c>
      <c r="F1071" s="204" t="s">
        <v>7098</v>
      </c>
      <c r="G1071" s="204" t="s">
        <v>7096</v>
      </c>
      <c r="H1071" s="204" t="s">
        <v>4314</v>
      </c>
      <c r="I1071" s="21">
        <v>43.284344685012499</v>
      </c>
      <c r="J1071" s="21">
        <v>-5.2442031536895302</v>
      </c>
      <c r="K1071" s="21">
        <v>6000</v>
      </c>
      <c r="L1071" s="204">
        <v>2005</v>
      </c>
      <c r="M1071" s="204">
        <v>2009</v>
      </c>
      <c r="N1071" s="82" t="s">
        <v>2276</v>
      </c>
      <c r="O1071" s="19" t="s">
        <v>67</v>
      </c>
      <c r="P1071" s="19" t="s">
        <v>5187</v>
      </c>
      <c r="Q1071" s="19" t="s">
        <v>7114</v>
      </c>
    </row>
    <row r="1072" spans="1:17" ht="39.5" customHeight="1">
      <c r="A1072" s="213">
        <v>303</v>
      </c>
      <c r="B1072" s="40" t="s">
        <v>7094</v>
      </c>
      <c r="C1072" s="19" t="s">
        <v>7116</v>
      </c>
      <c r="D1072" s="204" t="s">
        <v>2398</v>
      </c>
      <c r="E1072" s="204" t="s">
        <v>2422</v>
      </c>
      <c r="F1072" s="204" t="s">
        <v>7099</v>
      </c>
      <c r="G1072" s="204" t="s">
        <v>7096</v>
      </c>
      <c r="H1072" s="204" t="s">
        <v>4314</v>
      </c>
      <c r="I1072" s="21">
        <v>43.112988378599098</v>
      </c>
      <c r="J1072" s="21">
        <v>-2.7109157073804502</v>
      </c>
      <c r="K1072" s="21">
        <v>3000</v>
      </c>
      <c r="L1072" s="204">
        <v>2005</v>
      </c>
      <c r="M1072" s="204">
        <v>2009</v>
      </c>
      <c r="N1072" s="82" t="s">
        <v>2276</v>
      </c>
      <c r="O1072" s="19" t="s">
        <v>67</v>
      </c>
      <c r="P1072" s="19" t="s">
        <v>5187</v>
      </c>
      <c r="Q1072" s="19" t="s">
        <v>7114</v>
      </c>
    </row>
    <row r="1073" spans="1:17" ht="39.5" customHeight="1">
      <c r="A1073" s="213">
        <v>303</v>
      </c>
      <c r="B1073" s="40" t="s">
        <v>7094</v>
      </c>
      <c r="C1073" s="19" t="s">
        <v>7117</v>
      </c>
      <c r="D1073" s="204" t="s">
        <v>2398</v>
      </c>
      <c r="E1073" s="204" t="s">
        <v>2422</v>
      </c>
      <c r="F1073" s="11" t="s">
        <v>6143</v>
      </c>
      <c r="G1073" s="11" t="s">
        <v>7102</v>
      </c>
      <c r="H1073" s="204" t="s">
        <v>4314</v>
      </c>
      <c r="I1073" s="21">
        <v>42.858794319360598</v>
      </c>
      <c r="J1073" s="21">
        <v>-1.2826979314387601</v>
      </c>
      <c r="K1073" s="21">
        <v>1000</v>
      </c>
      <c r="L1073" s="204">
        <v>2005</v>
      </c>
      <c r="M1073" s="204">
        <v>2009</v>
      </c>
      <c r="N1073" s="82" t="s">
        <v>2276</v>
      </c>
      <c r="O1073" s="19" t="s">
        <v>67</v>
      </c>
      <c r="P1073" s="19" t="s">
        <v>5187</v>
      </c>
      <c r="Q1073" s="19" t="s">
        <v>7114</v>
      </c>
    </row>
    <row r="1074" spans="1:17" ht="39.5" customHeight="1">
      <c r="A1074" s="213">
        <v>303</v>
      </c>
      <c r="B1074" s="40" t="s">
        <v>7094</v>
      </c>
      <c r="C1074" s="19" t="s">
        <v>7118</v>
      </c>
      <c r="D1074" s="204" t="s">
        <v>2398</v>
      </c>
      <c r="E1074" s="204" t="s">
        <v>2422</v>
      </c>
      <c r="F1074" s="11" t="s">
        <v>7100</v>
      </c>
      <c r="G1074" s="11" t="s">
        <v>7102</v>
      </c>
      <c r="H1074" s="204" t="s">
        <v>4314</v>
      </c>
      <c r="I1074" s="21">
        <v>42.234142612692601</v>
      </c>
      <c r="J1074" s="21">
        <v>0.64997402018690098</v>
      </c>
      <c r="K1074" s="21">
        <v>6000</v>
      </c>
      <c r="L1074" s="204">
        <v>2005</v>
      </c>
      <c r="M1074" s="204">
        <v>2009</v>
      </c>
      <c r="N1074" s="82" t="s">
        <v>2276</v>
      </c>
      <c r="O1074" s="19" t="s">
        <v>67</v>
      </c>
      <c r="P1074" s="19" t="s">
        <v>5187</v>
      </c>
      <c r="Q1074" s="19" t="s">
        <v>7114</v>
      </c>
    </row>
    <row r="1075" spans="1:17" ht="39.5" customHeight="1">
      <c r="A1075" s="213">
        <v>303</v>
      </c>
      <c r="B1075" s="40" t="s">
        <v>7094</v>
      </c>
      <c r="C1075" s="19" t="s">
        <v>7119</v>
      </c>
      <c r="D1075" s="204" t="s">
        <v>2398</v>
      </c>
      <c r="E1075" s="204" t="s">
        <v>2422</v>
      </c>
      <c r="F1075" s="11" t="s">
        <v>7101</v>
      </c>
      <c r="G1075" s="11" t="s">
        <v>7102</v>
      </c>
      <c r="H1075" s="204" t="s">
        <v>4314</v>
      </c>
      <c r="I1075" s="21">
        <v>42.085069503480803</v>
      </c>
      <c r="J1075" s="21">
        <v>2.5175000198392001</v>
      </c>
      <c r="K1075" s="21">
        <v>2000</v>
      </c>
      <c r="L1075" s="204">
        <v>2005</v>
      </c>
      <c r="M1075" s="204">
        <v>2009</v>
      </c>
      <c r="N1075" s="82" t="s">
        <v>2276</v>
      </c>
      <c r="O1075" s="19" t="s">
        <v>67</v>
      </c>
      <c r="P1075" s="19" t="s">
        <v>5187</v>
      </c>
      <c r="Q1075" s="19" t="s">
        <v>7114</v>
      </c>
    </row>
    <row r="1076" spans="1:17" ht="39.5" customHeight="1">
      <c r="A1076" s="213">
        <v>303</v>
      </c>
      <c r="B1076" s="40" t="s">
        <v>7094</v>
      </c>
      <c r="C1076" s="19" t="s">
        <v>7120</v>
      </c>
      <c r="D1076" s="204" t="s">
        <v>2398</v>
      </c>
      <c r="E1076" s="204" t="s">
        <v>2422</v>
      </c>
      <c r="F1076" s="19" t="s">
        <v>7103</v>
      </c>
      <c r="G1076" s="204" t="s">
        <v>7111</v>
      </c>
      <c r="H1076" s="204" t="s">
        <v>4314</v>
      </c>
      <c r="I1076" s="21">
        <v>42.241385118929301</v>
      </c>
      <c r="J1076" s="21">
        <v>-2.1373345217399802</v>
      </c>
      <c r="K1076" s="21">
        <v>5000</v>
      </c>
      <c r="L1076" s="204">
        <v>2005</v>
      </c>
      <c r="M1076" s="204">
        <v>2009</v>
      </c>
      <c r="N1076" s="82" t="s">
        <v>2276</v>
      </c>
      <c r="O1076" s="19" t="s">
        <v>67</v>
      </c>
      <c r="P1076" s="19" t="s">
        <v>5187</v>
      </c>
      <c r="Q1076" s="19" t="s">
        <v>7114</v>
      </c>
    </row>
    <row r="1077" spans="1:17" ht="39.5" customHeight="1">
      <c r="A1077" s="213">
        <v>303</v>
      </c>
      <c r="B1077" s="40" t="s">
        <v>7094</v>
      </c>
      <c r="C1077" s="19" t="s">
        <v>7121</v>
      </c>
      <c r="D1077" s="204" t="s">
        <v>2398</v>
      </c>
      <c r="E1077" s="204" t="s">
        <v>2422</v>
      </c>
      <c r="F1077" s="19" t="s">
        <v>7104</v>
      </c>
      <c r="G1077" s="204" t="s">
        <v>7111</v>
      </c>
      <c r="H1077" s="204" t="s">
        <v>4314</v>
      </c>
      <c r="I1077" s="21">
        <v>40.725552574195703</v>
      </c>
      <c r="J1077" s="21">
        <v>-0.79917194337321795</v>
      </c>
      <c r="K1077" s="21">
        <v>5000</v>
      </c>
      <c r="L1077" s="204">
        <v>2005</v>
      </c>
      <c r="M1077" s="204">
        <v>2009</v>
      </c>
      <c r="N1077" s="82" t="s">
        <v>2276</v>
      </c>
      <c r="O1077" s="19" t="s">
        <v>67</v>
      </c>
      <c r="P1077" s="19" t="s">
        <v>5187</v>
      </c>
      <c r="Q1077" s="19" t="s">
        <v>7114</v>
      </c>
    </row>
    <row r="1078" spans="1:17" ht="39.5" customHeight="1">
      <c r="A1078" s="213">
        <v>303</v>
      </c>
      <c r="B1078" s="40" t="s">
        <v>7094</v>
      </c>
      <c r="C1078" s="19" t="s">
        <v>7122</v>
      </c>
      <c r="D1078" s="204" t="s">
        <v>2398</v>
      </c>
      <c r="E1078" s="204" t="s">
        <v>2422</v>
      </c>
      <c r="F1078" s="19" t="s">
        <v>7105</v>
      </c>
      <c r="G1078" s="204" t="s">
        <v>7111</v>
      </c>
      <c r="H1078" s="204" t="s">
        <v>4314</v>
      </c>
      <c r="I1078" s="21">
        <v>41.287346905146002</v>
      </c>
      <c r="J1078" s="21">
        <v>-3.77436906436238</v>
      </c>
      <c r="K1078" s="21">
        <v>15000</v>
      </c>
      <c r="L1078" s="204">
        <v>2005</v>
      </c>
      <c r="M1078" s="204">
        <v>2009</v>
      </c>
      <c r="N1078" s="82" t="s">
        <v>2276</v>
      </c>
      <c r="O1078" s="19" t="s">
        <v>67</v>
      </c>
      <c r="P1078" s="19" t="s">
        <v>5187</v>
      </c>
      <c r="Q1078" s="19" t="s">
        <v>7114</v>
      </c>
    </row>
    <row r="1079" spans="1:17" ht="39.5" customHeight="1">
      <c r="A1079" s="213">
        <v>303</v>
      </c>
      <c r="B1079" s="40" t="s">
        <v>7094</v>
      </c>
      <c r="C1079" s="19" t="s">
        <v>7123</v>
      </c>
      <c r="D1079" s="204" t="s">
        <v>2398</v>
      </c>
      <c r="E1079" s="204" t="s">
        <v>2422</v>
      </c>
      <c r="F1079" s="19" t="s">
        <v>7106</v>
      </c>
      <c r="G1079" s="204" t="s">
        <v>7111</v>
      </c>
      <c r="H1079" s="204" t="s">
        <v>4314</v>
      </c>
      <c r="I1079" s="21">
        <v>38.289214885243503</v>
      </c>
      <c r="J1079" s="21">
        <v>-2.04728771963822</v>
      </c>
      <c r="K1079" s="21">
        <v>2000</v>
      </c>
      <c r="L1079" s="204">
        <v>2005</v>
      </c>
      <c r="M1079" s="204">
        <v>2009</v>
      </c>
      <c r="N1079" s="82" t="s">
        <v>2276</v>
      </c>
      <c r="O1079" s="19" t="s">
        <v>67</v>
      </c>
      <c r="P1079" s="19" t="s">
        <v>5187</v>
      </c>
      <c r="Q1079" s="19" t="s">
        <v>7114</v>
      </c>
    </row>
    <row r="1080" spans="1:17" ht="39.5" customHeight="1">
      <c r="A1080" s="213">
        <v>303</v>
      </c>
      <c r="B1080" s="40" t="s">
        <v>7094</v>
      </c>
      <c r="C1080" s="19" t="s">
        <v>7124</v>
      </c>
      <c r="D1080" s="204" t="s">
        <v>2398</v>
      </c>
      <c r="E1080" s="204" t="s">
        <v>2422</v>
      </c>
      <c r="F1080" s="217" t="s">
        <v>7107</v>
      </c>
      <c r="G1080" s="204" t="s">
        <v>7111</v>
      </c>
      <c r="H1080" s="204" t="s">
        <v>4314</v>
      </c>
      <c r="I1080" s="21">
        <v>38.834407895083402</v>
      </c>
      <c r="J1080" s="21">
        <v>-4.7570266709673099</v>
      </c>
      <c r="K1080" s="21">
        <v>10000</v>
      </c>
      <c r="L1080" s="204">
        <v>2005</v>
      </c>
      <c r="M1080" s="204">
        <v>2009</v>
      </c>
      <c r="N1080" s="82" t="s">
        <v>2276</v>
      </c>
      <c r="O1080" s="19" t="s">
        <v>67</v>
      </c>
      <c r="P1080" s="19" t="s">
        <v>5187</v>
      </c>
      <c r="Q1080" s="19" t="s">
        <v>7114</v>
      </c>
    </row>
    <row r="1081" spans="1:17" ht="39.5" customHeight="1">
      <c r="A1081" s="213">
        <v>303</v>
      </c>
      <c r="B1081" s="40" t="s">
        <v>7094</v>
      </c>
      <c r="C1081" s="19" t="s">
        <v>7125</v>
      </c>
      <c r="D1081" s="204" t="s">
        <v>2398</v>
      </c>
      <c r="E1081" s="204" t="s">
        <v>2422</v>
      </c>
      <c r="F1081" s="19" t="s">
        <v>7108</v>
      </c>
      <c r="G1081" s="204" t="s">
        <v>7111</v>
      </c>
      <c r="H1081" s="204" t="s">
        <v>4314</v>
      </c>
      <c r="I1081" s="21">
        <v>37.248316172262001</v>
      </c>
      <c r="J1081" s="21">
        <v>-3.8211603556102798</v>
      </c>
      <c r="K1081" s="21">
        <v>5000</v>
      </c>
      <c r="L1081" s="204">
        <v>2005</v>
      </c>
      <c r="M1081" s="204">
        <v>2009</v>
      </c>
      <c r="N1081" s="82" t="s">
        <v>2276</v>
      </c>
      <c r="O1081" s="19" t="s">
        <v>67</v>
      </c>
      <c r="P1081" s="19" t="s">
        <v>5187</v>
      </c>
      <c r="Q1081" s="19" t="s">
        <v>7114</v>
      </c>
    </row>
    <row r="1082" spans="1:17" ht="39.5" customHeight="1">
      <c r="A1082" s="213">
        <v>303</v>
      </c>
      <c r="B1082" s="40" t="s">
        <v>7094</v>
      </c>
      <c r="C1082" s="19" t="s">
        <v>7126</v>
      </c>
      <c r="D1082" s="204" t="s">
        <v>2398</v>
      </c>
      <c r="E1082" s="204" t="s">
        <v>2422</v>
      </c>
      <c r="F1082" s="204" t="s">
        <v>7109</v>
      </c>
      <c r="G1082" s="204" t="s">
        <v>7112</v>
      </c>
      <c r="H1082" s="204" t="s">
        <v>4314</v>
      </c>
      <c r="I1082" s="21">
        <v>39.833258874736103</v>
      </c>
      <c r="J1082" s="21">
        <v>-5.7127010622592902</v>
      </c>
      <c r="K1082" s="21">
        <v>40000</v>
      </c>
      <c r="L1082" s="204">
        <v>2005</v>
      </c>
      <c r="M1082" s="204">
        <v>2009</v>
      </c>
      <c r="N1082" s="82" t="s">
        <v>2276</v>
      </c>
      <c r="O1082" s="19" t="s">
        <v>67</v>
      </c>
      <c r="P1082" s="19" t="s">
        <v>5187</v>
      </c>
      <c r="Q1082" s="19" t="s">
        <v>7114</v>
      </c>
    </row>
    <row r="1083" spans="1:17" ht="39.5" customHeight="1">
      <c r="A1083" s="213">
        <v>303</v>
      </c>
      <c r="B1083" s="40" t="s">
        <v>7094</v>
      </c>
      <c r="C1083" s="19" t="s">
        <v>7127</v>
      </c>
      <c r="D1083" s="204" t="s">
        <v>2398</v>
      </c>
      <c r="E1083" s="204" t="s">
        <v>2422</v>
      </c>
      <c r="F1083" s="144" t="s">
        <v>7110</v>
      </c>
      <c r="G1083" s="204" t="s">
        <v>7112</v>
      </c>
      <c r="H1083" s="204" t="s">
        <v>4314</v>
      </c>
      <c r="I1083" s="21">
        <v>38.4622130523667</v>
      </c>
      <c r="J1083" s="21">
        <v>-4.7575626327340501</v>
      </c>
      <c r="K1083" s="21">
        <v>6800</v>
      </c>
      <c r="L1083" s="204">
        <v>2005</v>
      </c>
      <c r="M1083" s="204">
        <v>2009</v>
      </c>
      <c r="N1083" s="82" t="s">
        <v>2276</v>
      </c>
      <c r="O1083" s="19" t="s">
        <v>67</v>
      </c>
      <c r="P1083" s="19" t="s">
        <v>5187</v>
      </c>
      <c r="Q1083" s="19" t="s">
        <v>7114</v>
      </c>
    </row>
    <row r="1084" spans="1:17" ht="39.5" customHeight="1">
      <c r="A1084" s="213">
        <v>303</v>
      </c>
      <c r="B1084" s="40" t="s">
        <v>7094</v>
      </c>
      <c r="C1084" s="19" t="s">
        <v>7128</v>
      </c>
      <c r="D1084" s="204" t="s">
        <v>2398</v>
      </c>
      <c r="E1084" s="204" t="s">
        <v>2422</v>
      </c>
      <c r="F1084" s="144" t="s">
        <v>7113</v>
      </c>
      <c r="G1084" s="204" t="s">
        <v>7112</v>
      </c>
      <c r="H1084" s="204" t="s">
        <v>4314</v>
      </c>
      <c r="I1084" s="21">
        <v>39.780001987619499</v>
      </c>
      <c r="J1084" s="21">
        <v>-2.98873263352833</v>
      </c>
      <c r="K1084" s="21">
        <v>35000</v>
      </c>
      <c r="L1084" s="204">
        <v>2005</v>
      </c>
      <c r="M1084" s="204">
        <v>2009</v>
      </c>
      <c r="N1084" s="82" t="s">
        <v>2276</v>
      </c>
      <c r="O1084" s="19" t="s">
        <v>67</v>
      </c>
      <c r="P1084" s="19" t="s">
        <v>5187</v>
      </c>
      <c r="Q1084" s="19" t="s">
        <v>7114</v>
      </c>
    </row>
    <row r="1085" spans="1:17" ht="39.5" customHeight="1">
      <c r="A1085" s="213">
        <v>303</v>
      </c>
      <c r="B1085" s="40" t="s">
        <v>7094</v>
      </c>
      <c r="C1085" s="19" t="s">
        <v>7129</v>
      </c>
      <c r="D1085" s="204" t="s">
        <v>2398</v>
      </c>
      <c r="E1085" s="204" t="s">
        <v>2422</v>
      </c>
      <c r="F1085" s="144" t="s">
        <v>7113</v>
      </c>
      <c r="G1085" s="204" t="s">
        <v>7112</v>
      </c>
      <c r="H1085" s="204" t="s">
        <v>4314</v>
      </c>
      <c r="I1085" s="21">
        <v>42.098985381613502</v>
      </c>
      <c r="J1085" s="21">
        <v>-5.6201001304150999</v>
      </c>
      <c r="K1085" s="21">
        <v>35000</v>
      </c>
      <c r="L1085" s="204">
        <v>2005</v>
      </c>
      <c r="M1085" s="204">
        <v>2009</v>
      </c>
      <c r="N1085" s="82" t="s">
        <v>2276</v>
      </c>
      <c r="O1085" s="19" t="s">
        <v>67</v>
      </c>
      <c r="P1085" s="19" t="s">
        <v>5187</v>
      </c>
      <c r="Q1085" s="19" t="s">
        <v>7114</v>
      </c>
    </row>
    <row r="1086" spans="1:17" ht="39.5" customHeight="1">
      <c r="A1086" s="213">
        <v>303</v>
      </c>
      <c r="B1086" s="40" t="s">
        <v>7094</v>
      </c>
      <c r="C1086" s="19" t="s">
        <v>7130</v>
      </c>
      <c r="D1086" s="204" t="s">
        <v>2398</v>
      </c>
      <c r="E1086" s="204" t="s">
        <v>2422</v>
      </c>
      <c r="F1086" s="22" t="s">
        <v>7144</v>
      </c>
      <c r="G1086" s="204" t="s">
        <v>5533</v>
      </c>
      <c r="H1086" s="204" t="s">
        <v>4942</v>
      </c>
      <c r="I1086" s="21">
        <v>44.786053241569597</v>
      </c>
      <c r="J1086" s="21">
        <v>7.1427774572134703</v>
      </c>
      <c r="K1086" s="21">
        <v>8300</v>
      </c>
      <c r="L1086" s="204">
        <v>2005</v>
      </c>
      <c r="M1086" s="204">
        <v>2009</v>
      </c>
      <c r="N1086" s="82" t="s">
        <v>2276</v>
      </c>
      <c r="O1086" s="19" t="s">
        <v>67</v>
      </c>
      <c r="P1086" s="19" t="s">
        <v>5187</v>
      </c>
      <c r="Q1086" s="19" t="s">
        <v>7114</v>
      </c>
    </row>
    <row r="1087" spans="1:17" ht="39.5" customHeight="1">
      <c r="A1087" s="213">
        <v>303</v>
      </c>
      <c r="B1087" s="40" t="s">
        <v>7094</v>
      </c>
      <c r="C1087" s="19" t="s">
        <v>7131</v>
      </c>
      <c r="D1087" s="204" t="s">
        <v>2398</v>
      </c>
      <c r="E1087" s="204" t="s">
        <v>2422</v>
      </c>
      <c r="F1087" s="22" t="s">
        <v>7145</v>
      </c>
      <c r="G1087" s="204" t="s">
        <v>5533</v>
      </c>
      <c r="H1087" s="204" t="s">
        <v>4942</v>
      </c>
      <c r="I1087" s="21">
        <v>46.053994108297701</v>
      </c>
      <c r="J1087" s="21">
        <v>8.6489329923080298</v>
      </c>
      <c r="K1087" s="21">
        <v>1400</v>
      </c>
      <c r="L1087" s="204">
        <v>2005</v>
      </c>
      <c r="M1087" s="204">
        <v>2009</v>
      </c>
      <c r="N1087" s="82" t="s">
        <v>2276</v>
      </c>
      <c r="O1087" s="19" t="s">
        <v>67</v>
      </c>
      <c r="P1087" s="19" t="s">
        <v>5187</v>
      </c>
      <c r="Q1087" s="19" t="s">
        <v>7114</v>
      </c>
    </row>
    <row r="1088" spans="1:17" ht="39.5" customHeight="1">
      <c r="A1088" s="213">
        <v>303</v>
      </c>
      <c r="B1088" s="40" t="s">
        <v>7094</v>
      </c>
      <c r="C1088" s="19" t="s">
        <v>7132</v>
      </c>
      <c r="D1088" s="204" t="s">
        <v>2398</v>
      </c>
      <c r="E1088" s="204" t="s">
        <v>2422</v>
      </c>
      <c r="F1088" s="22" t="s">
        <v>7146</v>
      </c>
      <c r="G1088" s="204" t="s">
        <v>5533</v>
      </c>
      <c r="H1088" s="204" t="s">
        <v>4942</v>
      </c>
      <c r="I1088" s="21">
        <v>46.0567127888919</v>
      </c>
      <c r="J1088" s="21">
        <v>10.163238582957501</v>
      </c>
      <c r="K1088" s="21">
        <v>1800</v>
      </c>
      <c r="L1088" s="204">
        <v>2005</v>
      </c>
      <c r="M1088" s="204">
        <v>2009</v>
      </c>
      <c r="N1088" s="82" t="s">
        <v>2276</v>
      </c>
      <c r="O1088" s="19" t="s">
        <v>67</v>
      </c>
      <c r="P1088" s="19" t="s">
        <v>5187</v>
      </c>
      <c r="Q1088" s="19" t="s">
        <v>7114</v>
      </c>
    </row>
    <row r="1089" spans="1:17" ht="39.5" customHeight="1">
      <c r="A1089" s="213">
        <v>303</v>
      </c>
      <c r="B1089" s="40" t="s">
        <v>7094</v>
      </c>
      <c r="C1089" s="19" t="s">
        <v>7133</v>
      </c>
      <c r="D1089" s="204" t="s">
        <v>2398</v>
      </c>
      <c r="E1089" s="204" t="s">
        <v>2422</v>
      </c>
      <c r="F1089" s="22" t="s">
        <v>7148</v>
      </c>
      <c r="G1089" s="204" t="s">
        <v>7147</v>
      </c>
      <c r="H1089" s="204" t="s">
        <v>4942</v>
      </c>
      <c r="I1089" s="21">
        <v>43.695919295380001</v>
      </c>
      <c r="J1089" s="21">
        <v>11.3329112261598</v>
      </c>
      <c r="K1089" s="21">
        <v>300</v>
      </c>
      <c r="L1089" s="204">
        <v>2005</v>
      </c>
      <c r="M1089" s="204">
        <v>2009</v>
      </c>
      <c r="N1089" s="82" t="s">
        <v>2276</v>
      </c>
      <c r="O1089" s="19" t="s">
        <v>67</v>
      </c>
      <c r="P1089" s="19" t="s">
        <v>5187</v>
      </c>
      <c r="Q1089" s="19" t="s">
        <v>7114</v>
      </c>
    </row>
    <row r="1090" spans="1:17" ht="39.5" customHeight="1">
      <c r="A1090" s="213">
        <v>303</v>
      </c>
      <c r="B1090" s="40" t="s">
        <v>7094</v>
      </c>
      <c r="C1090" s="19" t="s">
        <v>7134</v>
      </c>
      <c r="D1090" s="204" t="s">
        <v>2398</v>
      </c>
      <c r="E1090" s="204" t="s">
        <v>2422</v>
      </c>
      <c r="F1090" s="22" t="s">
        <v>7149</v>
      </c>
      <c r="G1090" s="204" t="s">
        <v>7147</v>
      </c>
      <c r="H1090" s="204" t="s">
        <v>4942</v>
      </c>
      <c r="I1090" s="21">
        <v>42.296414171528497</v>
      </c>
      <c r="J1090" s="21">
        <v>13.5080453900122</v>
      </c>
      <c r="K1090" s="21">
        <v>4000</v>
      </c>
      <c r="L1090" s="204">
        <v>2005</v>
      </c>
      <c r="M1090" s="204">
        <v>2009</v>
      </c>
      <c r="N1090" s="82" t="s">
        <v>2276</v>
      </c>
      <c r="O1090" s="19" t="s">
        <v>67</v>
      </c>
      <c r="P1090" s="19" t="s">
        <v>5187</v>
      </c>
      <c r="Q1090" s="19" t="s">
        <v>7114</v>
      </c>
    </row>
    <row r="1091" spans="1:17" ht="39.5" customHeight="1">
      <c r="A1091" s="213">
        <v>303</v>
      </c>
      <c r="B1091" s="40" t="s">
        <v>7094</v>
      </c>
      <c r="C1091" s="19" t="s">
        <v>7135</v>
      </c>
      <c r="D1091" s="204" t="s">
        <v>2398</v>
      </c>
      <c r="E1091" s="204" t="s">
        <v>2422</v>
      </c>
      <c r="F1091" s="22" t="s">
        <v>7150</v>
      </c>
      <c r="G1091" s="204" t="s">
        <v>7147</v>
      </c>
      <c r="H1091" s="204" t="s">
        <v>4942</v>
      </c>
      <c r="I1091" s="21">
        <v>42.252270368624501</v>
      </c>
      <c r="J1091" s="21">
        <v>11.8991803749865</v>
      </c>
      <c r="K1091" s="21">
        <v>500</v>
      </c>
      <c r="L1091" s="204">
        <v>2005</v>
      </c>
      <c r="M1091" s="204">
        <v>2009</v>
      </c>
      <c r="N1091" s="82" t="s">
        <v>2276</v>
      </c>
      <c r="O1091" s="19" t="s">
        <v>67</v>
      </c>
      <c r="P1091" s="19" t="s">
        <v>5187</v>
      </c>
      <c r="Q1091" s="19" t="s">
        <v>7114</v>
      </c>
    </row>
    <row r="1092" spans="1:17" ht="39.5" customHeight="1">
      <c r="A1092" s="213">
        <v>303</v>
      </c>
      <c r="B1092" s="40" t="s">
        <v>7094</v>
      </c>
      <c r="C1092" s="19" t="s">
        <v>7136</v>
      </c>
      <c r="D1092" s="204" t="s">
        <v>2398</v>
      </c>
      <c r="E1092" s="204" t="s">
        <v>2422</v>
      </c>
      <c r="F1092" s="22" t="s">
        <v>7151</v>
      </c>
      <c r="G1092" s="204" t="s">
        <v>7155</v>
      </c>
      <c r="H1092" s="204" t="s">
        <v>4942</v>
      </c>
      <c r="I1092" s="21">
        <v>41.592197485742602</v>
      </c>
      <c r="J1092" s="21">
        <v>15.322983447961599</v>
      </c>
      <c r="K1092" s="21">
        <v>2700</v>
      </c>
      <c r="L1092" s="204">
        <v>2005</v>
      </c>
      <c r="M1092" s="204">
        <v>2009</v>
      </c>
      <c r="N1092" s="82" t="s">
        <v>2276</v>
      </c>
      <c r="O1092" s="19" t="s">
        <v>67</v>
      </c>
      <c r="P1092" s="19" t="s">
        <v>5187</v>
      </c>
      <c r="Q1092" s="19" t="s">
        <v>7114</v>
      </c>
    </row>
    <row r="1093" spans="1:17" ht="39.5" customHeight="1">
      <c r="A1093" s="213">
        <v>303</v>
      </c>
      <c r="B1093" s="40" t="s">
        <v>7094</v>
      </c>
      <c r="C1093" s="19" t="s">
        <v>7137</v>
      </c>
      <c r="D1093" s="204" t="s">
        <v>2398</v>
      </c>
      <c r="E1093" s="204" t="s">
        <v>2422</v>
      </c>
      <c r="F1093" s="22" t="s">
        <v>7152</v>
      </c>
      <c r="G1093" s="204" t="s">
        <v>7155</v>
      </c>
      <c r="H1093" s="204" t="s">
        <v>4942</v>
      </c>
      <c r="I1093" s="21">
        <v>40.451649627680801</v>
      </c>
      <c r="J1093" s="21">
        <v>15.926151719880901</v>
      </c>
      <c r="K1093" s="21">
        <v>2000</v>
      </c>
      <c r="L1093" s="204">
        <v>2005</v>
      </c>
      <c r="M1093" s="204">
        <v>2009</v>
      </c>
      <c r="N1093" s="82" t="s">
        <v>2276</v>
      </c>
      <c r="O1093" s="19" t="s">
        <v>67</v>
      </c>
      <c r="P1093" s="19" t="s">
        <v>5187</v>
      </c>
      <c r="Q1093" s="19" t="s">
        <v>7114</v>
      </c>
    </row>
    <row r="1094" spans="1:17" ht="39.5" customHeight="1">
      <c r="A1094" s="213">
        <v>303</v>
      </c>
      <c r="B1094" s="40" t="s">
        <v>7094</v>
      </c>
      <c r="C1094" s="19" t="s">
        <v>7138</v>
      </c>
      <c r="D1094" s="204" t="s">
        <v>2398</v>
      </c>
      <c r="E1094" s="204" t="s">
        <v>2422</v>
      </c>
      <c r="F1094" s="22" t="s">
        <v>7153</v>
      </c>
      <c r="G1094" s="204" t="s">
        <v>7155</v>
      </c>
      <c r="H1094" s="204" t="s">
        <v>4942</v>
      </c>
      <c r="I1094" s="21">
        <v>39.027568398980598</v>
      </c>
      <c r="J1094" s="21">
        <v>16.491825716735399</v>
      </c>
      <c r="K1094" s="21">
        <v>1000</v>
      </c>
      <c r="L1094" s="204">
        <v>2005</v>
      </c>
      <c r="M1094" s="204">
        <v>2009</v>
      </c>
      <c r="N1094" s="82" t="s">
        <v>2276</v>
      </c>
      <c r="O1094" s="19" t="s">
        <v>67</v>
      </c>
      <c r="P1094" s="19" t="s">
        <v>5187</v>
      </c>
      <c r="Q1094" s="19" t="s">
        <v>7114</v>
      </c>
    </row>
    <row r="1095" spans="1:17" ht="39.5" customHeight="1">
      <c r="A1095" s="213">
        <v>303</v>
      </c>
      <c r="B1095" s="40" t="s">
        <v>7094</v>
      </c>
      <c r="C1095" s="19" t="s">
        <v>7139</v>
      </c>
      <c r="D1095" s="204" t="s">
        <v>2398</v>
      </c>
      <c r="E1095" s="204" t="s">
        <v>2422</v>
      </c>
      <c r="F1095" s="22" t="s">
        <v>7154</v>
      </c>
      <c r="G1095" s="204" t="s">
        <v>7155</v>
      </c>
      <c r="H1095" s="204" t="s">
        <v>4942</v>
      </c>
      <c r="I1095" s="21">
        <v>37.508857539689302</v>
      </c>
      <c r="J1095" s="21">
        <v>15.0851648351648</v>
      </c>
      <c r="K1095" s="21">
        <v>1500</v>
      </c>
      <c r="L1095" s="204">
        <v>2005</v>
      </c>
      <c r="M1095" s="204">
        <v>2009</v>
      </c>
      <c r="N1095" s="82" t="s">
        <v>2276</v>
      </c>
      <c r="O1095" s="19" t="s">
        <v>67</v>
      </c>
      <c r="P1095" s="19" t="s">
        <v>5187</v>
      </c>
      <c r="Q1095" s="19" t="s">
        <v>7114</v>
      </c>
    </row>
    <row r="1096" spans="1:17" ht="39.5" customHeight="1">
      <c r="A1096" s="213">
        <v>303</v>
      </c>
      <c r="B1096" s="40" t="s">
        <v>7094</v>
      </c>
      <c r="C1096" s="19" t="s">
        <v>7140</v>
      </c>
      <c r="D1096" s="204" t="s">
        <v>2398</v>
      </c>
      <c r="E1096" s="204" t="s">
        <v>2422</v>
      </c>
      <c r="F1096" s="22" t="s">
        <v>7156</v>
      </c>
      <c r="G1096" s="204" t="s">
        <v>4941</v>
      </c>
      <c r="H1096" s="204" t="s">
        <v>4942</v>
      </c>
      <c r="I1096" s="21">
        <v>41.063880014190403</v>
      </c>
      <c r="J1096" s="21">
        <v>9.2319210841608896</v>
      </c>
      <c r="K1096" s="21">
        <v>5500</v>
      </c>
      <c r="L1096" s="204">
        <v>2005</v>
      </c>
      <c r="M1096" s="204">
        <v>2009</v>
      </c>
      <c r="N1096" s="82" t="s">
        <v>2276</v>
      </c>
      <c r="O1096" s="19" t="s">
        <v>67</v>
      </c>
      <c r="P1096" s="19" t="s">
        <v>5187</v>
      </c>
      <c r="Q1096" s="19" t="s">
        <v>7114</v>
      </c>
    </row>
    <row r="1097" spans="1:17" ht="39.5" customHeight="1">
      <c r="A1097" s="213">
        <v>303</v>
      </c>
      <c r="B1097" s="40" t="s">
        <v>7094</v>
      </c>
      <c r="C1097" s="19" t="s">
        <v>7141</v>
      </c>
      <c r="D1097" s="204" t="s">
        <v>2398</v>
      </c>
      <c r="E1097" s="204" t="s">
        <v>2422</v>
      </c>
      <c r="F1097" s="22" t="s">
        <v>7157</v>
      </c>
      <c r="G1097" s="204" t="s">
        <v>4941</v>
      </c>
      <c r="H1097" s="204" t="s">
        <v>4942</v>
      </c>
      <c r="I1097" s="21">
        <v>40.654010026409502</v>
      </c>
      <c r="J1097" s="21">
        <v>8.7077413036274898</v>
      </c>
      <c r="K1097" s="21">
        <v>4000</v>
      </c>
      <c r="L1097" s="204">
        <v>2005</v>
      </c>
      <c r="M1097" s="204">
        <v>2009</v>
      </c>
      <c r="N1097" s="82" t="s">
        <v>2276</v>
      </c>
      <c r="O1097" s="19" t="s">
        <v>67</v>
      </c>
      <c r="P1097" s="19" t="s">
        <v>5187</v>
      </c>
      <c r="Q1097" s="19" t="s">
        <v>7114</v>
      </c>
    </row>
    <row r="1098" spans="1:17" ht="39.5" customHeight="1">
      <c r="A1098" s="213">
        <v>303</v>
      </c>
      <c r="B1098" s="40" t="s">
        <v>7094</v>
      </c>
      <c r="C1098" s="19" t="s">
        <v>7142</v>
      </c>
      <c r="D1098" s="204" t="s">
        <v>2398</v>
      </c>
      <c r="E1098" s="204" t="s">
        <v>2422</v>
      </c>
      <c r="F1098" s="22" t="s">
        <v>7158</v>
      </c>
      <c r="G1098" s="204" t="s">
        <v>4941</v>
      </c>
      <c r="H1098" s="204" t="s">
        <v>4942</v>
      </c>
      <c r="I1098" s="21">
        <v>40.267469975680399</v>
      </c>
      <c r="J1098" s="21">
        <v>9.0302474336965002</v>
      </c>
      <c r="K1098" s="21">
        <v>6000</v>
      </c>
      <c r="L1098" s="204">
        <v>2005</v>
      </c>
      <c r="M1098" s="204">
        <v>2009</v>
      </c>
      <c r="N1098" s="82" t="s">
        <v>2276</v>
      </c>
      <c r="O1098" s="19" t="s">
        <v>67</v>
      </c>
      <c r="P1098" s="19" t="s">
        <v>5187</v>
      </c>
      <c r="Q1098" s="19" t="s">
        <v>7114</v>
      </c>
    </row>
    <row r="1099" spans="1:17" ht="39.5" customHeight="1">
      <c r="A1099" s="213">
        <v>303</v>
      </c>
      <c r="B1099" s="40" t="s">
        <v>7094</v>
      </c>
      <c r="C1099" s="19" t="s">
        <v>7143</v>
      </c>
      <c r="D1099" s="204" t="s">
        <v>2398</v>
      </c>
      <c r="E1099" s="204" t="s">
        <v>2422</v>
      </c>
      <c r="F1099" s="22" t="s">
        <v>7159</v>
      </c>
      <c r="G1099" s="204" t="s">
        <v>4941</v>
      </c>
      <c r="H1099" s="204" t="s">
        <v>4942</v>
      </c>
      <c r="I1099" s="21">
        <v>39.7970204936885</v>
      </c>
      <c r="J1099" s="21">
        <v>9.3422291275959708</v>
      </c>
      <c r="K1099" s="21">
        <v>3500</v>
      </c>
      <c r="L1099" s="204">
        <v>2005</v>
      </c>
      <c r="M1099" s="204">
        <v>2009</v>
      </c>
      <c r="N1099" s="82" t="s">
        <v>2276</v>
      </c>
      <c r="O1099" s="19" t="s">
        <v>67</v>
      </c>
      <c r="P1099" s="19" t="s">
        <v>5187</v>
      </c>
      <c r="Q1099" s="19" t="s">
        <v>7114</v>
      </c>
    </row>
    <row r="1100" spans="1:17" ht="38" customHeight="1">
      <c r="A1100" s="213">
        <v>303</v>
      </c>
      <c r="B1100" s="40" t="s">
        <v>7094</v>
      </c>
      <c r="C1100" s="19" t="s">
        <v>7164</v>
      </c>
      <c r="D1100" s="204" t="s">
        <v>2398</v>
      </c>
      <c r="E1100" s="204" t="s">
        <v>2422</v>
      </c>
      <c r="F1100" s="26" t="s">
        <v>7160</v>
      </c>
      <c r="G1100" s="19" t="s">
        <v>7163</v>
      </c>
      <c r="H1100" s="19" t="s">
        <v>4051</v>
      </c>
      <c r="I1100" s="21">
        <v>40.085513711450503</v>
      </c>
      <c r="J1100" s="21">
        <v>20.971935568767599</v>
      </c>
      <c r="K1100" s="21">
        <v>1900</v>
      </c>
      <c r="L1100" s="204">
        <v>2005</v>
      </c>
      <c r="M1100" s="204">
        <v>2009</v>
      </c>
      <c r="N1100" s="82" t="s">
        <v>2276</v>
      </c>
      <c r="O1100" s="19" t="s">
        <v>67</v>
      </c>
      <c r="P1100" s="19" t="s">
        <v>5187</v>
      </c>
      <c r="Q1100" s="19" t="s">
        <v>7114</v>
      </c>
    </row>
    <row r="1101" spans="1:17" ht="38" customHeight="1">
      <c r="A1101" s="213">
        <v>303</v>
      </c>
      <c r="B1101" s="40" t="s">
        <v>7094</v>
      </c>
      <c r="C1101" s="19" t="s">
        <v>7165</v>
      </c>
      <c r="D1101" s="204" t="s">
        <v>2398</v>
      </c>
      <c r="E1101" s="204" t="s">
        <v>2422</v>
      </c>
      <c r="F1101" s="26" t="s">
        <v>7161</v>
      </c>
      <c r="G1101" s="19" t="s">
        <v>7163</v>
      </c>
      <c r="H1101" s="19" t="s">
        <v>4051</v>
      </c>
      <c r="I1101" s="21">
        <v>38.659634194312801</v>
      </c>
      <c r="J1101" s="21">
        <v>22.089581260848298</v>
      </c>
      <c r="K1101" s="21">
        <v>4200</v>
      </c>
      <c r="L1101" s="204">
        <v>2005</v>
      </c>
      <c r="M1101" s="204">
        <v>2009</v>
      </c>
      <c r="N1101" s="82" t="s">
        <v>2276</v>
      </c>
      <c r="O1101" s="19" t="s">
        <v>67</v>
      </c>
      <c r="P1101" s="19" t="s">
        <v>5187</v>
      </c>
      <c r="Q1101" s="19" t="s">
        <v>7114</v>
      </c>
    </row>
    <row r="1102" spans="1:17" ht="37" customHeight="1">
      <c r="A1102" s="213">
        <v>303</v>
      </c>
      <c r="B1102" s="40" t="s">
        <v>7094</v>
      </c>
      <c r="C1102" s="19" t="s">
        <v>7166</v>
      </c>
      <c r="D1102" s="204" t="s">
        <v>2398</v>
      </c>
      <c r="E1102" s="204" t="s">
        <v>2422</v>
      </c>
      <c r="F1102" s="26" t="s">
        <v>7162</v>
      </c>
      <c r="G1102" s="19" t="s">
        <v>7163</v>
      </c>
      <c r="H1102" s="19" t="s">
        <v>4051</v>
      </c>
      <c r="I1102" s="21">
        <v>38.013518653611399</v>
      </c>
      <c r="J1102" s="21">
        <v>22.1881458257579</v>
      </c>
      <c r="K1102" s="21">
        <v>1950</v>
      </c>
      <c r="L1102" s="204">
        <v>2005</v>
      </c>
      <c r="M1102" s="204">
        <v>2009</v>
      </c>
      <c r="N1102" s="82" t="s">
        <v>2276</v>
      </c>
      <c r="O1102" s="19" t="s">
        <v>67</v>
      </c>
      <c r="P1102" s="19" t="s">
        <v>5187</v>
      </c>
      <c r="Q1102" s="19" t="s">
        <v>7114</v>
      </c>
    </row>
    <row r="1103" spans="1:17" ht="37" customHeight="1">
      <c r="A1103" s="213">
        <v>303</v>
      </c>
      <c r="B1103" s="40" t="s">
        <v>7094</v>
      </c>
      <c r="C1103" s="19" t="s">
        <v>7167</v>
      </c>
      <c r="D1103" s="204" t="s">
        <v>2398</v>
      </c>
      <c r="E1103" s="204" t="s">
        <v>2422</v>
      </c>
      <c r="F1103" s="26" t="s">
        <v>7174</v>
      </c>
      <c r="G1103" s="19" t="s">
        <v>7176</v>
      </c>
      <c r="H1103" s="19" t="s">
        <v>4051</v>
      </c>
      <c r="I1103" s="21">
        <v>41.107411606433203</v>
      </c>
      <c r="J1103" s="21">
        <v>25.991871947202799</v>
      </c>
      <c r="K1103" s="21">
        <v>2200</v>
      </c>
      <c r="L1103" s="204">
        <v>2005</v>
      </c>
      <c r="M1103" s="204">
        <v>2009</v>
      </c>
      <c r="N1103" s="82" t="s">
        <v>2276</v>
      </c>
      <c r="O1103" s="19" t="s">
        <v>67</v>
      </c>
      <c r="P1103" s="19" t="s">
        <v>5187</v>
      </c>
      <c r="Q1103" s="19" t="s">
        <v>7114</v>
      </c>
    </row>
    <row r="1104" spans="1:17" ht="37" customHeight="1">
      <c r="A1104" s="213">
        <v>303</v>
      </c>
      <c r="B1104" s="40" t="s">
        <v>7094</v>
      </c>
      <c r="C1104" s="19" t="s">
        <v>7168</v>
      </c>
      <c r="D1104" s="204" t="s">
        <v>2398</v>
      </c>
      <c r="E1104" s="204" t="s">
        <v>2422</v>
      </c>
      <c r="F1104" s="26" t="s">
        <v>7175</v>
      </c>
      <c r="G1104" s="19" t="s">
        <v>7176</v>
      </c>
      <c r="H1104" s="19" t="s">
        <v>4051</v>
      </c>
      <c r="I1104" s="21">
        <v>40.418877644649598</v>
      </c>
      <c r="J1104" s="21">
        <v>23.430402030291901</v>
      </c>
      <c r="K1104" s="21">
        <v>9100</v>
      </c>
      <c r="L1104" s="204">
        <v>2005</v>
      </c>
      <c r="M1104" s="204">
        <v>2009</v>
      </c>
      <c r="N1104" s="82" t="s">
        <v>2276</v>
      </c>
      <c r="O1104" s="19" t="s">
        <v>67</v>
      </c>
      <c r="P1104" s="19" t="s">
        <v>5187</v>
      </c>
      <c r="Q1104" s="19" t="s">
        <v>7114</v>
      </c>
    </row>
    <row r="1105" spans="1:17" ht="37" customHeight="1">
      <c r="A1105" s="213">
        <v>303</v>
      </c>
      <c r="B1105" s="40" t="s">
        <v>7094</v>
      </c>
      <c r="C1105" s="19" t="s">
        <v>7169</v>
      </c>
      <c r="D1105" s="204" t="s">
        <v>2398</v>
      </c>
      <c r="E1105" s="204" t="s">
        <v>2422</v>
      </c>
      <c r="F1105" s="26" t="s">
        <v>7177</v>
      </c>
      <c r="G1105" s="19" t="s">
        <v>7182</v>
      </c>
      <c r="H1105" s="19" t="s">
        <v>4051</v>
      </c>
      <c r="I1105" s="21">
        <v>39.4300930193764</v>
      </c>
      <c r="J1105" s="21">
        <v>20.567054172226999</v>
      </c>
      <c r="K1105" s="21">
        <v>1600</v>
      </c>
      <c r="L1105" s="204">
        <v>2005</v>
      </c>
      <c r="M1105" s="204">
        <v>2009</v>
      </c>
      <c r="N1105" s="82" t="s">
        <v>2276</v>
      </c>
      <c r="O1105" s="19" t="s">
        <v>67</v>
      </c>
      <c r="P1105" s="19" t="s">
        <v>5187</v>
      </c>
      <c r="Q1105" s="19" t="s">
        <v>7114</v>
      </c>
    </row>
    <row r="1106" spans="1:17" ht="37" customHeight="1">
      <c r="A1106" s="213">
        <v>303</v>
      </c>
      <c r="B1106" s="40" t="s">
        <v>7094</v>
      </c>
      <c r="C1106" s="19" t="s">
        <v>7170</v>
      </c>
      <c r="D1106" s="204" t="s">
        <v>2398</v>
      </c>
      <c r="E1106" s="204" t="s">
        <v>2422</v>
      </c>
      <c r="F1106" s="26" t="s">
        <v>7178</v>
      </c>
      <c r="G1106" s="19" t="s">
        <v>7182</v>
      </c>
      <c r="H1106" s="19" t="s">
        <v>4051</v>
      </c>
      <c r="I1106" s="21">
        <v>39.559435364507401</v>
      </c>
      <c r="J1106" s="21">
        <v>22.699804553495301</v>
      </c>
      <c r="K1106" s="21">
        <v>3200</v>
      </c>
      <c r="L1106" s="204">
        <v>2005</v>
      </c>
      <c r="M1106" s="204">
        <v>2009</v>
      </c>
      <c r="N1106" s="82" t="s">
        <v>2276</v>
      </c>
      <c r="O1106" s="19" t="s">
        <v>67</v>
      </c>
      <c r="P1106" s="19" t="s">
        <v>5187</v>
      </c>
      <c r="Q1106" s="19" t="s">
        <v>7114</v>
      </c>
    </row>
    <row r="1107" spans="1:17" ht="37" customHeight="1">
      <c r="A1107" s="213">
        <v>303</v>
      </c>
      <c r="B1107" s="40" t="s">
        <v>7094</v>
      </c>
      <c r="C1107" s="19" t="s">
        <v>7171</v>
      </c>
      <c r="D1107" s="204" t="s">
        <v>2398</v>
      </c>
      <c r="E1107" s="204" t="s">
        <v>2422</v>
      </c>
      <c r="F1107" s="26" t="s">
        <v>7179</v>
      </c>
      <c r="G1107" s="19" t="s">
        <v>7182</v>
      </c>
      <c r="H1107" s="19" t="s">
        <v>4051</v>
      </c>
      <c r="I1107" s="21">
        <v>36.9211155759075</v>
      </c>
      <c r="J1107" s="21">
        <v>22.7194960924956</v>
      </c>
      <c r="K1107" s="21">
        <v>2800</v>
      </c>
      <c r="L1107" s="204">
        <v>2005</v>
      </c>
      <c r="M1107" s="204">
        <v>2009</v>
      </c>
      <c r="N1107" s="82" t="s">
        <v>2276</v>
      </c>
      <c r="O1107" s="19" t="s">
        <v>67</v>
      </c>
      <c r="P1107" s="19" t="s">
        <v>5187</v>
      </c>
      <c r="Q1107" s="19" t="s">
        <v>7114</v>
      </c>
    </row>
    <row r="1108" spans="1:17" ht="37" customHeight="1">
      <c r="A1108" s="213">
        <v>303</v>
      </c>
      <c r="B1108" s="40" t="s">
        <v>7094</v>
      </c>
      <c r="C1108" s="19" t="s">
        <v>7172</v>
      </c>
      <c r="D1108" s="204" t="s">
        <v>2398</v>
      </c>
      <c r="E1108" s="204" t="s">
        <v>2422</v>
      </c>
      <c r="F1108" s="26" t="s">
        <v>7180</v>
      </c>
      <c r="G1108" s="19" t="s">
        <v>7183</v>
      </c>
      <c r="H1108" s="19" t="s">
        <v>4051</v>
      </c>
      <c r="I1108" s="21">
        <v>35.158553279364199</v>
      </c>
      <c r="J1108" s="21">
        <v>25.113693557542099</v>
      </c>
      <c r="K1108" s="21">
        <v>1850</v>
      </c>
      <c r="L1108" s="204">
        <v>2005</v>
      </c>
      <c r="M1108" s="204">
        <v>2009</v>
      </c>
      <c r="N1108" s="82" t="s">
        <v>2276</v>
      </c>
      <c r="O1108" s="19" t="s">
        <v>67</v>
      </c>
      <c r="P1108" s="19" t="s">
        <v>5187</v>
      </c>
      <c r="Q1108" s="19" t="s">
        <v>7114</v>
      </c>
    </row>
    <row r="1109" spans="1:17" ht="37" customHeight="1">
      <c r="A1109" s="213">
        <v>303</v>
      </c>
      <c r="B1109" s="40" t="s">
        <v>7094</v>
      </c>
      <c r="C1109" s="19" t="s">
        <v>7173</v>
      </c>
      <c r="D1109" s="204" t="s">
        <v>2398</v>
      </c>
      <c r="E1109" s="204" t="s">
        <v>2422</v>
      </c>
      <c r="F1109" s="26" t="s">
        <v>7181</v>
      </c>
      <c r="G1109" s="19" t="s">
        <v>2276</v>
      </c>
      <c r="H1109" s="19" t="s">
        <v>4051</v>
      </c>
      <c r="I1109" s="21">
        <v>36.2265334255857</v>
      </c>
      <c r="J1109" s="21">
        <v>27.992578827783099</v>
      </c>
      <c r="K1109" s="21">
        <v>1250</v>
      </c>
      <c r="L1109" s="204">
        <v>2005</v>
      </c>
      <c r="M1109" s="204">
        <v>2009</v>
      </c>
      <c r="N1109" s="82" t="s">
        <v>2276</v>
      </c>
      <c r="O1109" s="19" t="s">
        <v>67</v>
      </c>
      <c r="P1109" s="19" t="s">
        <v>5187</v>
      </c>
      <c r="Q1109" s="19" t="s">
        <v>7114</v>
      </c>
    </row>
    <row r="1110" spans="1:17" ht="35.5" customHeight="1">
      <c r="A1110" s="213">
        <v>304</v>
      </c>
      <c r="B1110" s="40" t="s">
        <v>7233</v>
      </c>
      <c r="C1110" s="19" t="s">
        <v>7234</v>
      </c>
      <c r="D1110" s="204" t="s">
        <v>2398</v>
      </c>
      <c r="E1110" s="204" t="s">
        <v>2636</v>
      </c>
      <c r="F1110" s="19" t="s">
        <v>2276</v>
      </c>
      <c r="G1110" s="19" t="s">
        <v>2276</v>
      </c>
      <c r="H1110" s="217" t="s">
        <v>7239</v>
      </c>
      <c r="I1110" s="21">
        <v>45</v>
      </c>
      <c r="J1110" s="21">
        <v>7</v>
      </c>
      <c r="K1110" s="21">
        <f>92212 + 505990 + 301338 + 643801</f>
        <v>1543341</v>
      </c>
      <c r="L1110" s="11">
        <v>2010</v>
      </c>
      <c r="M1110" s="11">
        <v>2010</v>
      </c>
      <c r="N1110" s="82" t="s">
        <v>2276</v>
      </c>
      <c r="O1110" s="19" t="s">
        <v>67</v>
      </c>
      <c r="P1110" s="19" t="s">
        <v>5187</v>
      </c>
      <c r="Q1110" s="204" t="s">
        <v>7240</v>
      </c>
    </row>
    <row r="1111" spans="1:17" ht="35.5" customHeight="1">
      <c r="A1111" s="213">
        <v>304</v>
      </c>
      <c r="B1111" s="40" t="s">
        <v>7233</v>
      </c>
      <c r="C1111" s="19" t="s">
        <v>7235</v>
      </c>
      <c r="D1111" s="204" t="s">
        <v>2398</v>
      </c>
      <c r="E1111" s="204" t="s">
        <v>2636</v>
      </c>
      <c r="F1111" s="19" t="s">
        <v>2276</v>
      </c>
      <c r="G1111" s="19" t="s">
        <v>2276</v>
      </c>
      <c r="H1111" s="19" t="s">
        <v>4051</v>
      </c>
      <c r="I1111" s="21">
        <v>38.145839199999998</v>
      </c>
      <c r="J1111" s="21">
        <v>24.481300000000001</v>
      </c>
      <c r="K1111" s="21">
        <v>131957</v>
      </c>
      <c r="L1111" s="11">
        <v>2010</v>
      </c>
      <c r="M1111" s="11">
        <v>2010</v>
      </c>
      <c r="N1111" s="82" t="s">
        <v>2276</v>
      </c>
      <c r="O1111" s="19" t="s">
        <v>67</v>
      </c>
      <c r="P1111" s="19" t="s">
        <v>5187</v>
      </c>
      <c r="Q1111" s="204"/>
    </row>
    <row r="1112" spans="1:17" ht="35.5" customHeight="1">
      <c r="A1112" s="213">
        <v>304</v>
      </c>
      <c r="B1112" s="40" t="s">
        <v>7233</v>
      </c>
      <c r="C1112" s="19" t="s">
        <v>7236</v>
      </c>
      <c r="D1112" s="204" t="s">
        <v>2398</v>
      </c>
      <c r="E1112" s="204" t="s">
        <v>2636</v>
      </c>
      <c r="F1112" s="19" t="s">
        <v>2276</v>
      </c>
      <c r="G1112" s="204" t="s">
        <v>7246</v>
      </c>
      <c r="H1112" s="19" t="s">
        <v>6116</v>
      </c>
      <c r="I1112" s="21">
        <v>42.625776999999999</v>
      </c>
      <c r="J1112" s="21">
        <v>2.4497341000000001</v>
      </c>
      <c r="K1112" s="21">
        <v>4116</v>
      </c>
      <c r="L1112" s="11">
        <v>2008</v>
      </c>
      <c r="M1112" s="11">
        <v>2008</v>
      </c>
      <c r="N1112" s="82" t="s">
        <v>2276</v>
      </c>
      <c r="O1112" s="19" t="s">
        <v>67</v>
      </c>
      <c r="P1112" s="19" t="s">
        <v>5187</v>
      </c>
      <c r="Q1112" s="204" t="s">
        <v>5907</v>
      </c>
    </row>
    <row r="1113" spans="1:17" s="203" customFormat="1" ht="35.5" customHeight="1">
      <c r="A1113" s="213">
        <v>304</v>
      </c>
      <c r="B1113" s="40" t="s">
        <v>7233</v>
      </c>
      <c r="C1113" s="19" t="s">
        <v>7237</v>
      </c>
      <c r="D1113" s="204" t="s">
        <v>2398</v>
      </c>
      <c r="E1113" s="204" t="s">
        <v>2636</v>
      </c>
      <c r="F1113" s="19" t="s">
        <v>2276</v>
      </c>
      <c r="G1113" s="204" t="s">
        <v>7247</v>
      </c>
      <c r="H1113" s="19" t="s">
        <v>6116</v>
      </c>
      <c r="I1113" s="21">
        <v>43.187128000000001</v>
      </c>
      <c r="J1113" s="21">
        <v>-0.88125909999999996</v>
      </c>
      <c r="K1113" s="21">
        <v>7645</v>
      </c>
      <c r="L1113" s="11">
        <v>2008</v>
      </c>
      <c r="M1113" s="11">
        <v>2008</v>
      </c>
      <c r="N1113" s="82" t="s">
        <v>2276</v>
      </c>
      <c r="O1113" s="19" t="s">
        <v>67</v>
      </c>
      <c r="P1113" s="19" t="s">
        <v>5187</v>
      </c>
      <c r="Q1113" s="204" t="s">
        <v>5907</v>
      </c>
    </row>
    <row r="1114" spans="1:17" ht="36.5" customHeight="1">
      <c r="A1114" s="213">
        <v>304</v>
      </c>
      <c r="B1114" s="40" t="s">
        <v>7233</v>
      </c>
      <c r="C1114" s="19" t="s">
        <v>7238</v>
      </c>
      <c r="D1114" s="204" t="s">
        <v>2398</v>
      </c>
      <c r="E1114" s="204" t="s">
        <v>2636</v>
      </c>
      <c r="F1114" s="19" t="s">
        <v>2276</v>
      </c>
      <c r="G1114" s="204" t="s">
        <v>7248</v>
      </c>
      <c r="H1114" s="19" t="s">
        <v>6116</v>
      </c>
      <c r="I1114" s="21">
        <v>43.143320000000003</v>
      </c>
      <c r="J1114" s="21">
        <v>0.1594796</v>
      </c>
      <c r="K1114" s="21">
        <v>4464</v>
      </c>
      <c r="L1114" s="11">
        <v>2008</v>
      </c>
      <c r="M1114" s="11">
        <v>2008</v>
      </c>
      <c r="N1114" s="82" t="s">
        <v>2276</v>
      </c>
      <c r="O1114" s="19" t="s">
        <v>67</v>
      </c>
      <c r="P1114" s="19" t="s">
        <v>5187</v>
      </c>
      <c r="Q1114" s="204" t="s">
        <v>5907</v>
      </c>
    </row>
    <row r="1115" spans="1:17" ht="41" customHeight="1">
      <c r="A1115" s="213">
        <v>305</v>
      </c>
      <c r="B1115" s="40" t="s">
        <v>7267</v>
      </c>
      <c r="C1115" s="19" t="s">
        <v>7268</v>
      </c>
      <c r="D1115" s="204" t="s">
        <v>2633</v>
      </c>
      <c r="E1115" s="204" t="s">
        <v>4847</v>
      </c>
      <c r="F1115" s="19" t="s">
        <v>2276</v>
      </c>
      <c r="G1115" s="204" t="s">
        <v>7269</v>
      </c>
      <c r="H1115" s="19" t="s">
        <v>6116</v>
      </c>
      <c r="I1115" s="21">
        <v>48.089397499999997</v>
      </c>
      <c r="J1115" s="21">
        <v>-3.0784566</v>
      </c>
      <c r="K1115" s="21">
        <v>27208</v>
      </c>
      <c r="L1115" s="204">
        <v>2001</v>
      </c>
      <c r="M1115" s="204">
        <v>2015</v>
      </c>
      <c r="N1115" s="82" t="s">
        <v>2276</v>
      </c>
      <c r="O1115" s="19" t="s">
        <v>67</v>
      </c>
      <c r="P1115" s="19" t="s">
        <v>5187</v>
      </c>
      <c r="Q1115" s="204"/>
    </row>
    <row r="1116" spans="1:17" ht="41" customHeight="1">
      <c r="A1116" s="213">
        <v>305</v>
      </c>
      <c r="B1116" s="40" t="s">
        <v>7267</v>
      </c>
      <c r="C1116" s="19" t="s">
        <v>7281</v>
      </c>
      <c r="D1116" s="204" t="s">
        <v>2633</v>
      </c>
      <c r="E1116" s="204" t="s">
        <v>4847</v>
      </c>
      <c r="F1116" s="19" t="s">
        <v>2276</v>
      </c>
      <c r="G1116" s="11" t="s">
        <v>7270</v>
      </c>
      <c r="H1116" s="19" t="s">
        <v>6116</v>
      </c>
      <c r="I1116" s="21">
        <v>49.1259905</v>
      </c>
      <c r="J1116" s="21">
        <v>-7.5941999999999996E-2</v>
      </c>
      <c r="K1116" s="21">
        <v>29906</v>
      </c>
      <c r="L1116" s="204">
        <v>2001</v>
      </c>
      <c r="M1116" s="204">
        <v>2015</v>
      </c>
      <c r="N1116" s="82" t="s">
        <v>2276</v>
      </c>
      <c r="O1116" s="19" t="s">
        <v>67</v>
      </c>
      <c r="P1116" s="19" t="s">
        <v>5187</v>
      </c>
      <c r="Q1116" s="204"/>
    </row>
    <row r="1117" spans="1:17" ht="41" customHeight="1">
      <c r="A1117" s="213">
        <v>305</v>
      </c>
      <c r="B1117" s="40" t="s">
        <v>7267</v>
      </c>
      <c r="C1117" s="19" t="s">
        <v>7282</v>
      </c>
      <c r="D1117" s="204" t="s">
        <v>2633</v>
      </c>
      <c r="E1117" s="204" t="s">
        <v>4847</v>
      </c>
      <c r="F1117" s="19" t="s">
        <v>2276</v>
      </c>
      <c r="G1117" s="11" t="s">
        <v>7271</v>
      </c>
      <c r="H1117" s="19" t="s">
        <v>6116</v>
      </c>
      <c r="I1117" s="21">
        <v>50.529025500000003</v>
      </c>
      <c r="J1117" s="21">
        <v>2.8936380000000002</v>
      </c>
      <c r="K1117" s="21">
        <v>31813</v>
      </c>
      <c r="L1117" s="204">
        <v>2001</v>
      </c>
      <c r="M1117" s="204">
        <v>2015</v>
      </c>
      <c r="N1117" s="82" t="s">
        <v>2276</v>
      </c>
      <c r="O1117" s="19" t="s">
        <v>67</v>
      </c>
      <c r="P1117" s="19" t="s">
        <v>5187</v>
      </c>
      <c r="Q1117" s="204"/>
    </row>
    <row r="1118" spans="1:17" ht="41" customHeight="1">
      <c r="A1118" s="213">
        <v>305</v>
      </c>
      <c r="B1118" s="40" t="s">
        <v>7267</v>
      </c>
      <c r="C1118" s="19" t="s">
        <v>7283</v>
      </c>
      <c r="D1118" s="204" t="s">
        <v>2633</v>
      </c>
      <c r="E1118" s="204" t="s">
        <v>4847</v>
      </c>
      <c r="F1118" s="19" t="s">
        <v>2276</v>
      </c>
      <c r="G1118" s="11" t="s">
        <v>7272</v>
      </c>
      <c r="H1118" s="19" t="s">
        <v>6116</v>
      </c>
      <c r="I1118" s="21">
        <v>48.680792599999997</v>
      </c>
      <c r="J1118" s="21">
        <v>2.5025884999999999</v>
      </c>
      <c r="K1118" s="21">
        <v>12012</v>
      </c>
      <c r="L1118" s="204">
        <v>2001</v>
      </c>
      <c r="M1118" s="204">
        <v>2015</v>
      </c>
      <c r="N1118" s="82" t="s">
        <v>2276</v>
      </c>
      <c r="O1118" s="19" t="s">
        <v>67</v>
      </c>
      <c r="P1118" s="19" t="s">
        <v>5187</v>
      </c>
      <c r="Q1118" s="204"/>
    </row>
    <row r="1119" spans="1:17" ht="41" customHeight="1">
      <c r="A1119" s="213">
        <v>305</v>
      </c>
      <c r="B1119" s="40" t="s">
        <v>7267</v>
      </c>
      <c r="C1119" s="19" t="s">
        <v>7284</v>
      </c>
      <c r="D1119" s="204" t="s">
        <v>2633</v>
      </c>
      <c r="E1119" s="204" t="s">
        <v>4847</v>
      </c>
      <c r="F1119" s="19" t="s">
        <v>2276</v>
      </c>
      <c r="G1119" s="19" t="s">
        <v>7273</v>
      </c>
      <c r="H1119" s="19" t="s">
        <v>6116</v>
      </c>
      <c r="I1119" s="21">
        <v>48.872864</v>
      </c>
      <c r="J1119" s="21">
        <v>4.6373455000000003</v>
      </c>
      <c r="K1119" s="21">
        <v>57433</v>
      </c>
      <c r="L1119" s="204">
        <v>2001</v>
      </c>
      <c r="M1119" s="204">
        <v>2015</v>
      </c>
      <c r="N1119" s="82" t="s">
        <v>2276</v>
      </c>
      <c r="O1119" s="19" t="s">
        <v>67</v>
      </c>
      <c r="P1119" s="19" t="s">
        <v>5187</v>
      </c>
      <c r="Q1119" s="204"/>
    </row>
    <row r="1120" spans="1:17" ht="41" customHeight="1">
      <c r="A1120" s="213">
        <v>305</v>
      </c>
      <c r="B1120" s="40" t="s">
        <v>7267</v>
      </c>
      <c r="C1120" s="19" t="s">
        <v>7285</v>
      </c>
      <c r="D1120" s="204" t="s">
        <v>2633</v>
      </c>
      <c r="E1120" s="204" t="s">
        <v>4847</v>
      </c>
      <c r="F1120" s="19" t="s">
        <v>2276</v>
      </c>
      <c r="G1120" s="19" t="s">
        <v>7274</v>
      </c>
      <c r="H1120" s="19" t="s">
        <v>6116</v>
      </c>
      <c r="I1120" s="21">
        <v>47.417262000000001</v>
      </c>
      <c r="J1120" s="21">
        <v>-0.82148509999999997</v>
      </c>
      <c r="K1120" s="21">
        <v>32082</v>
      </c>
      <c r="L1120" s="204">
        <v>2001</v>
      </c>
      <c r="M1120" s="204">
        <v>2015</v>
      </c>
      <c r="N1120" s="82" t="s">
        <v>2276</v>
      </c>
      <c r="O1120" s="19" t="s">
        <v>67</v>
      </c>
      <c r="P1120" s="19" t="s">
        <v>5187</v>
      </c>
      <c r="Q1120" s="204"/>
    </row>
    <row r="1121" spans="1:17" ht="41" customHeight="1">
      <c r="A1121" s="213">
        <v>305</v>
      </c>
      <c r="B1121" s="40" t="s">
        <v>7267</v>
      </c>
      <c r="C1121" s="19" t="s">
        <v>7286</v>
      </c>
      <c r="D1121" s="204" t="s">
        <v>2633</v>
      </c>
      <c r="E1121" s="204" t="s">
        <v>4847</v>
      </c>
      <c r="F1121" s="19" t="s">
        <v>2276</v>
      </c>
      <c r="G1121" s="19" t="s">
        <v>7275</v>
      </c>
      <c r="H1121" s="19" t="s">
        <v>6116</v>
      </c>
      <c r="I1121" s="21">
        <v>47.643967500000002</v>
      </c>
      <c r="J1121" s="21">
        <v>1.5905734</v>
      </c>
      <c r="K1121" s="21">
        <v>39151</v>
      </c>
      <c r="L1121" s="204">
        <v>2001</v>
      </c>
      <c r="M1121" s="204">
        <v>2015</v>
      </c>
      <c r="N1121" s="82" t="s">
        <v>2276</v>
      </c>
      <c r="O1121" s="19" t="s">
        <v>67</v>
      </c>
      <c r="P1121" s="19" t="s">
        <v>5187</v>
      </c>
      <c r="Q1121" s="204"/>
    </row>
    <row r="1122" spans="1:17" ht="41" customHeight="1">
      <c r="A1122" s="213">
        <v>305</v>
      </c>
      <c r="B1122" s="40" t="s">
        <v>7267</v>
      </c>
      <c r="C1122" s="19" t="s">
        <v>7287</v>
      </c>
      <c r="D1122" s="204" t="s">
        <v>2633</v>
      </c>
      <c r="E1122" s="204" t="s">
        <v>4847</v>
      </c>
      <c r="F1122" s="19" t="s">
        <v>2276</v>
      </c>
      <c r="G1122" s="19" t="s">
        <v>7276</v>
      </c>
      <c r="H1122" s="19" t="s">
        <v>6116</v>
      </c>
      <c r="I1122" s="21">
        <v>47.278065499999997</v>
      </c>
      <c r="J1122" s="21">
        <v>4.9941358999999999</v>
      </c>
      <c r="K1122" s="21">
        <v>47784</v>
      </c>
      <c r="L1122" s="204">
        <v>2001</v>
      </c>
      <c r="M1122" s="204">
        <v>2015</v>
      </c>
      <c r="N1122" s="82" t="s">
        <v>2276</v>
      </c>
      <c r="O1122" s="19" t="s">
        <v>67</v>
      </c>
      <c r="P1122" s="19" t="s">
        <v>5187</v>
      </c>
      <c r="Q1122" s="204"/>
    </row>
    <row r="1123" spans="1:17" ht="41" customHeight="1">
      <c r="A1123" s="213">
        <v>305</v>
      </c>
      <c r="B1123" s="40" t="s">
        <v>7267</v>
      </c>
      <c r="C1123" s="19" t="s">
        <v>7288</v>
      </c>
      <c r="D1123" s="204" t="s">
        <v>2633</v>
      </c>
      <c r="E1123" s="204" t="s">
        <v>4847</v>
      </c>
      <c r="F1123" s="19" t="s">
        <v>2276</v>
      </c>
      <c r="G1123" s="19" t="s">
        <v>7277</v>
      </c>
      <c r="H1123" s="19" t="s">
        <v>6116</v>
      </c>
      <c r="I1123" s="21">
        <v>44.976760499999997</v>
      </c>
      <c r="J1123" s="21">
        <v>0.40948400000000001</v>
      </c>
      <c r="K1123" s="21">
        <v>84061</v>
      </c>
      <c r="L1123" s="204">
        <v>2001</v>
      </c>
      <c r="M1123" s="204">
        <v>2015</v>
      </c>
      <c r="N1123" s="82" t="s">
        <v>2276</v>
      </c>
      <c r="O1123" s="19" t="s">
        <v>67</v>
      </c>
      <c r="P1123" s="19" t="s">
        <v>5187</v>
      </c>
      <c r="Q1123" s="204"/>
    </row>
    <row r="1124" spans="1:17" ht="41" customHeight="1">
      <c r="A1124" s="213">
        <v>305</v>
      </c>
      <c r="B1124" s="40" t="s">
        <v>7267</v>
      </c>
      <c r="C1124" s="19" t="s">
        <v>7289</v>
      </c>
      <c r="D1124" s="204" t="s">
        <v>2633</v>
      </c>
      <c r="E1124" s="204" t="s">
        <v>4847</v>
      </c>
      <c r="F1124" s="19" t="s">
        <v>2276</v>
      </c>
      <c r="G1124" s="11" t="s">
        <v>7278</v>
      </c>
      <c r="H1124" s="19" t="s">
        <v>6116</v>
      </c>
      <c r="I1124" s="21">
        <v>45.459893000000001</v>
      </c>
      <c r="J1124" s="21">
        <v>4.6242241000000002</v>
      </c>
      <c r="K1124" s="21">
        <v>69711</v>
      </c>
      <c r="L1124" s="204">
        <v>2001</v>
      </c>
      <c r="M1124" s="204">
        <v>2015</v>
      </c>
      <c r="N1124" s="82" t="s">
        <v>2276</v>
      </c>
      <c r="O1124" s="19" t="s">
        <v>67</v>
      </c>
      <c r="P1124" s="19" t="s">
        <v>5187</v>
      </c>
      <c r="Q1124" s="204"/>
    </row>
    <row r="1125" spans="1:17" ht="41" customHeight="1">
      <c r="A1125" s="213">
        <v>305</v>
      </c>
      <c r="B1125" s="40" t="s">
        <v>7267</v>
      </c>
      <c r="C1125" s="19" t="s">
        <v>7290</v>
      </c>
      <c r="D1125" s="204" t="s">
        <v>2633</v>
      </c>
      <c r="E1125" s="204" t="s">
        <v>4847</v>
      </c>
      <c r="F1125" s="19" t="s">
        <v>2276</v>
      </c>
      <c r="G1125" s="19" t="s">
        <v>7279</v>
      </c>
      <c r="H1125" s="19" t="s">
        <v>6116</v>
      </c>
      <c r="I1125" s="21">
        <v>43.689849000000002</v>
      </c>
      <c r="J1125" s="21">
        <v>2.2592024999999998</v>
      </c>
      <c r="K1125" s="21">
        <v>72724</v>
      </c>
      <c r="L1125" s="204">
        <v>2001</v>
      </c>
      <c r="M1125" s="204">
        <v>2015</v>
      </c>
      <c r="N1125" s="82" t="s">
        <v>2276</v>
      </c>
      <c r="O1125" s="19" t="s">
        <v>67</v>
      </c>
      <c r="P1125" s="19" t="s">
        <v>5187</v>
      </c>
      <c r="Q1125" s="204"/>
    </row>
    <row r="1126" spans="1:17" ht="41" customHeight="1">
      <c r="A1126" s="213">
        <v>305</v>
      </c>
      <c r="B1126" s="40" t="s">
        <v>7267</v>
      </c>
      <c r="C1126" s="19" t="s">
        <v>7291</v>
      </c>
      <c r="D1126" s="204" t="s">
        <v>2633</v>
      </c>
      <c r="E1126" s="204" t="s">
        <v>4847</v>
      </c>
      <c r="F1126" s="19" t="s">
        <v>2276</v>
      </c>
      <c r="G1126" s="11" t="s">
        <v>7280</v>
      </c>
      <c r="H1126" s="19" t="s">
        <v>6116</v>
      </c>
      <c r="I1126" s="21">
        <v>44.054424599999997</v>
      </c>
      <c r="J1126" s="21">
        <v>5.9745999999999997</v>
      </c>
      <c r="K1126" s="21">
        <v>31400</v>
      </c>
      <c r="L1126" s="204">
        <v>2001</v>
      </c>
      <c r="M1126" s="204">
        <v>2015</v>
      </c>
      <c r="N1126" s="82" t="s">
        <v>2276</v>
      </c>
      <c r="O1126" s="19" t="s">
        <v>67</v>
      </c>
      <c r="P1126" s="19" t="s">
        <v>5187</v>
      </c>
      <c r="Q1126" s="204"/>
    </row>
    <row r="1127" spans="1:17" ht="41" customHeight="1">
      <c r="A1127" s="213">
        <v>305</v>
      </c>
      <c r="B1127" s="40" t="s">
        <v>7267</v>
      </c>
      <c r="C1127" s="19" t="s">
        <v>7292</v>
      </c>
      <c r="D1127" s="204" t="s">
        <v>2633</v>
      </c>
      <c r="E1127" s="204" t="s">
        <v>4847</v>
      </c>
      <c r="F1127" s="19" t="s">
        <v>2276</v>
      </c>
      <c r="G1127" s="11" t="s">
        <v>6131</v>
      </c>
      <c r="H1127" s="19" t="s">
        <v>6116</v>
      </c>
      <c r="I1127" s="21">
        <v>42.180610600000001</v>
      </c>
      <c r="J1127" s="21">
        <v>9.0473865</v>
      </c>
      <c r="K1127" s="21">
        <v>8722</v>
      </c>
      <c r="L1127" s="204">
        <v>2001</v>
      </c>
      <c r="M1127" s="204">
        <v>2015</v>
      </c>
      <c r="N1127" s="82" t="s">
        <v>2276</v>
      </c>
      <c r="O1127" s="19" t="s">
        <v>67</v>
      </c>
      <c r="P1127" s="19" t="s">
        <v>5187</v>
      </c>
      <c r="Q1127" s="204"/>
    </row>
    <row r="1128" spans="1:17" ht="41" customHeight="1">
      <c r="A1128" s="213">
        <v>305</v>
      </c>
      <c r="B1128" s="40" t="s">
        <v>7267</v>
      </c>
      <c r="C1128" s="19" t="s">
        <v>7293</v>
      </c>
      <c r="D1128" s="204" t="s">
        <v>2633</v>
      </c>
      <c r="E1128" s="204" t="s">
        <v>4847</v>
      </c>
      <c r="F1128" s="19" t="s">
        <v>2276</v>
      </c>
      <c r="G1128" s="11" t="s">
        <v>7396</v>
      </c>
      <c r="H1128" s="19" t="s">
        <v>6112</v>
      </c>
      <c r="I1128" s="21">
        <v>38.904713999999998</v>
      </c>
      <c r="J1128" s="21">
        <v>-9.2215173999999998</v>
      </c>
      <c r="K1128" s="21">
        <v>2800</v>
      </c>
      <c r="L1128" s="204">
        <v>2006</v>
      </c>
      <c r="M1128" s="204">
        <v>2015</v>
      </c>
      <c r="N1128" s="82" t="s">
        <v>2276</v>
      </c>
      <c r="O1128" s="19" t="s">
        <v>67</v>
      </c>
      <c r="P1128" s="19" t="s">
        <v>5187</v>
      </c>
      <c r="Q1128" s="204"/>
    </row>
    <row r="1129" spans="1:17" ht="24.5" customHeight="1">
      <c r="A1129" s="213">
        <v>305</v>
      </c>
      <c r="B1129" s="40" t="s">
        <v>7267</v>
      </c>
      <c r="C1129" s="19" t="s">
        <v>7379</v>
      </c>
      <c r="D1129" s="204" t="s">
        <v>2633</v>
      </c>
      <c r="E1129" s="204" t="s">
        <v>4847</v>
      </c>
      <c r="F1129" s="19" t="s">
        <v>2276</v>
      </c>
      <c r="G1129" s="11" t="s">
        <v>7397</v>
      </c>
      <c r="H1129" s="19" t="s">
        <v>6112</v>
      </c>
      <c r="I1129" s="21">
        <v>39.5852772</v>
      </c>
      <c r="J1129" s="21">
        <v>-8.8504941000000006</v>
      </c>
      <c r="K1129" s="21">
        <v>3515</v>
      </c>
      <c r="L1129" s="204">
        <v>2006</v>
      </c>
      <c r="M1129" s="204">
        <v>2015</v>
      </c>
      <c r="N1129" s="82" t="s">
        <v>2276</v>
      </c>
      <c r="O1129" s="19" t="s">
        <v>67</v>
      </c>
      <c r="P1129" s="19" t="s">
        <v>5187</v>
      </c>
      <c r="Q1129" s="204"/>
    </row>
    <row r="1130" spans="1:17" ht="24.5" customHeight="1">
      <c r="A1130" s="213">
        <v>305</v>
      </c>
      <c r="B1130" s="40" t="s">
        <v>7267</v>
      </c>
      <c r="C1130" s="19" t="s">
        <v>7380</v>
      </c>
      <c r="D1130" s="204" t="s">
        <v>2633</v>
      </c>
      <c r="E1130" s="204" t="s">
        <v>4847</v>
      </c>
      <c r="F1130" s="19" t="s">
        <v>2276</v>
      </c>
      <c r="G1130" s="11" t="s">
        <v>6064</v>
      </c>
      <c r="H1130" s="19" t="s">
        <v>6112</v>
      </c>
      <c r="I1130" s="21">
        <v>39.225619500000001</v>
      </c>
      <c r="J1130" s="21">
        <v>-8.7137516999999995</v>
      </c>
      <c r="K1130" s="21">
        <v>6747</v>
      </c>
      <c r="L1130" s="204">
        <v>2006</v>
      </c>
      <c r="M1130" s="204">
        <v>2015</v>
      </c>
      <c r="N1130" s="82" t="s">
        <v>2276</v>
      </c>
      <c r="O1130" s="19" t="s">
        <v>67</v>
      </c>
      <c r="P1130" s="19" t="s">
        <v>5187</v>
      </c>
      <c r="Q1130" s="204"/>
    </row>
    <row r="1131" spans="1:17" ht="24.5" customHeight="1">
      <c r="A1131" s="213">
        <v>305</v>
      </c>
      <c r="B1131" s="40" t="s">
        <v>7267</v>
      </c>
      <c r="C1131" s="19" t="s">
        <v>7381</v>
      </c>
      <c r="D1131" s="204" t="s">
        <v>2633</v>
      </c>
      <c r="E1131" s="204" t="s">
        <v>4847</v>
      </c>
      <c r="F1131" s="19" t="s">
        <v>2276</v>
      </c>
      <c r="G1131" s="11" t="s">
        <v>7398</v>
      </c>
      <c r="H1131" s="19" t="s">
        <v>6112</v>
      </c>
      <c r="I1131" s="21">
        <v>38.483753100000001</v>
      </c>
      <c r="J1131" s="21">
        <v>-8.9134197999999998</v>
      </c>
      <c r="K1131" s="21">
        <v>5064</v>
      </c>
      <c r="L1131" s="204">
        <v>2006</v>
      </c>
      <c r="M1131" s="204">
        <v>2015</v>
      </c>
      <c r="N1131" s="82" t="s">
        <v>2276</v>
      </c>
      <c r="O1131" s="19" t="s">
        <v>67</v>
      </c>
      <c r="P1131" s="19" t="s">
        <v>5187</v>
      </c>
      <c r="Q1131" s="204"/>
    </row>
    <row r="1132" spans="1:17" ht="24.5" customHeight="1">
      <c r="A1132" s="213">
        <v>305</v>
      </c>
      <c r="B1132" s="40" t="s">
        <v>7267</v>
      </c>
      <c r="C1132" s="19" t="s">
        <v>7382</v>
      </c>
      <c r="D1132" s="204" t="s">
        <v>2633</v>
      </c>
      <c r="E1132" s="204" t="s">
        <v>4847</v>
      </c>
      <c r="F1132" s="19" t="s">
        <v>2276</v>
      </c>
      <c r="G1132" s="11" t="s">
        <v>7399</v>
      </c>
      <c r="H1132" s="19" t="s">
        <v>6112</v>
      </c>
      <c r="I1132" s="21">
        <v>37.987447299999999</v>
      </c>
      <c r="J1132" s="21">
        <v>-7.9819201</v>
      </c>
      <c r="K1132" s="21">
        <v>10225</v>
      </c>
      <c r="L1132" s="204">
        <v>2006</v>
      </c>
      <c r="M1132" s="204">
        <v>2015</v>
      </c>
      <c r="N1132" s="82" t="s">
        <v>2276</v>
      </c>
      <c r="O1132" s="19" t="s">
        <v>67</v>
      </c>
      <c r="P1132" s="19" t="s">
        <v>5187</v>
      </c>
      <c r="Q1132" s="204"/>
    </row>
    <row r="1133" spans="1:17" ht="24.5" customHeight="1">
      <c r="A1133" s="213">
        <v>305</v>
      </c>
      <c r="B1133" s="40" t="s">
        <v>7267</v>
      </c>
      <c r="C1133" s="19" t="s">
        <v>7383</v>
      </c>
      <c r="D1133" s="204" t="s">
        <v>2633</v>
      </c>
      <c r="E1133" s="204" t="s">
        <v>4847</v>
      </c>
      <c r="F1133" s="19" t="s">
        <v>2276</v>
      </c>
      <c r="G1133" s="11" t="s">
        <v>7400</v>
      </c>
      <c r="H1133" s="19" t="s">
        <v>6112</v>
      </c>
      <c r="I1133" s="21">
        <v>37.192814900000002</v>
      </c>
      <c r="J1133" s="21">
        <v>-7.9900900000000004</v>
      </c>
      <c r="K1133" s="21">
        <v>4997</v>
      </c>
      <c r="L1133" s="204">
        <v>2006</v>
      </c>
      <c r="M1133" s="204">
        <v>2015</v>
      </c>
      <c r="N1133" s="82" t="s">
        <v>2276</v>
      </c>
      <c r="O1133" s="19" t="s">
        <v>67</v>
      </c>
      <c r="P1133" s="19" t="s">
        <v>5187</v>
      </c>
      <c r="Q1133" s="204"/>
    </row>
    <row r="1134" spans="1:17" ht="24.5" customHeight="1">
      <c r="A1134" s="213">
        <v>305</v>
      </c>
      <c r="B1134" s="40" t="s">
        <v>7267</v>
      </c>
      <c r="C1134" s="19" t="s">
        <v>7384</v>
      </c>
      <c r="D1134" s="204" t="s">
        <v>2633</v>
      </c>
      <c r="E1134" s="204" t="s">
        <v>4847</v>
      </c>
      <c r="F1134" s="19" t="s">
        <v>2276</v>
      </c>
      <c r="G1134" s="11" t="s">
        <v>7401</v>
      </c>
      <c r="H1134" s="19" t="s">
        <v>6112</v>
      </c>
      <c r="I1134" s="21">
        <v>38.4956976</v>
      </c>
      <c r="J1134" s="21">
        <v>-7.9816108999999997</v>
      </c>
      <c r="K1134" s="21">
        <v>7393</v>
      </c>
      <c r="L1134" s="204">
        <v>2006</v>
      </c>
      <c r="M1134" s="204">
        <v>2015</v>
      </c>
      <c r="N1134" s="82" t="s">
        <v>2276</v>
      </c>
      <c r="O1134" s="19" t="s">
        <v>67</v>
      </c>
      <c r="P1134" s="19" t="s">
        <v>5187</v>
      </c>
      <c r="Q1134" s="204"/>
    </row>
    <row r="1135" spans="1:17" ht="24.5" customHeight="1">
      <c r="A1135" s="213">
        <v>305</v>
      </c>
      <c r="B1135" s="40" t="s">
        <v>7267</v>
      </c>
      <c r="C1135" s="19" t="s">
        <v>7385</v>
      </c>
      <c r="D1135" s="204" t="s">
        <v>2633</v>
      </c>
      <c r="E1135" s="204" t="s">
        <v>4847</v>
      </c>
      <c r="F1135" s="19" t="s">
        <v>2276</v>
      </c>
      <c r="G1135" s="11" t="s">
        <v>7402</v>
      </c>
      <c r="H1135" s="19" t="s">
        <v>6112</v>
      </c>
      <c r="I1135" s="21">
        <v>39.248371200000001</v>
      </c>
      <c r="J1135" s="21">
        <v>-7.4527700000000001</v>
      </c>
      <c r="K1135" s="21">
        <v>6065</v>
      </c>
      <c r="L1135" s="204">
        <v>2006</v>
      </c>
      <c r="M1135" s="204">
        <v>2015</v>
      </c>
      <c r="N1135" s="82" t="s">
        <v>2276</v>
      </c>
      <c r="O1135" s="19" t="s">
        <v>67</v>
      </c>
      <c r="P1135" s="19" t="s">
        <v>5187</v>
      </c>
      <c r="Q1135" s="204"/>
    </row>
    <row r="1136" spans="1:17" ht="24.5" customHeight="1">
      <c r="A1136" s="213">
        <v>305</v>
      </c>
      <c r="B1136" s="40" t="s">
        <v>7267</v>
      </c>
      <c r="C1136" s="19" t="s">
        <v>7386</v>
      </c>
      <c r="D1136" s="204" t="s">
        <v>2633</v>
      </c>
      <c r="E1136" s="204" t="s">
        <v>4847</v>
      </c>
      <c r="F1136" s="19" t="s">
        <v>2276</v>
      </c>
      <c r="G1136" s="11" t="s">
        <v>7403</v>
      </c>
      <c r="H1136" s="19" t="s">
        <v>6112</v>
      </c>
      <c r="I1136" s="21">
        <v>39.775269299999998</v>
      </c>
      <c r="J1136" s="21">
        <v>-7.5083846999999997</v>
      </c>
      <c r="K1136" s="21">
        <v>6675</v>
      </c>
      <c r="L1136" s="204">
        <v>2006</v>
      </c>
      <c r="M1136" s="204">
        <v>2015</v>
      </c>
      <c r="N1136" s="82" t="s">
        <v>2276</v>
      </c>
      <c r="O1136" s="19" t="s">
        <v>67</v>
      </c>
      <c r="P1136" s="19" t="s">
        <v>5187</v>
      </c>
      <c r="Q1136" s="204"/>
    </row>
    <row r="1137" spans="1:19" ht="24.5" customHeight="1">
      <c r="A1137" s="213">
        <v>305</v>
      </c>
      <c r="B1137" s="40" t="s">
        <v>7267</v>
      </c>
      <c r="C1137" s="19" t="s">
        <v>7387</v>
      </c>
      <c r="D1137" s="204" t="s">
        <v>2633</v>
      </c>
      <c r="E1137" s="204" t="s">
        <v>4847</v>
      </c>
      <c r="F1137" s="19" t="s">
        <v>2276</v>
      </c>
      <c r="G1137" s="11" t="s">
        <v>7404</v>
      </c>
      <c r="H1137" s="19" t="s">
        <v>6112</v>
      </c>
      <c r="I1137" s="21">
        <v>40.504301400000003</v>
      </c>
      <c r="J1137" s="21">
        <v>-7.2940021000000002</v>
      </c>
      <c r="K1137" s="21">
        <v>5518</v>
      </c>
      <c r="L1137" s="204">
        <v>2006</v>
      </c>
      <c r="M1137" s="204">
        <v>2015</v>
      </c>
      <c r="N1137" s="82" t="s">
        <v>2276</v>
      </c>
      <c r="O1137" s="19" t="s">
        <v>67</v>
      </c>
      <c r="P1137" s="19" t="s">
        <v>5187</v>
      </c>
      <c r="Q1137" s="204"/>
    </row>
    <row r="1138" spans="1:19" ht="24.5" customHeight="1">
      <c r="A1138" s="213">
        <v>305</v>
      </c>
      <c r="B1138" s="40" t="s">
        <v>7267</v>
      </c>
      <c r="C1138" s="19" t="s">
        <v>7388</v>
      </c>
      <c r="D1138" s="204" t="s">
        <v>2633</v>
      </c>
      <c r="E1138" s="204" t="s">
        <v>4847</v>
      </c>
      <c r="F1138" s="19" t="s">
        <v>2276</v>
      </c>
      <c r="G1138" s="11" t="s">
        <v>7405</v>
      </c>
      <c r="H1138" s="19" t="s">
        <v>6112</v>
      </c>
      <c r="I1138" s="21">
        <v>40.205450800000001</v>
      </c>
      <c r="J1138" s="21">
        <v>-8.3994599999999995</v>
      </c>
      <c r="K1138" s="21">
        <v>3947</v>
      </c>
      <c r="L1138" s="204">
        <v>2006</v>
      </c>
      <c r="M1138" s="204">
        <v>2015</v>
      </c>
      <c r="N1138" s="82" t="s">
        <v>2276</v>
      </c>
      <c r="O1138" s="19" t="s">
        <v>67</v>
      </c>
      <c r="P1138" s="19" t="s">
        <v>5187</v>
      </c>
      <c r="Q1138" s="204"/>
    </row>
    <row r="1139" spans="1:19" ht="24.5" customHeight="1">
      <c r="A1139" s="213">
        <v>305</v>
      </c>
      <c r="B1139" s="40" t="s">
        <v>7267</v>
      </c>
      <c r="C1139" s="19" t="s">
        <v>7389</v>
      </c>
      <c r="D1139" s="204" t="s">
        <v>2633</v>
      </c>
      <c r="E1139" s="204" t="s">
        <v>4847</v>
      </c>
      <c r="F1139" s="19" t="s">
        <v>2276</v>
      </c>
      <c r="G1139" s="11" t="s">
        <v>7406</v>
      </c>
      <c r="H1139" s="19" t="s">
        <v>6112</v>
      </c>
      <c r="I1139" s="21">
        <v>40.604104200000002</v>
      </c>
      <c r="J1139" s="21">
        <v>-8.6561692000000008</v>
      </c>
      <c r="K1139" s="21">
        <v>2808</v>
      </c>
      <c r="L1139" s="204">
        <v>2006</v>
      </c>
      <c r="M1139" s="204">
        <v>2015</v>
      </c>
      <c r="N1139" s="82" t="s">
        <v>2276</v>
      </c>
      <c r="O1139" s="19" t="s">
        <v>67</v>
      </c>
      <c r="P1139" s="19" t="s">
        <v>5187</v>
      </c>
      <c r="Q1139" s="204"/>
    </row>
    <row r="1140" spans="1:19" ht="24.5" customHeight="1">
      <c r="A1140" s="213">
        <v>305</v>
      </c>
      <c r="B1140" s="40" t="s">
        <v>7267</v>
      </c>
      <c r="C1140" s="19" t="s">
        <v>7390</v>
      </c>
      <c r="D1140" s="204" t="s">
        <v>2633</v>
      </c>
      <c r="E1140" s="204" t="s">
        <v>4847</v>
      </c>
      <c r="F1140" s="19" t="s">
        <v>2276</v>
      </c>
      <c r="G1140" s="11" t="s">
        <v>7407</v>
      </c>
      <c r="H1140" s="19" t="s">
        <v>6112</v>
      </c>
      <c r="I1140" s="21">
        <v>40.722348599999997</v>
      </c>
      <c r="J1140" s="21">
        <v>-7.9160269000000003</v>
      </c>
      <c r="K1140" s="21">
        <v>5007</v>
      </c>
      <c r="L1140" s="204">
        <v>2006</v>
      </c>
      <c r="M1140" s="204">
        <v>2015</v>
      </c>
      <c r="N1140" s="82" t="s">
        <v>2276</v>
      </c>
      <c r="O1140" s="19" t="s">
        <v>67</v>
      </c>
      <c r="P1140" s="19" t="s">
        <v>5187</v>
      </c>
      <c r="Q1140" s="204"/>
    </row>
    <row r="1141" spans="1:19" ht="24.5" customHeight="1">
      <c r="A1141" s="213">
        <v>305</v>
      </c>
      <c r="B1141" s="40" t="s">
        <v>7267</v>
      </c>
      <c r="C1141" s="19" t="s">
        <v>7391</v>
      </c>
      <c r="D1141" s="204" t="s">
        <v>2633</v>
      </c>
      <c r="E1141" s="204" t="s">
        <v>4847</v>
      </c>
      <c r="F1141" s="19" t="s">
        <v>2276</v>
      </c>
      <c r="G1141" s="11" t="s">
        <v>7408</v>
      </c>
      <c r="H1141" s="19" t="s">
        <v>6112</v>
      </c>
      <c r="I1141" s="21">
        <v>41.803516199999997</v>
      </c>
      <c r="J1141" s="21">
        <v>-6.7776588000000002</v>
      </c>
      <c r="K1141" s="21">
        <v>1174</v>
      </c>
      <c r="L1141" s="204">
        <v>2006</v>
      </c>
      <c r="M1141" s="204">
        <v>2015</v>
      </c>
      <c r="N1141" s="82" t="s">
        <v>2276</v>
      </c>
      <c r="O1141" s="19" t="s">
        <v>67</v>
      </c>
      <c r="P1141" s="19" t="s">
        <v>5187</v>
      </c>
      <c r="Q1141" s="204"/>
    </row>
    <row r="1142" spans="1:19" ht="24.5" customHeight="1">
      <c r="A1142" s="213">
        <v>305</v>
      </c>
      <c r="B1142" s="40" t="s">
        <v>7267</v>
      </c>
      <c r="C1142" s="19" t="s">
        <v>7392</v>
      </c>
      <c r="D1142" s="204" t="s">
        <v>2633</v>
      </c>
      <c r="E1142" s="204" t="s">
        <v>4847</v>
      </c>
      <c r="F1142" s="19" t="s">
        <v>2276</v>
      </c>
      <c r="G1142" s="11" t="s">
        <v>7409</v>
      </c>
      <c r="H1142" s="19" t="s">
        <v>6112</v>
      </c>
      <c r="I1142" s="21">
        <v>41.285986999999999</v>
      </c>
      <c r="J1142" s="21">
        <v>-7.7582407</v>
      </c>
      <c r="K1142" s="21">
        <v>4328</v>
      </c>
      <c r="L1142" s="204">
        <v>2006</v>
      </c>
      <c r="M1142" s="204">
        <v>2015</v>
      </c>
      <c r="N1142" s="82" t="s">
        <v>2276</v>
      </c>
      <c r="O1142" s="19" t="s">
        <v>67</v>
      </c>
      <c r="P1142" s="19" t="s">
        <v>5187</v>
      </c>
      <c r="Q1142" s="204"/>
    </row>
    <row r="1143" spans="1:19" ht="24.5" customHeight="1">
      <c r="A1143" s="213">
        <v>305</v>
      </c>
      <c r="B1143" s="40" t="s">
        <v>7267</v>
      </c>
      <c r="C1143" s="19" t="s">
        <v>7393</v>
      </c>
      <c r="D1143" s="204" t="s">
        <v>2633</v>
      </c>
      <c r="E1143" s="204" t="s">
        <v>4847</v>
      </c>
      <c r="F1143" s="19" t="s">
        <v>2276</v>
      </c>
      <c r="G1143" s="11" t="s">
        <v>7410</v>
      </c>
      <c r="H1143" s="19" t="s">
        <v>6112</v>
      </c>
      <c r="I1143" s="21">
        <v>41.119094799999999</v>
      </c>
      <c r="J1143" s="21">
        <v>-8.6013084000000006</v>
      </c>
      <c r="K1143" s="21">
        <v>2395</v>
      </c>
      <c r="L1143" s="204">
        <v>2006</v>
      </c>
      <c r="M1143" s="204">
        <v>2015</v>
      </c>
      <c r="N1143" s="82" t="s">
        <v>2276</v>
      </c>
      <c r="O1143" s="19" t="s">
        <v>67</v>
      </c>
      <c r="P1143" s="19" t="s">
        <v>5187</v>
      </c>
      <c r="Q1143" s="204"/>
      <c r="R1143" s="122"/>
      <c r="S1143" s="122"/>
    </row>
    <row r="1144" spans="1:19" ht="24.5" customHeight="1">
      <c r="A1144" s="213">
        <v>305</v>
      </c>
      <c r="B1144" s="40" t="s">
        <v>7267</v>
      </c>
      <c r="C1144" s="19" t="s">
        <v>7394</v>
      </c>
      <c r="D1144" s="204" t="s">
        <v>2633</v>
      </c>
      <c r="E1144" s="204" t="s">
        <v>4847</v>
      </c>
      <c r="F1144" s="19" t="s">
        <v>2276</v>
      </c>
      <c r="G1144" s="11" t="s">
        <v>7412</v>
      </c>
      <c r="H1144" s="19" t="s">
        <v>6112</v>
      </c>
      <c r="I1144" s="21">
        <v>41.482525099999997</v>
      </c>
      <c r="J1144" s="21">
        <v>-8.4239523999999992</v>
      </c>
      <c r="K1144" s="21">
        <v>2673</v>
      </c>
      <c r="L1144" s="204">
        <v>2006</v>
      </c>
      <c r="M1144" s="204">
        <v>2015</v>
      </c>
      <c r="N1144" s="82" t="s">
        <v>2276</v>
      </c>
      <c r="O1144" s="19" t="s">
        <v>67</v>
      </c>
      <c r="P1144" s="19" t="s">
        <v>5187</v>
      </c>
      <c r="Q1144" s="204"/>
      <c r="R1144" s="122"/>
      <c r="S1144" s="122"/>
    </row>
    <row r="1145" spans="1:19" ht="29" customHeight="1">
      <c r="A1145" s="213">
        <v>305</v>
      </c>
      <c r="B1145" s="40" t="s">
        <v>7267</v>
      </c>
      <c r="C1145" s="19" t="s">
        <v>7395</v>
      </c>
      <c r="D1145" s="204" t="s">
        <v>2633</v>
      </c>
      <c r="E1145" s="204" t="s">
        <v>4847</v>
      </c>
      <c r="F1145" s="19" t="s">
        <v>2276</v>
      </c>
      <c r="G1145" s="11" t="s">
        <v>7411</v>
      </c>
      <c r="H1145" s="19" t="s">
        <v>6112</v>
      </c>
      <c r="I1145" s="21">
        <v>41.6912345</v>
      </c>
      <c r="J1145" s="21">
        <v>-8.8434313000000007</v>
      </c>
      <c r="K1145" s="21">
        <v>2255</v>
      </c>
      <c r="L1145" s="204">
        <v>2006</v>
      </c>
      <c r="M1145" s="204">
        <v>2015</v>
      </c>
      <c r="N1145" s="82" t="s">
        <v>2276</v>
      </c>
      <c r="O1145" s="19" t="s">
        <v>67</v>
      </c>
      <c r="P1145" s="19" t="s">
        <v>5187</v>
      </c>
      <c r="Q1145" s="204"/>
      <c r="R1145" s="122"/>
      <c r="S1145" s="122"/>
    </row>
    <row r="1146" spans="1:19" ht="30" customHeight="1">
      <c r="A1146" s="213">
        <v>305</v>
      </c>
      <c r="B1146" s="40" t="s">
        <v>7267</v>
      </c>
      <c r="C1146" s="19" t="s">
        <v>7594</v>
      </c>
      <c r="D1146" s="204" t="s">
        <v>2633</v>
      </c>
      <c r="E1146" s="204" t="s">
        <v>4847</v>
      </c>
      <c r="F1146" s="19" t="s">
        <v>2276</v>
      </c>
      <c r="G1146" s="11" t="s">
        <v>6132</v>
      </c>
      <c r="H1146" s="19" t="s">
        <v>4314</v>
      </c>
      <c r="I1146" s="21">
        <v>41.107962100000002</v>
      </c>
      <c r="J1146" s="21">
        <v>3.3815396</v>
      </c>
      <c r="K1146" s="21">
        <v>23108</v>
      </c>
      <c r="L1146" s="11">
        <v>1998</v>
      </c>
      <c r="M1146" s="11">
        <v>2015</v>
      </c>
      <c r="N1146" s="82" t="s">
        <v>2276</v>
      </c>
      <c r="O1146" s="19" t="s">
        <v>67</v>
      </c>
      <c r="P1146" s="19" t="s">
        <v>5187</v>
      </c>
      <c r="Q1146" s="204"/>
      <c r="R1146" s="122"/>
      <c r="S1146" s="122"/>
    </row>
    <row r="1147" spans="1:19" ht="32.5" customHeight="1">
      <c r="A1147" s="213">
        <v>305</v>
      </c>
      <c r="B1147" s="40" t="s">
        <v>7267</v>
      </c>
      <c r="C1147" s="19" t="s">
        <v>7616</v>
      </c>
      <c r="D1147" s="204" t="s">
        <v>2633</v>
      </c>
      <c r="E1147" s="204" t="s">
        <v>2414</v>
      </c>
      <c r="F1147" s="19" t="s">
        <v>2276</v>
      </c>
      <c r="G1147" s="19" t="s">
        <v>2276</v>
      </c>
      <c r="H1147" s="19" t="s">
        <v>4942</v>
      </c>
      <c r="I1147" s="21">
        <v>41.853488200000001</v>
      </c>
      <c r="J1147" s="82">
        <v>12.556582799999999</v>
      </c>
      <c r="K1147" s="21">
        <v>301338</v>
      </c>
      <c r="L1147" s="11">
        <v>2015</v>
      </c>
      <c r="M1147" s="11">
        <v>2015</v>
      </c>
      <c r="N1147" s="82" t="s">
        <v>2276</v>
      </c>
      <c r="O1147" s="19" t="s">
        <v>67</v>
      </c>
      <c r="P1147" s="19" t="s">
        <v>5187</v>
      </c>
      <c r="Q1147" s="204" t="s">
        <v>7613</v>
      </c>
      <c r="R1147" s="122"/>
      <c r="S1147" s="122"/>
    </row>
    <row r="1148" spans="1:19" ht="27" customHeight="1">
      <c r="A1148" s="213">
        <v>305</v>
      </c>
      <c r="B1148" s="40" t="s">
        <v>7267</v>
      </c>
      <c r="C1148" s="19" t="s">
        <v>7619</v>
      </c>
      <c r="D1148" s="204" t="s">
        <v>2633</v>
      </c>
      <c r="E1148" s="204" t="s">
        <v>4847</v>
      </c>
      <c r="F1148" s="19" t="s">
        <v>2276</v>
      </c>
      <c r="G1148" s="19" t="s">
        <v>2276</v>
      </c>
      <c r="H1148" s="19" t="s">
        <v>6112</v>
      </c>
      <c r="I1148" s="21">
        <v>39.394639099999999</v>
      </c>
      <c r="J1148" s="82">
        <v>-8.0152952000000006</v>
      </c>
      <c r="K1148" s="21">
        <v>92212</v>
      </c>
      <c r="L1148" s="11">
        <v>2015</v>
      </c>
      <c r="M1148" s="11">
        <v>2015</v>
      </c>
      <c r="N1148" s="82" t="s">
        <v>2276</v>
      </c>
      <c r="O1148" s="19" t="s">
        <v>67</v>
      </c>
      <c r="P1148" s="19" t="s">
        <v>5187</v>
      </c>
      <c r="Q1148" s="204"/>
      <c r="R1148" s="122"/>
      <c r="S1148" s="122"/>
    </row>
    <row r="1149" spans="1:19" ht="34.5" customHeight="1">
      <c r="A1149" s="213">
        <v>305</v>
      </c>
      <c r="B1149" s="40" t="s">
        <v>7267</v>
      </c>
      <c r="C1149" s="19" t="s">
        <v>7620</v>
      </c>
      <c r="D1149" s="204" t="s">
        <v>2633</v>
      </c>
      <c r="E1149" s="204" t="s">
        <v>4847</v>
      </c>
      <c r="F1149" s="19" t="s">
        <v>2276</v>
      </c>
      <c r="G1149" s="19" t="s">
        <v>2276</v>
      </c>
      <c r="H1149" s="19" t="s">
        <v>6116</v>
      </c>
      <c r="I1149" s="21">
        <v>42.188513700000001</v>
      </c>
      <c r="J1149" s="82">
        <v>1.7829904999999999</v>
      </c>
      <c r="K1149" s="21">
        <v>643801</v>
      </c>
      <c r="L1149" s="11">
        <v>2015</v>
      </c>
      <c r="M1149" s="11">
        <v>2015</v>
      </c>
      <c r="N1149" s="82" t="s">
        <v>2276</v>
      </c>
      <c r="O1149" s="19" t="s">
        <v>67</v>
      </c>
      <c r="P1149" s="19" t="s">
        <v>5187</v>
      </c>
      <c r="Q1149" s="4" t="s">
        <v>7624</v>
      </c>
      <c r="R1149" s="122"/>
      <c r="S1149" s="122"/>
    </row>
    <row r="1150" spans="1:19" ht="43.5" customHeight="1">
      <c r="A1150" s="219">
        <v>306</v>
      </c>
      <c r="B1150" s="54" t="s">
        <v>7642</v>
      </c>
      <c r="C1150" s="55" t="s">
        <v>7643</v>
      </c>
      <c r="D1150" s="38" t="s">
        <v>2398</v>
      </c>
      <c r="E1150" s="38" t="s">
        <v>4847</v>
      </c>
      <c r="F1150" s="55" t="s">
        <v>2276</v>
      </c>
      <c r="G1150" s="55" t="s">
        <v>7777</v>
      </c>
      <c r="H1150" s="151" t="s">
        <v>4112</v>
      </c>
      <c r="I1150" s="21">
        <f>AVERAGE(I1151:I1217)</f>
        <v>39.367126656542631</v>
      </c>
      <c r="J1150" s="21">
        <f>AVERAGE(J1151:J1217)</f>
        <v>-99.183510622322359</v>
      </c>
      <c r="K1150" s="21">
        <v>76639417</v>
      </c>
      <c r="L1150" s="204">
        <v>1999</v>
      </c>
      <c r="M1150" s="204">
        <v>2012</v>
      </c>
      <c r="N1150" s="220" t="s">
        <v>2276</v>
      </c>
      <c r="O1150" s="55" t="s">
        <v>67</v>
      </c>
      <c r="P1150" s="55" t="s">
        <v>5187</v>
      </c>
      <c r="Q1150" s="168" t="s">
        <v>7775</v>
      </c>
      <c r="R1150" s="122"/>
      <c r="S1150" s="122"/>
    </row>
    <row r="1151" spans="1:19" ht="33.5" customHeight="1">
      <c r="A1151" s="213">
        <v>306</v>
      </c>
      <c r="B1151" s="40" t="s">
        <v>7642</v>
      </c>
      <c r="C1151" s="19" t="s">
        <v>7644</v>
      </c>
      <c r="D1151" s="204" t="s">
        <v>2398</v>
      </c>
      <c r="E1151" s="204" t="s">
        <v>4847</v>
      </c>
      <c r="F1151" s="55" t="s">
        <v>2276</v>
      </c>
      <c r="G1151" s="4" t="s">
        <v>7693</v>
      </c>
      <c r="H1151" s="49" t="s">
        <v>4112</v>
      </c>
      <c r="I1151" s="21">
        <v>47.7869335358087</v>
      </c>
      <c r="J1151" s="21">
        <v>-122.285198413692</v>
      </c>
      <c r="K1151" s="177">
        <f>38582*2.59</f>
        <v>99927.37999999999</v>
      </c>
      <c r="L1151" s="204">
        <v>1999</v>
      </c>
      <c r="M1151" s="204">
        <v>2012</v>
      </c>
      <c r="N1151" s="82" t="s">
        <v>2276</v>
      </c>
      <c r="O1151" s="19" t="s">
        <v>67</v>
      </c>
      <c r="P1151" s="19" t="s">
        <v>5187</v>
      </c>
      <c r="Q1151" s="204"/>
      <c r="R1151" s="122"/>
      <c r="S1151" s="122"/>
    </row>
    <row r="1152" spans="1:19" ht="33.5" customHeight="1">
      <c r="A1152" s="213">
        <v>306</v>
      </c>
      <c r="B1152" s="40" t="s">
        <v>7642</v>
      </c>
      <c r="C1152" s="19" t="s">
        <v>7645</v>
      </c>
      <c r="D1152" s="204" t="s">
        <v>2398</v>
      </c>
      <c r="E1152" s="204" t="s">
        <v>4847</v>
      </c>
      <c r="F1152" s="55" t="s">
        <v>2276</v>
      </c>
      <c r="G1152" s="4" t="s">
        <v>7694</v>
      </c>
      <c r="H1152" s="49" t="s">
        <v>4112</v>
      </c>
      <c r="I1152" s="21">
        <v>44.397995621549498</v>
      </c>
      <c r="J1152" s="21">
        <v>-123.641350034013</v>
      </c>
      <c r="K1152" s="177">
        <f>19272*2.59</f>
        <v>49914.479999999996</v>
      </c>
      <c r="L1152" s="204">
        <v>1999</v>
      </c>
      <c r="M1152" s="204">
        <v>2012</v>
      </c>
      <c r="N1152" s="82" t="s">
        <v>2276</v>
      </c>
      <c r="O1152" s="19" t="s">
        <v>67</v>
      </c>
      <c r="P1152" s="19" t="s">
        <v>5187</v>
      </c>
      <c r="Q1152" s="204"/>
    </row>
    <row r="1153" spans="1:17" ht="33.5" customHeight="1">
      <c r="A1153" s="213">
        <v>306</v>
      </c>
      <c r="B1153" s="40" t="s">
        <v>7642</v>
      </c>
      <c r="C1153" s="19" t="s">
        <v>7646</v>
      </c>
      <c r="D1153" s="204" t="s">
        <v>2398</v>
      </c>
      <c r="E1153" s="204" t="s">
        <v>4847</v>
      </c>
      <c r="F1153" s="55" t="s">
        <v>2276</v>
      </c>
      <c r="G1153" s="4" t="s">
        <v>7695</v>
      </c>
      <c r="H1153" s="49" t="s">
        <v>4112</v>
      </c>
      <c r="I1153" s="21">
        <v>40.502439589961597</v>
      </c>
      <c r="J1153" s="21">
        <v>-123.605461937556</v>
      </c>
      <c r="K1153" s="177">
        <f>22017*2.59</f>
        <v>57024.03</v>
      </c>
      <c r="L1153" s="204">
        <v>1999</v>
      </c>
      <c r="M1153" s="204">
        <v>2012</v>
      </c>
      <c r="N1153" s="82" t="s">
        <v>2276</v>
      </c>
      <c r="O1153" s="19" t="s">
        <v>67</v>
      </c>
      <c r="P1153" s="19" t="s">
        <v>5187</v>
      </c>
      <c r="Q1153" s="204"/>
    </row>
    <row r="1154" spans="1:17" ht="33.5" customHeight="1">
      <c r="A1154" s="213">
        <v>306</v>
      </c>
      <c r="B1154" s="40" t="s">
        <v>7642</v>
      </c>
      <c r="C1154" s="19" t="s">
        <v>7647</v>
      </c>
      <c r="D1154" s="204" t="s">
        <v>2398</v>
      </c>
      <c r="E1154" s="204" t="s">
        <v>4847</v>
      </c>
      <c r="F1154" s="55" t="s">
        <v>2276</v>
      </c>
      <c r="G1154" s="4" t="s">
        <v>7696</v>
      </c>
      <c r="H1154" s="49" t="s">
        <v>4112</v>
      </c>
      <c r="I1154" s="21">
        <v>35.639111938700403</v>
      </c>
      <c r="J1154" s="21">
        <v>-120.645239735288</v>
      </c>
      <c r="K1154" s="177">
        <f>37534*2.59</f>
        <v>97213.06</v>
      </c>
      <c r="L1154" s="204">
        <v>1999</v>
      </c>
      <c r="M1154" s="204">
        <v>2012</v>
      </c>
      <c r="N1154" s="82" t="s">
        <v>2276</v>
      </c>
      <c r="O1154" s="19" t="s">
        <v>67</v>
      </c>
      <c r="P1154" s="19" t="s">
        <v>5187</v>
      </c>
      <c r="Q1154" s="204"/>
    </row>
    <row r="1155" spans="1:17" ht="33.5" customHeight="1">
      <c r="A1155" s="213">
        <v>306</v>
      </c>
      <c r="B1155" s="40" t="s">
        <v>7642</v>
      </c>
      <c r="C1155" s="19" t="s">
        <v>7648</v>
      </c>
      <c r="D1155" s="204" t="s">
        <v>2398</v>
      </c>
      <c r="E1155" s="204" t="s">
        <v>4847</v>
      </c>
      <c r="F1155" s="55" t="s">
        <v>2276</v>
      </c>
      <c r="G1155" s="4" t="s">
        <v>7697</v>
      </c>
      <c r="H1155" s="49" t="s">
        <v>4112</v>
      </c>
      <c r="I1155" s="21">
        <v>38.065074395604398</v>
      </c>
      <c r="J1155" s="21">
        <v>-121.371517705549</v>
      </c>
      <c r="K1155" s="177">
        <f>21578*2.59</f>
        <v>55887.02</v>
      </c>
      <c r="L1155" s="204">
        <v>1999</v>
      </c>
      <c r="M1155" s="204">
        <v>2012</v>
      </c>
      <c r="N1155" s="82" t="s">
        <v>2276</v>
      </c>
      <c r="O1155" s="19" t="s">
        <v>67</v>
      </c>
      <c r="P1155" s="19" t="s">
        <v>5187</v>
      </c>
      <c r="Q1155" s="204"/>
    </row>
    <row r="1156" spans="1:17" ht="33.5" customHeight="1">
      <c r="A1156" s="213">
        <v>306</v>
      </c>
      <c r="B1156" s="40" t="s">
        <v>7642</v>
      </c>
      <c r="C1156" s="19" t="s">
        <v>7649</v>
      </c>
      <c r="D1156" s="204" t="s">
        <v>2398</v>
      </c>
      <c r="E1156" s="204" t="s">
        <v>4847</v>
      </c>
      <c r="F1156" s="55" t="s">
        <v>2276</v>
      </c>
      <c r="G1156" s="4" t="s">
        <v>7698</v>
      </c>
      <c r="H1156" s="49" t="s">
        <v>4112</v>
      </c>
      <c r="I1156" s="21">
        <v>38.108652343767197</v>
      </c>
      <c r="J1156" s="21">
        <v>-119.651464632684</v>
      </c>
      <c r="K1156" s="177">
        <f>31844*2.59</f>
        <v>82475.959999999992</v>
      </c>
      <c r="L1156" s="204">
        <v>1999</v>
      </c>
      <c r="M1156" s="204">
        <v>2012</v>
      </c>
      <c r="N1156" s="82" t="s">
        <v>2276</v>
      </c>
      <c r="O1156" s="19" t="s">
        <v>67</v>
      </c>
      <c r="P1156" s="19" t="s">
        <v>5187</v>
      </c>
      <c r="Q1156" s="204"/>
    </row>
    <row r="1157" spans="1:17" ht="33.5" customHeight="1">
      <c r="A1157" s="213">
        <v>306</v>
      </c>
      <c r="B1157" s="40" t="s">
        <v>7642</v>
      </c>
      <c r="C1157" s="19" t="s">
        <v>7650</v>
      </c>
      <c r="D1157" s="204" t="s">
        <v>2398</v>
      </c>
      <c r="E1157" s="204" t="s">
        <v>4847</v>
      </c>
      <c r="F1157" s="55" t="s">
        <v>2276</v>
      </c>
      <c r="G1157" s="4" t="s">
        <v>7699</v>
      </c>
      <c r="H1157" s="49" t="s">
        <v>4112</v>
      </c>
      <c r="I1157" s="21">
        <v>42.580196486606901</v>
      </c>
      <c r="J1157" s="21">
        <v>-121.091545963549</v>
      </c>
      <c r="K1157" s="177">
        <f>36273*2.59</f>
        <v>93947.069999999992</v>
      </c>
      <c r="L1157" s="204">
        <v>1999</v>
      </c>
      <c r="M1157" s="204">
        <v>2012</v>
      </c>
      <c r="N1157" s="82" t="s">
        <v>2276</v>
      </c>
      <c r="O1157" s="19" t="s">
        <v>67</v>
      </c>
      <c r="P1157" s="19" t="s">
        <v>5187</v>
      </c>
      <c r="Q1157" s="204"/>
    </row>
    <row r="1158" spans="1:17" ht="33.5" customHeight="1">
      <c r="A1158" s="213">
        <v>306</v>
      </c>
      <c r="B1158" s="40" t="s">
        <v>7642</v>
      </c>
      <c r="C1158" s="19" t="s">
        <v>7651</v>
      </c>
      <c r="D1158" s="204" t="s">
        <v>2398</v>
      </c>
      <c r="E1158" s="204" t="s">
        <v>4847</v>
      </c>
      <c r="F1158" s="55" t="s">
        <v>2276</v>
      </c>
      <c r="G1158" s="4" t="s">
        <v>7700</v>
      </c>
      <c r="H1158" s="49" t="s">
        <v>4112</v>
      </c>
      <c r="I1158" s="21">
        <v>47.137212913483502</v>
      </c>
      <c r="J1158" s="21">
        <v>-119.12339678678801</v>
      </c>
      <c r="K1158" s="177">
        <f>29672*2.59</f>
        <v>76850.48</v>
      </c>
      <c r="L1158" s="204">
        <v>1999</v>
      </c>
      <c r="M1158" s="204">
        <v>2012</v>
      </c>
      <c r="N1158" s="82" t="s">
        <v>2276</v>
      </c>
      <c r="O1158" s="19" t="s">
        <v>67</v>
      </c>
      <c r="P1158" s="19" t="s">
        <v>5187</v>
      </c>
      <c r="Q1158" s="204"/>
    </row>
    <row r="1159" spans="1:17" ht="33.5" customHeight="1">
      <c r="A1159" s="213">
        <v>306</v>
      </c>
      <c r="B1159" s="40" t="s">
        <v>7642</v>
      </c>
      <c r="C1159" s="19" t="s">
        <v>7652</v>
      </c>
      <c r="D1159" s="204" t="s">
        <v>2398</v>
      </c>
      <c r="E1159" s="204" t="s">
        <v>4847</v>
      </c>
      <c r="F1159" s="55" t="s">
        <v>2276</v>
      </c>
      <c r="G1159" s="4" t="s">
        <v>7701</v>
      </c>
      <c r="H1159" s="49" t="s">
        <v>4112</v>
      </c>
      <c r="I1159" s="21">
        <v>43.131390572728598</v>
      </c>
      <c r="J1159" s="21">
        <v>-119.101839947522</v>
      </c>
      <c r="K1159" s="177">
        <f>56521*2.59</f>
        <v>146389.38999999998</v>
      </c>
      <c r="L1159" s="204">
        <v>1999</v>
      </c>
      <c r="M1159" s="204">
        <v>2012</v>
      </c>
      <c r="N1159" s="82" t="s">
        <v>2276</v>
      </c>
      <c r="O1159" s="19" t="s">
        <v>67</v>
      </c>
      <c r="P1159" s="19" t="s">
        <v>5187</v>
      </c>
      <c r="Q1159" s="204"/>
    </row>
    <row r="1160" spans="1:17" ht="33.5" customHeight="1">
      <c r="A1160" s="213">
        <v>306</v>
      </c>
      <c r="B1160" s="40" t="s">
        <v>7642</v>
      </c>
      <c r="C1160" s="19" t="s">
        <v>7653</v>
      </c>
      <c r="D1160" s="204" t="s">
        <v>2398</v>
      </c>
      <c r="E1160" s="204" t="s">
        <v>4847</v>
      </c>
      <c r="F1160" s="55" t="s">
        <v>2276</v>
      </c>
      <c r="G1160" s="4" t="s">
        <v>7702</v>
      </c>
      <c r="H1160" s="49" t="s">
        <v>4112</v>
      </c>
      <c r="I1160" s="21">
        <v>46.1089151046585</v>
      </c>
      <c r="J1160" s="21">
        <v>-114.849915390029</v>
      </c>
      <c r="K1160" s="177">
        <f>55755*2.59</f>
        <v>144405.44999999998</v>
      </c>
      <c r="L1160" s="204">
        <v>1999</v>
      </c>
      <c r="M1160" s="204">
        <v>2012</v>
      </c>
      <c r="N1160" s="82" t="s">
        <v>2276</v>
      </c>
      <c r="O1160" s="19" t="s">
        <v>67</v>
      </c>
      <c r="P1160" s="19" t="s">
        <v>5187</v>
      </c>
      <c r="Q1160" s="204"/>
    </row>
    <row r="1161" spans="1:17" ht="33.5" customHeight="1">
      <c r="A1161" s="213">
        <v>306</v>
      </c>
      <c r="B1161" s="40" t="s">
        <v>7642</v>
      </c>
      <c r="C1161" s="19" t="s">
        <v>7654</v>
      </c>
      <c r="D1161" s="204" t="s">
        <v>2398</v>
      </c>
      <c r="E1161" s="204" t="s">
        <v>4847</v>
      </c>
      <c r="F1161" s="55" t="s">
        <v>2276</v>
      </c>
      <c r="G1161" s="4" t="s">
        <v>7703</v>
      </c>
      <c r="H1161" s="49" t="s">
        <v>4112</v>
      </c>
      <c r="I1161" s="21">
        <v>39.598703150473803</v>
      </c>
      <c r="J1161" s="21">
        <v>-118.707682193636</v>
      </c>
      <c r="K1161" s="177">
        <f>72390*2.59</f>
        <v>187490.09999999998</v>
      </c>
      <c r="L1161" s="204">
        <v>1999</v>
      </c>
      <c r="M1161" s="204">
        <v>2012</v>
      </c>
      <c r="N1161" s="82" t="s">
        <v>2276</v>
      </c>
      <c r="O1161" s="19" t="s">
        <v>67</v>
      </c>
      <c r="P1161" s="19" t="s">
        <v>5187</v>
      </c>
      <c r="Q1161" s="204"/>
    </row>
    <row r="1162" spans="1:17" ht="33.5" customHeight="1">
      <c r="A1162" s="213">
        <v>306</v>
      </c>
      <c r="B1162" s="40" t="s">
        <v>7642</v>
      </c>
      <c r="C1162" s="19" t="s">
        <v>7655</v>
      </c>
      <c r="D1162" s="204" t="s">
        <v>2398</v>
      </c>
      <c r="E1162" s="204" t="s">
        <v>4847</v>
      </c>
      <c r="F1162" s="55" t="s">
        <v>2276</v>
      </c>
      <c r="G1162" s="4" t="s">
        <v>7704</v>
      </c>
      <c r="H1162" s="49" t="s">
        <v>4112</v>
      </c>
      <c r="I1162" s="21">
        <v>34.778412371848503</v>
      </c>
      <c r="J1162" s="21">
        <v>-116.631018494207</v>
      </c>
      <c r="K1162" s="177">
        <f>54803*2.59</f>
        <v>141939.76999999999</v>
      </c>
      <c r="L1162" s="204">
        <v>1999</v>
      </c>
      <c r="M1162" s="204">
        <v>2012</v>
      </c>
      <c r="N1162" s="82" t="s">
        <v>2276</v>
      </c>
      <c r="O1162" s="19" t="s">
        <v>67</v>
      </c>
      <c r="P1162" s="19" t="s">
        <v>5187</v>
      </c>
      <c r="Q1162" s="204"/>
    </row>
    <row r="1163" spans="1:17" ht="33.5" customHeight="1">
      <c r="A1163" s="213">
        <v>306</v>
      </c>
      <c r="B1163" s="40" t="s">
        <v>7642</v>
      </c>
      <c r="C1163" s="19" t="s">
        <v>7656</v>
      </c>
      <c r="D1163" s="204" t="s">
        <v>2398</v>
      </c>
      <c r="E1163" s="204" t="s">
        <v>4847</v>
      </c>
      <c r="F1163" s="55" t="s">
        <v>2276</v>
      </c>
      <c r="G1163" s="4" t="s">
        <v>7705</v>
      </c>
      <c r="H1163" s="49" t="s">
        <v>4112</v>
      </c>
      <c r="I1163" s="21">
        <v>32.655688180959601</v>
      </c>
      <c r="J1163" s="21">
        <v>-112.56350898674</v>
      </c>
      <c r="K1163" s="177">
        <f>36272.59</f>
        <v>36272.589999999997</v>
      </c>
      <c r="L1163" s="204">
        <v>1999</v>
      </c>
      <c r="M1163" s="204">
        <v>2012</v>
      </c>
      <c r="N1163" s="82" t="s">
        <v>2276</v>
      </c>
      <c r="O1163" s="19" t="s">
        <v>67</v>
      </c>
      <c r="P1163" s="19" t="s">
        <v>5187</v>
      </c>
      <c r="Q1163" s="204"/>
    </row>
    <row r="1164" spans="1:17" ht="33.5" customHeight="1">
      <c r="A1164" s="213">
        <v>306</v>
      </c>
      <c r="B1164" s="40" t="s">
        <v>7642</v>
      </c>
      <c r="C1164" s="19" t="s">
        <v>7657</v>
      </c>
      <c r="D1164" s="204" t="s">
        <v>2398</v>
      </c>
      <c r="E1164" s="204" t="s">
        <v>4847</v>
      </c>
      <c r="F1164" s="55" t="s">
        <v>2276</v>
      </c>
      <c r="G1164" s="4" t="s">
        <v>7706</v>
      </c>
      <c r="H1164" s="49" t="s">
        <v>4112</v>
      </c>
      <c r="I1164" s="21">
        <v>34.304956570755401</v>
      </c>
      <c r="J1164" s="21">
        <v>-110.871419047996</v>
      </c>
      <c r="K1164" s="177">
        <f>41772*2.59</f>
        <v>108189.48</v>
      </c>
      <c r="L1164" s="204">
        <v>1999</v>
      </c>
      <c r="M1164" s="204">
        <v>2012</v>
      </c>
      <c r="N1164" s="82" t="s">
        <v>2276</v>
      </c>
      <c r="O1164" s="19" t="s">
        <v>67</v>
      </c>
      <c r="P1164" s="19" t="s">
        <v>5187</v>
      </c>
      <c r="Q1164" s="204"/>
    </row>
    <row r="1165" spans="1:17" ht="33.5" customHeight="1">
      <c r="A1165" s="213">
        <v>306</v>
      </c>
      <c r="B1165" s="40" t="s">
        <v>7642</v>
      </c>
      <c r="C1165" s="19" t="s">
        <v>7658</v>
      </c>
      <c r="D1165" s="204" t="s">
        <v>2398</v>
      </c>
      <c r="E1165" s="204" t="s">
        <v>4847</v>
      </c>
      <c r="F1165" s="55" t="s">
        <v>2276</v>
      </c>
      <c r="G1165" s="4" t="s">
        <v>7707</v>
      </c>
      <c r="H1165" s="49" t="s">
        <v>4112</v>
      </c>
      <c r="I1165" s="21">
        <v>38.116662745959303</v>
      </c>
      <c r="J1165" s="21">
        <v>-112.022872420586</v>
      </c>
      <c r="K1165" s="177">
        <f>24057*2.59</f>
        <v>62307.63</v>
      </c>
      <c r="L1165" s="204">
        <v>1999</v>
      </c>
      <c r="M1165" s="204">
        <v>2012</v>
      </c>
      <c r="N1165" s="82" t="s">
        <v>2276</v>
      </c>
      <c r="O1165" s="19" t="s">
        <v>67</v>
      </c>
      <c r="P1165" s="19" t="s">
        <v>5187</v>
      </c>
      <c r="Q1165" s="204"/>
    </row>
    <row r="1166" spans="1:17" ht="33.5" customHeight="1">
      <c r="A1166" s="213">
        <v>306</v>
      </c>
      <c r="B1166" s="40" t="s">
        <v>7642</v>
      </c>
      <c r="C1166" s="19" t="s">
        <v>7659</v>
      </c>
      <c r="D1166" s="204" t="s">
        <v>2398</v>
      </c>
      <c r="E1166" s="204" t="s">
        <v>4847</v>
      </c>
      <c r="F1166" s="55" t="s">
        <v>2276</v>
      </c>
      <c r="G1166" s="4" t="s">
        <v>7708</v>
      </c>
      <c r="H1166" s="49" t="s">
        <v>4112</v>
      </c>
      <c r="I1166" s="21">
        <v>38.642097255574001</v>
      </c>
      <c r="J1166" s="21">
        <v>-113.81286692193</v>
      </c>
      <c r="K1166" s="177">
        <f>46910*2.59</f>
        <v>121496.9</v>
      </c>
      <c r="L1166" s="204">
        <v>1999</v>
      </c>
      <c r="M1166" s="204">
        <v>2012</v>
      </c>
      <c r="N1166" s="82" t="s">
        <v>2276</v>
      </c>
      <c r="O1166" s="19" t="s">
        <v>67</v>
      </c>
      <c r="P1166" s="19" t="s">
        <v>5187</v>
      </c>
      <c r="Q1166" s="204"/>
    </row>
    <row r="1167" spans="1:17" ht="33.5" customHeight="1">
      <c r="A1167" s="213">
        <v>306</v>
      </c>
      <c r="B1167" s="40" t="s">
        <v>7642</v>
      </c>
      <c r="C1167" s="19" t="s">
        <v>7660</v>
      </c>
      <c r="D1167" s="204" t="s">
        <v>2398</v>
      </c>
      <c r="E1167" s="204" t="s">
        <v>4847</v>
      </c>
      <c r="F1167" s="55" t="s">
        <v>2276</v>
      </c>
      <c r="G1167" s="4" t="s">
        <v>7709</v>
      </c>
      <c r="H1167" s="49" t="s">
        <v>4112</v>
      </c>
      <c r="I1167" s="21">
        <v>42.851093097746599</v>
      </c>
      <c r="J1167" s="21">
        <v>-113.39894400295999</v>
      </c>
      <c r="K1167" s="177">
        <f>36340*2.59</f>
        <v>94120.599999999991</v>
      </c>
      <c r="L1167" s="204">
        <v>1999</v>
      </c>
      <c r="M1167" s="204">
        <v>2012</v>
      </c>
      <c r="N1167" s="82" t="s">
        <v>2276</v>
      </c>
      <c r="O1167" s="19" t="s">
        <v>67</v>
      </c>
      <c r="P1167" s="19" t="s">
        <v>5187</v>
      </c>
      <c r="Q1167" s="204"/>
    </row>
    <row r="1168" spans="1:17" ht="33.5" customHeight="1">
      <c r="A1168" s="213">
        <v>306</v>
      </c>
      <c r="B1168" s="40" t="s">
        <v>7642</v>
      </c>
      <c r="C1168" s="19" t="s">
        <v>7661</v>
      </c>
      <c r="D1168" s="204" t="s">
        <v>2398</v>
      </c>
      <c r="E1168" s="204" t="s">
        <v>4847</v>
      </c>
      <c r="F1168" s="55" t="s">
        <v>2276</v>
      </c>
      <c r="G1168" s="4" t="s">
        <v>7710</v>
      </c>
      <c r="H1168" s="49" t="s">
        <v>4112</v>
      </c>
      <c r="I1168" s="21">
        <v>47.609854099917698</v>
      </c>
      <c r="J1168" s="21">
        <v>-113.35386703704199</v>
      </c>
      <c r="K1168" s="177">
        <f>41826*2.59</f>
        <v>108329.34</v>
      </c>
      <c r="L1168" s="204">
        <v>1999</v>
      </c>
      <c r="M1168" s="204">
        <v>2012</v>
      </c>
      <c r="N1168" s="82" t="s">
        <v>2276</v>
      </c>
      <c r="O1168" s="19" t="s">
        <v>67</v>
      </c>
      <c r="P1168" s="19" t="s">
        <v>5187</v>
      </c>
      <c r="Q1168" s="204"/>
    </row>
    <row r="1169" spans="1:17" ht="33.5" customHeight="1">
      <c r="A1169" s="213">
        <v>306</v>
      </c>
      <c r="B1169" s="40" t="s">
        <v>7642</v>
      </c>
      <c r="C1169" s="19" t="s">
        <v>7662</v>
      </c>
      <c r="D1169" s="204" t="s">
        <v>2398</v>
      </c>
      <c r="E1169" s="204" t="s">
        <v>4847</v>
      </c>
      <c r="F1169" s="55" t="s">
        <v>2276</v>
      </c>
      <c r="G1169" s="4" t="s">
        <v>7711</v>
      </c>
      <c r="H1169" s="49" t="s">
        <v>4112</v>
      </c>
      <c r="I1169" s="21">
        <v>47.868535860708398</v>
      </c>
      <c r="J1169" s="21">
        <v>-110.44733622938099</v>
      </c>
      <c r="K1169" s="177">
        <f>51769*2.59</f>
        <v>134081.71</v>
      </c>
      <c r="L1169" s="204">
        <v>1999</v>
      </c>
      <c r="M1169" s="204">
        <v>2012</v>
      </c>
      <c r="N1169" s="82" t="s">
        <v>2276</v>
      </c>
      <c r="O1169" s="19" t="s">
        <v>67</v>
      </c>
      <c r="P1169" s="19" t="s">
        <v>5187</v>
      </c>
      <c r="Q1169" s="204"/>
    </row>
    <row r="1170" spans="1:17" ht="33.5" customHeight="1">
      <c r="A1170" s="213">
        <v>306</v>
      </c>
      <c r="B1170" s="40" t="s">
        <v>7642</v>
      </c>
      <c r="C1170" s="19" t="s">
        <v>7663</v>
      </c>
      <c r="D1170" s="204" t="s">
        <v>2398</v>
      </c>
      <c r="E1170" s="204" t="s">
        <v>4847</v>
      </c>
      <c r="F1170" s="55" t="s">
        <v>2276</v>
      </c>
      <c r="G1170" s="4" t="s">
        <v>7712</v>
      </c>
      <c r="H1170" s="49" t="s">
        <v>4112</v>
      </c>
      <c r="I1170" s="21">
        <v>45.852431391876401</v>
      </c>
      <c r="J1170" s="21">
        <v>-112.035966654558</v>
      </c>
      <c r="K1170" s="177">
        <f>28983*2.59</f>
        <v>75065.97</v>
      </c>
      <c r="L1170" s="204">
        <v>1999</v>
      </c>
      <c r="M1170" s="204">
        <v>2012</v>
      </c>
      <c r="N1170" s="82" t="s">
        <v>2276</v>
      </c>
      <c r="O1170" s="19" t="s">
        <v>67</v>
      </c>
      <c r="P1170" s="19" t="s">
        <v>5187</v>
      </c>
      <c r="Q1170" s="204"/>
    </row>
    <row r="1171" spans="1:17" ht="33.5" customHeight="1">
      <c r="A1171" s="213">
        <v>306</v>
      </c>
      <c r="B1171" s="40" t="s">
        <v>7642</v>
      </c>
      <c r="C1171" s="19" t="s">
        <v>7664</v>
      </c>
      <c r="D1171" s="204" t="s">
        <v>2398</v>
      </c>
      <c r="E1171" s="204" t="s">
        <v>4847</v>
      </c>
      <c r="F1171" s="55" t="s">
        <v>2276</v>
      </c>
      <c r="G1171" s="4" t="s">
        <v>7713</v>
      </c>
      <c r="H1171" s="49" t="s">
        <v>4112</v>
      </c>
      <c r="I1171" s="21">
        <v>43.206435650051901</v>
      </c>
      <c r="J1171" s="21">
        <v>-108.169905326551</v>
      </c>
      <c r="K1171" s="177">
        <f>63661*2.59</f>
        <v>164881.99</v>
      </c>
      <c r="L1171" s="204">
        <v>1999</v>
      </c>
      <c r="M1171" s="204">
        <v>2012</v>
      </c>
      <c r="N1171" s="82" t="s">
        <v>2276</v>
      </c>
      <c r="O1171" s="19" t="s">
        <v>67</v>
      </c>
      <c r="P1171" s="19" t="s">
        <v>5187</v>
      </c>
      <c r="Q1171" s="204"/>
    </row>
    <row r="1172" spans="1:17" ht="33.5" customHeight="1">
      <c r="A1172" s="213">
        <v>306</v>
      </c>
      <c r="B1172" s="40" t="s">
        <v>7642</v>
      </c>
      <c r="C1172" s="19" t="s">
        <v>7665</v>
      </c>
      <c r="D1172" s="204" t="s">
        <v>2398</v>
      </c>
      <c r="E1172" s="204" t="s">
        <v>4847</v>
      </c>
      <c r="F1172" s="55" t="s">
        <v>2276</v>
      </c>
      <c r="G1172" s="4" t="s">
        <v>7714</v>
      </c>
      <c r="H1172" s="49" t="s">
        <v>4112</v>
      </c>
      <c r="I1172" s="21">
        <v>37.713571538518302</v>
      </c>
      <c r="J1172" s="21">
        <v>-110.01507313037899</v>
      </c>
      <c r="K1172" s="177">
        <f>47563*2.59</f>
        <v>123188.17</v>
      </c>
      <c r="L1172" s="204">
        <v>1999</v>
      </c>
      <c r="M1172" s="204">
        <v>2012</v>
      </c>
      <c r="N1172" s="82" t="s">
        <v>2276</v>
      </c>
      <c r="O1172" s="19" t="s">
        <v>67</v>
      </c>
      <c r="P1172" s="19" t="s">
        <v>5187</v>
      </c>
      <c r="Q1172" s="204"/>
    </row>
    <row r="1173" spans="1:17" ht="33.5" customHeight="1">
      <c r="A1173" s="213">
        <v>306</v>
      </c>
      <c r="B1173" s="40" t="s">
        <v>7642</v>
      </c>
      <c r="C1173" s="19" t="s">
        <v>7666</v>
      </c>
      <c r="D1173" s="204" t="s">
        <v>2398</v>
      </c>
      <c r="E1173" s="204" t="s">
        <v>4847</v>
      </c>
      <c r="F1173" s="55" t="s">
        <v>2276</v>
      </c>
      <c r="G1173" s="4" t="s">
        <v>7715</v>
      </c>
      <c r="H1173" s="49" t="s">
        <v>4112</v>
      </c>
      <c r="I1173" s="21">
        <v>35.818702662931202</v>
      </c>
      <c r="J1173" s="21">
        <v>-108.083646782667</v>
      </c>
      <c r="K1173" s="177">
        <f>51678*2.59</f>
        <v>133846.01999999999</v>
      </c>
      <c r="L1173" s="204">
        <v>1999</v>
      </c>
      <c r="M1173" s="204">
        <v>2012</v>
      </c>
      <c r="N1173" s="82" t="s">
        <v>2276</v>
      </c>
      <c r="O1173" s="19" t="s">
        <v>67</v>
      </c>
      <c r="P1173" s="19" t="s">
        <v>5187</v>
      </c>
      <c r="Q1173" s="204"/>
    </row>
    <row r="1174" spans="1:17" ht="33.5" customHeight="1">
      <c r="A1174" s="213">
        <v>306</v>
      </c>
      <c r="B1174" s="40" t="s">
        <v>7642</v>
      </c>
      <c r="C1174" s="19" t="s">
        <v>7667</v>
      </c>
      <c r="D1174" s="204" t="s">
        <v>2398</v>
      </c>
      <c r="E1174" s="204" t="s">
        <v>4847</v>
      </c>
      <c r="F1174" s="55" t="s">
        <v>2276</v>
      </c>
      <c r="G1174" s="4" t="s">
        <v>7716</v>
      </c>
      <c r="H1174" s="49" t="s">
        <v>4112</v>
      </c>
      <c r="I1174" s="21">
        <v>33.107345082338703</v>
      </c>
      <c r="J1174" s="21">
        <v>-106.83959031604</v>
      </c>
      <c r="K1174" s="177">
        <f>42492*2.59</f>
        <v>110054.28</v>
      </c>
      <c r="L1174" s="204">
        <v>1999</v>
      </c>
      <c r="M1174" s="204">
        <v>2012</v>
      </c>
      <c r="N1174" s="82" t="s">
        <v>2276</v>
      </c>
      <c r="O1174" s="19" t="s">
        <v>67</v>
      </c>
      <c r="P1174" s="19" t="s">
        <v>5187</v>
      </c>
      <c r="Q1174" s="204"/>
    </row>
    <row r="1175" spans="1:17" ht="33.5" customHeight="1">
      <c r="A1175" s="213">
        <v>306</v>
      </c>
      <c r="B1175" s="40" t="s">
        <v>7642</v>
      </c>
      <c r="C1175" s="19" t="s">
        <v>7668</v>
      </c>
      <c r="D1175" s="204" t="s">
        <v>2398</v>
      </c>
      <c r="E1175" s="204" t="s">
        <v>4847</v>
      </c>
      <c r="F1175" s="55" t="s">
        <v>2276</v>
      </c>
      <c r="G1175" s="4" t="s">
        <v>7717</v>
      </c>
      <c r="H1175" s="49" t="s">
        <v>4112</v>
      </c>
      <c r="I1175" s="21">
        <v>30.989107591917101</v>
      </c>
      <c r="J1175" s="21">
        <v>-103.635016640502</v>
      </c>
      <c r="K1175" s="177">
        <f>58697*2.59</f>
        <v>152025.22999999998</v>
      </c>
      <c r="L1175" s="204">
        <v>1999</v>
      </c>
      <c r="M1175" s="204">
        <v>2012</v>
      </c>
      <c r="N1175" s="82" t="s">
        <v>2276</v>
      </c>
      <c r="O1175" s="19" t="s">
        <v>67</v>
      </c>
      <c r="P1175" s="19" t="s">
        <v>5187</v>
      </c>
      <c r="Q1175" s="204"/>
    </row>
    <row r="1176" spans="1:17" ht="33.5" customHeight="1">
      <c r="A1176" s="213">
        <v>306</v>
      </c>
      <c r="B1176" s="40" t="s">
        <v>7642</v>
      </c>
      <c r="C1176" s="19" t="s">
        <v>7669</v>
      </c>
      <c r="D1176" s="204" t="s">
        <v>2398</v>
      </c>
      <c r="E1176" s="204" t="s">
        <v>4847</v>
      </c>
      <c r="F1176" s="55" t="s">
        <v>2276</v>
      </c>
      <c r="G1176" s="4" t="s">
        <v>7718</v>
      </c>
      <c r="H1176" s="49" t="s">
        <v>4112</v>
      </c>
      <c r="I1176" s="21">
        <v>35.247173149011502</v>
      </c>
      <c r="J1176" s="21">
        <v>-104.18999713305401</v>
      </c>
      <c r="K1176" s="177">
        <f>52755*2.59</f>
        <v>136635.44999999998</v>
      </c>
      <c r="L1176" s="204">
        <v>1999</v>
      </c>
      <c r="M1176" s="204">
        <v>2012</v>
      </c>
      <c r="N1176" s="82" t="s">
        <v>2276</v>
      </c>
      <c r="O1176" s="19" t="s">
        <v>67</v>
      </c>
      <c r="P1176" s="19" t="s">
        <v>5187</v>
      </c>
      <c r="Q1176" s="204"/>
    </row>
    <row r="1177" spans="1:17" ht="33.5" customHeight="1">
      <c r="A1177" s="213">
        <v>306</v>
      </c>
      <c r="B1177" s="40" t="s">
        <v>7642</v>
      </c>
      <c r="C1177" s="19" t="s">
        <v>7670</v>
      </c>
      <c r="D1177" s="204" t="s">
        <v>2398</v>
      </c>
      <c r="E1177" s="204" t="s">
        <v>4847</v>
      </c>
      <c r="F1177" s="55" t="s">
        <v>2276</v>
      </c>
      <c r="G1177" s="4" t="s">
        <v>7719</v>
      </c>
      <c r="H1177" s="49" t="s">
        <v>4112</v>
      </c>
      <c r="I1177" s="21">
        <v>38.9332271398968</v>
      </c>
      <c r="J1177" s="21">
        <v>-106.837067504185</v>
      </c>
      <c r="K1177" s="177">
        <f>53311*2.59</f>
        <v>138075.49</v>
      </c>
      <c r="L1177" s="204">
        <v>1999</v>
      </c>
      <c r="M1177" s="204">
        <v>2012</v>
      </c>
      <c r="N1177" s="82" t="s">
        <v>2276</v>
      </c>
      <c r="O1177" s="19" t="s">
        <v>67</v>
      </c>
      <c r="P1177" s="19" t="s">
        <v>5187</v>
      </c>
      <c r="Q1177" s="204"/>
    </row>
    <row r="1178" spans="1:17" ht="33.5" customHeight="1">
      <c r="A1178" s="213">
        <v>306</v>
      </c>
      <c r="B1178" s="40" t="s">
        <v>7642</v>
      </c>
      <c r="C1178" s="19" t="s">
        <v>7671</v>
      </c>
      <c r="D1178" s="204" t="s">
        <v>2398</v>
      </c>
      <c r="E1178" s="204" t="s">
        <v>4847</v>
      </c>
      <c r="F1178" s="55" t="s">
        <v>2276</v>
      </c>
      <c r="G1178" s="4" t="s">
        <v>7720</v>
      </c>
      <c r="H1178" s="49" t="s">
        <v>4112</v>
      </c>
      <c r="I1178" s="21">
        <v>44.540726286926599</v>
      </c>
      <c r="J1178" s="21">
        <v>-104.44072834635099</v>
      </c>
      <c r="K1178" s="177">
        <f>63661*2.59</f>
        <v>164881.99</v>
      </c>
      <c r="L1178" s="204">
        <v>1999</v>
      </c>
      <c r="M1178" s="204">
        <v>2012</v>
      </c>
      <c r="N1178" s="82" t="s">
        <v>2276</v>
      </c>
      <c r="O1178" s="19" t="s">
        <v>67</v>
      </c>
      <c r="P1178" s="19" t="s">
        <v>5187</v>
      </c>
      <c r="Q1178" s="204"/>
    </row>
    <row r="1179" spans="1:17" ht="33.5" customHeight="1">
      <c r="A1179" s="213">
        <v>306</v>
      </c>
      <c r="B1179" s="40" t="s">
        <v>7642</v>
      </c>
      <c r="C1179" s="19" t="s">
        <v>7672</v>
      </c>
      <c r="D1179" s="204" t="s">
        <v>2398</v>
      </c>
      <c r="E1179" s="204" t="s">
        <v>4847</v>
      </c>
      <c r="F1179" s="55" t="s">
        <v>2276</v>
      </c>
      <c r="G1179" s="4" t="s">
        <v>7721</v>
      </c>
      <c r="H1179" s="49" t="s">
        <v>4112</v>
      </c>
      <c r="I1179" s="21">
        <v>46.671839833881499</v>
      </c>
      <c r="J1179" s="21">
        <v>-102.684632776583</v>
      </c>
      <c r="K1179" s="177">
        <f>54498*2.59</f>
        <v>141149.81999999998</v>
      </c>
      <c r="L1179" s="204">
        <v>1999</v>
      </c>
      <c r="M1179" s="204">
        <v>2012</v>
      </c>
      <c r="N1179" s="82" t="s">
        <v>2276</v>
      </c>
      <c r="O1179" s="19" t="s">
        <v>67</v>
      </c>
      <c r="P1179" s="19" t="s">
        <v>5187</v>
      </c>
      <c r="Q1179" s="204"/>
    </row>
    <row r="1180" spans="1:17" ht="33.5" customHeight="1">
      <c r="A1180" s="213">
        <v>306</v>
      </c>
      <c r="B1180" s="40" t="s">
        <v>7642</v>
      </c>
      <c r="C1180" s="19" t="s">
        <v>7673</v>
      </c>
      <c r="D1180" s="204" t="s">
        <v>2398</v>
      </c>
      <c r="E1180" s="204" t="s">
        <v>4847</v>
      </c>
      <c r="F1180" s="55" t="s">
        <v>2276</v>
      </c>
      <c r="G1180" s="4" t="s">
        <v>7722</v>
      </c>
      <c r="H1180" s="49" t="s">
        <v>4112</v>
      </c>
      <c r="I1180" s="21">
        <v>43.625167760556103</v>
      </c>
      <c r="J1180" s="21">
        <v>-101.60632953459</v>
      </c>
      <c r="K1180" s="177">
        <f>59130*2.59</f>
        <v>153146.69999999998</v>
      </c>
      <c r="L1180" s="204">
        <v>1999</v>
      </c>
      <c r="M1180" s="204">
        <v>2012</v>
      </c>
      <c r="N1180" s="82" t="s">
        <v>2276</v>
      </c>
      <c r="O1180" s="19" t="s">
        <v>67</v>
      </c>
      <c r="P1180" s="19" t="s">
        <v>5187</v>
      </c>
      <c r="Q1180" s="204"/>
    </row>
    <row r="1181" spans="1:17" ht="33.5" customHeight="1">
      <c r="A1181" s="213">
        <v>306</v>
      </c>
      <c r="B1181" s="40" t="s">
        <v>7642</v>
      </c>
      <c r="C1181" s="19" t="s">
        <v>7593</v>
      </c>
      <c r="D1181" s="204" t="s">
        <v>2398</v>
      </c>
      <c r="E1181" s="204" t="s">
        <v>4847</v>
      </c>
      <c r="F1181" s="55" t="s">
        <v>2276</v>
      </c>
      <c r="G1181" s="4" t="s">
        <v>7723</v>
      </c>
      <c r="H1181" s="49" t="s">
        <v>4112</v>
      </c>
      <c r="I1181" s="21">
        <v>39.9925754</v>
      </c>
      <c r="J1181" s="21">
        <v>-99.766092</v>
      </c>
      <c r="K1181" s="177">
        <f>61107*2.59</f>
        <v>158267.13</v>
      </c>
      <c r="L1181" s="204">
        <v>1999</v>
      </c>
      <c r="M1181" s="204">
        <v>2012</v>
      </c>
      <c r="N1181" s="82" t="s">
        <v>2276</v>
      </c>
      <c r="O1181" s="19" t="s">
        <v>67</v>
      </c>
      <c r="P1181" s="19" t="s">
        <v>5187</v>
      </c>
      <c r="Q1181" s="204"/>
    </row>
    <row r="1182" spans="1:17" ht="33.5" customHeight="1">
      <c r="A1182" s="213">
        <v>306</v>
      </c>
      <c r="B1182" s="40" t="s">
        <v>7642</v>
      </c>
      <c r="C1182" s="19" t="s">
        <v>7614</v>
      </c>
      <c r="D1182" s="204" t="s">
        <v>2398</v>
      </c>
      <c r="E1182" s="204" t="s">
        <v>4847</v>
      </c>
      <c r="F1182" s="55" t="s">
        <v>2276</v>
      </c>
      <c r="G1182" s="4" t="s">
        <v>7724</v>
      </c>
      <c r="H1182" s="49" t="s">
        <v>4112</v>
      </c>
      <c r="I1182" s="21">
        <v>42.205696818515001</v>
      </c>
      <c r="J1182" s="21">
        <v>-103.325854285636</v>
      </c>
      <c r="K1182" s="177">
        <f>59537*2.59</f>
        <v>154200.82999999999</v>
      </c>
      <c r="L1182" s="204">
        <v>1999</v>
      </c>
      <c r="M1182" s="204">
        <v>2012</v>
      </c>
      <c r="N1182" s="82" t="s">
        <v>2276</v>
      </c>
      <c r="O1182" s="19" t="s">
        <v>67</v>
      </c>
      <c r="P1182" s="19" t="s">
        <v>5187</v>
      </c>
      <c r="Q1182" s="204"/>
    </row>
    <row r="1183" spans="1:17" ht="33.5" customHeight="1">
      <c r="A1183" s="213">
        <v>306</v>
      </c>
      <c r="B1183" s="40" t="s">
        <v>7642</v>
      </c>
      <c r="C1183" s="19" t="s">
        <v>7674</v>
      </c>
      <c r="D1183" s="204" t="s">
        <v>2398</v>
      </c>
      <c r="E1183" s="204" t="s">
        <v>4847</v>
      </c>
      <c r="F1183" s="55" t="s">
        <v>2276</v>
      </c>
      <c r="G1183" s="4" t="s">
        <v>7725</v>
      </c>
      <c r="H1183" s="49" t="s">
        <v>4112</v>
      </c>
      <c r="I1183" s="21">
        <v>37.284089343177598</v>
      </c>
      <c r="J1183" s="21">
        <v>-102.08163027409699</v>
      </c>
      <c r="K1183" s="177">
        <f>68161*2.59</f>
        <v>176536.99</v>
      </c>
      <c r="L1183" s="204">
        <v>1999</v>
      </c>
      <c r="M1183" s="204">
        <v>2012</v>
      </c>
      <c r="N1183" s="82" t="s">
        <v>2276</v>
      </c>
      <c r="O1183" s="19" t="s">
        <v>67</v>
      </c>
      <c r="P1183" s="19" t="s">
        <v>5187</v>
      </c>
      <c r="Q1183" s="204"/>
    </row>
    <row r="1184" spans="1:17" ht="33.5" customHeight="1">
      <c r="A1184" s="213">
        <v>306</v>
      </c>
      <c r="B1184" s="40" t="s">
        <v>7642</v>
      </c>
      <c r="C1184" s="19" t="s">
        <v>7675</v>
      </c>
      <c r="D1184" s="204" t="s">
        <v>2398</v>
      </c>
      <c r="E1184" s="204" t="s">
        <v>4847</v>
      </c>
      <c r="F1184" s="55" t="s">
        <v>2276</v>
      </c>
      <c r="G1184" s="4" t="s">
        <v>7726</v>
      </c>
      <c r="H1184" s="49" t="s">
        <v>4112</v>
      </c>
      <c r="I1184" s="21">
        <v>32.855131508091098</v>
      </c>
      <c r="J1184" s="21">
        <v>-99.620925031185294</v>
      </c>
      <c r="K1184" s="177">
        <f>61986*2.59</f>
        <v>160543.74</v>
      </c>
      <c r="L1184" s="204">
        <v>1999</v>
      </c>
      <c r="M1184" s="204">
        <v>2012</v>
      </c>
      <c r="N1184" s="82" t="s">
        <v>2276</v>
      </c>
      <c r="O1184" s="19" t="s">
        <v>67</v>
      </c>
      <c r="P1184" s="19" t="s">
        <v>5187</v>
      </c>
      <c r="Q1184" s="204"/>
    </row>
    <row r="1185" spans="1:17" ht="33.5" customHeight="1">
      <c r="A1185" s="213">
        <v>306</v>
      </c>
      <c r="B1185" s="40" t="s">
        <v>7642</v>
      </c>
      <c r="C1185" s="19" t="s">
        <v>7676</v>
      </c>
      <c r="D1185" s="204" t="s">
        <v>2398</v>
      </c>
      <c r="E1185" s="204" t="s">
        <v>4847</v>
      </c>
      <c r="F1185" s="55" t="s">
        <v>2276</v>
      </c>
      <c r="G1185" s="4" t="s">
        <v>7727</v>
      </c>
      <c r="H1185" s="19" t="s">
        <v>4112</v>
      </c>
      <c r="I1185" s="21">
        <v>28.824622636610201</v>
      </c>
      <c r="J1185" s="21">
        <v>-98.428523414803294</v>
      </c>
      <c r="K1185" s="177">
        <f>55188*2.59</f>
        <v>142936.91999999998</v>
      </c>
      <c r="L1185" s="204">
        <v>1999</v>
      </c>
      <c r="M1185" s="204">
        <v>2012</v>
      </c>
      <c r="N1185" s="82" t="s">
        <v>2276</v>
      </c>
      <c r="O1185" s="19" t="s">
        <v>67</v>
      </c>
      <c r="P1185" s="19" t="s">
        <v>5187</v>
      </c>
      <c r="Q1185" s="204"/>
    </row>
    <row r="1186" spans="1:17" ht="33.5" customHeight="1">
      <c r="A1186" s="213">
        <v>306</v>
      </c>
      <c r="B1186" s="40" t="s">
        <v>7642</v>
      </c>
      <c r="C1186" s="19" t="s">
        <v>7677</v>
      </c>
      <c r="D1186" s="204" t="s">
        <v>2398</v>
      </c>
      <c r="E1186" s="204" t="s">
        <v>4847</v>
      </c>
      <c r="F1186" s="55" t="s">
        <v>2276</v>
      </c>
      <c r="G1186" s="4" t="s">
        <v>7728</v>
      </c>
      <c r="H1186" s="19" t="s">
        <v>4112</v>
      </c>
      <c r="I1186" s="21">
        <v>31.163752012795001</v>
      </c>
      <c r="J1186" s="21">
        <v>-93.276679100962198</v>
      </c>
      <c r="K1186" s="177">
        <f>66683*2.59</f>
        <v>172708.97</v>
      </c>
      <c r="L1186" s="204">
        <v>1999</v>
      </c>
      <c r="M1186" s="204">
        <v>2012</v>
      </c>
      <c r="N1186" s="82" t="s">
        <v>2276</v>
      </c>
      <c r="O1186" s="19" t="s">
        <v>67</v>
      </c>
      <c r="P1186" s="19" t="s">
        <v>5187</v>
      </c>
      <c r="Q1186" s="204"/>
    </row>
    <row r="1187" spans="1:17" ht="33.5" customHeight="1">
      <c r="A1187" s="213">
        <v>306</v>
      </c>
      <c r="B1187" s="40" t="s">
        <v>7642</v>
      </c>
      <c r="C1187" s="19" t="s">
        <v>7678</v>
      </c>
      <c r="D1187" s="204" t="s">
        <v>2398</v>
      </c>
      <c r="E1187" s="204" t="s">
        <v>4847</v>
      </c>
      <c r="F1187" s="55" t="s">
        <v>2276</v>
      </c>
      <c r="G1187" s="4" t="s">
        <v>7729</v>
      </c>
      <c r="H1187" s="19" t="s">
        <v>4112</v>
      </c>
      <c r="I1187" s="21">
        <v>42.187305416271798</v>
      </c>
      <c r="J1187" s="21">
        <v>-99.304241951448404</v>
      </c>
      <c r="K1187" s="177">
        <f>73609*2.59</f>
        <v>190647.31</v>
      </c>
      <c r="L1187" s="204">
        <v>1999</v>
      </c>
      <c r="M1187" s="204">
        <v>2012</v>
      </c>
      <c r="N1187" s="82" t="s">
        <v>2276</v>
      </c>
      <c r="O1187" s="19" t="s">
        <v>67</v>
      </c>
      <c r="P1187" s="19" t="s">
        <v>5187</v>
      </c>
      <c r="Q1187" s="204"/>
    </row>
    <row r="1188" spans="1:17" ht="33.5" customHeight="1">
      <c r="A1188" s="213">
        <v>306</v>
      </c>
      <c r="B1188" s="40" t="s">
        <v>7642</v>
      </c>
      <c r="C1188" s="19" t="s">
        <v>7679</v>
      </c>
      <c r="D1188" s="204" t="s">
        <v>2398</v>
      </c>
      <c r="E1188" s="204" t="s">
        <v>4847</v>
      </c>
      <c r="F1188" s="55" t="s">
        <v>2276</v>
      </c>
      <c r="G1188" s="4" t="s">
        <v>7730</v>
      </c>
      <c r="H1188" s="19" t="s">
        <v>4112</v>
      </c>
      <c r="I1188" s="21">
        <v>44.533791593375298</v>
      </c>
      <c r="J1188" s="21">
        <v>-98.314577308112504</v>
      </c>
      <c r="K1188" s="177">
        <f>61354*2.59</f>
        <v>158906.85999999999</v>
      </c>
      <c r="L1188" s="204">
        <v>1999</v>
      </c>
      <c r="M1188" s="204">
        <v>2012</v>
      </c>
      <c r="N1188" s="82" t="s">
        <v>2276</v>
      </c>
      <c r="O1188" s="19" t="s">
        <v>67</v>
      </c>
      <c r="P1188" s="19" t="s">
        <v>5187</v>
      </c>
      <c r="Q1188" s="204"/>
    </row>
    <row r="1189" spans="1:17" ht="33.5" customHeight="1">
      <c r="A1189" s="213">
        <v>306</v>
      </c>
      <c r="B1189" s="40" t="s">
        <v>7642</v>
      </c>
      <c r="C1189" s="19" t="s">
        <v>7680</v>
      </c>
      <c r="D1189" s="204" t="s">
        <v>2398</v>
      </c>
      <c r="E1189" s="204" t="s">
        <v>4847</v>
      </c>
      <c r="F1189" s="55" t="s">
        <v>2276</v>
      </c>
      <c r="G1189" s="4" t="s">
        <v>7731</v>
      </c>
      <c r="H1189" s="19" t="s">
        <v>4112</v>
      </c>
      <c r="I1189" s="21">
        <v>46.671839833881499</v>
      </c>
      <c r="J1189" s="21">
        <v>-102.684632776583</v>
      </c>
      <c r="K1189" s="177">
        <f>49627*2.59</f>
        <v>128533.93</v>
      </c>
      <c r="L1189" s="204">
        <v>1999</v>
      </c>
      <c r="M1189" s="204">
        <v>2012</v>
      </c>
      <c r="N1189" s="82" t="s">
        <v>2276</v>
      </c>
      <c r="O1189" s="19" t="s">
        <v>67</v>
      </c>
      <c r="P1189" s="19" t="s">
        <v>5187</v>
      </c>
      <c r="Q1189" s="204"/>
    </row>
    <row r="1190" spans="1:17" ht="33.5" customHeight="1">
      <c r="A1190" s="213">
        <v>306</v>
      </c>
      <c r="B1190" s="40" t="s">
        <v>7642</v>
      </c>
      <c r="C1190" s="19" t="s">
        <v>7681</v>
      </c>
      <c r="D1190" s="204" t="s">
        <v>2398</v>
      </c>
      <c r="E1190" s="204" t="s">
        <v>4847</v>
      </c>
      <c r="F1190" s="55" t="s">
        <v>2276</v>
      </c>
      <c r="G1190" s="4" t="s">
        <v>7732</v>
      </c>
      <c r="H1190" s="19" t="s">
        <v>4112</v>
      </c>
      <c r="I1190" s="21">
        <v>47.220488584149997</v>
      </c>
      <c r="J1190" s="21">
        <v>-93.839292376980396</v>
      </c>
      <c r="K1190" s="177">
        <f>67110*2.59</f>
        <v>173814.9</v>
      </c>
      <c r="L1190" s="204">
        <v>1999</v>
      </c>
      <c r="M1190" s="204">
        <v>2012</v>
      </c>
      <c r="N1190" s="82" t="s">
        <v>2276</v>
      </c>
      <c r="O1190" s="19" t="s">
        <v>67</v>
      </c>
      <c r="P1190" s="19" t="s">
        <v>5187</v>
      </c>
      <c r="Q1190" s="204"/>
    </row>
    <row r="1191" spans="1:17" ht="33.5" customHeight="1">
      <c r="A1191" s="213">
        <v>306</v>
      </c>
      <c r="B1191" s="40" t="s">
        <v>7642</v>
      </c>
      <c r="C1191" s="19" t="s">
        <v>7682</v>
      </c>
      <c r="D1191" s="204" t="s">
        <v>2398</v>
      </c>
      <c r="E1191" s="204" t="s">
        <v>4847</v>
      </c>
      <c r="F1191" s="55" t="s">
        <v>2276</v>
      </c>
      <c r="G1191" s="4" t="s">
        <v>7733</v>
      </c>
      <c r="H1191" s="19" t="s">
        <v>4112</v>
      </c>
      <c r="I1191" s="21">
        <v>44.360199600110299</v>
      </c>
      <c r="J1191" s="21">
        <v>-94.420444631741702</v>
      </c>
      <c r="K1191" s="177">
        <f>50668*2.59</f>
        <v>131230.12</v>
      </c>
      <c r="L1191" s="204">
        <v>1999</v>
      </c>
      <c r="M1191" s="204">
        <v>2012</v>
      </c>
      <c r="N1191" s="82" t="s">
        <v>2276</v>
      </c>
      <c r="O1191" s="19" t="s">
        <v>67</v>
      </c>
      <c r="P1191" s="19" t="s">
        <v>5187</v>
      </c>
      <c r="Q1191" s="204"/>
    </row>
    <row r="1192" spans="1:17" ht="33.5" customHeight="1">
      <c r="A1192" s="213">
        <v>306</v>
      </c>
      <c r="B1192" s="40" t="s">
        <v>7642</v>
      </c>
      <c r="C1192" s="19" t="s">
        <v>7683</v>
      </c>
      <c r="D1192" s="204" t="s">
        <v>2398</v>
      </c>
      <c r="E1192" s="204" t="s">
        <v>4847</v>
      </c>
      <c r="F1192" s="55" t="s">
        <v>2276</v>
      </c>
      <c r="G1192" s="4" t="s">
        <v>7734</v>
      </c>
      <c r="H1192" s="19" t="s">
        <v>4112</v>
      </c>
      <c r="I1192" s="21">
        <v>42.284887811369003</v>
      </c>
      <c r="J1192" s="21">
        <v>-95.161682605095294</v>
      </c>
      <c r="K1192" s="177">
        <f>54629*2.59</f>
        <v>141489.10999999999</v>
      </c>
      <c r="L1192" s="204">
        <v>1999</v>
      </c>
      <c r="M1192" s="204">
        <v>2012</v>
      </c>
      <c r="N1192" s="82" t="s">
        <v>2276</v>
      </c>
      <c r="O1192" s="19" t="s">
        <v>67</v>
      </c>
      <c r="P1192" s="19" t="s">
        <v>5187</v>
      </c>
      <c r="Q1192" s="204"/>
    </row>
    <row r="1193" spans="1:17" ht="33.5" customHeight="1">
      <c r="A1193" s="213">
        <v>306</v>
      </c>
      <c r="B1193" s="40" t="s">
        <v>7642</v>
      </c>
      <c r="C1193" s="19" t="s">
        <v>7684</v>
      </c>
      <c r="D1193" s="204" t="s">
        <v>2398</v>
      </c>
      <c r="E1193" s="204" t="s">
        <v>4847</v>
      </c>
      <c r="F1193" s="55" t="s">
        <v>2276</v>
      </c>
      <c r="G1193" s="4" t="s">
        <v>7735</v>
      </c>
      <c r="H1193" s="19" t="s">
        <v>4112</v>
      </c>
      <c r="I1193" s="21">
        <v>38.003177753884998</v>
      </c>
      <c r="J1193" s="21">
        <v>-93.010125455351798</v>
      </c>
      <c r="K1193" s="177">
        <f>78784*2.59</f>
        <v>204050.56</v>
      </c>
      <c r="L1193" s="204">
        <v>1999</v>
      </c>
      <c r="M1193" s="204">
        <v>2012</v>
      </c>
      <c r="N1193" s="82" t="s">
        <v>2276</v>
      </c>
      <c r="O1193" s="19" t="s">
        <v>67</v>
      </c>
      <c r="P1193" s="19" t="s">
        <v>5187</v>
      </c>
      <c r="Q1193" s="204"/>
    </row>
    <row r="1194" spans="1:17" ht="33.5" customHeight="1">
      <c r="A1194" s="213">
        <v>306</v>
      </c>
      <c r="B1194" s="40" t="s">
        <v>7642</v>
      </c>
      <c r="C1194" s="19" t="s">
        <v>7685</v>
      </c>
      <c r="D1194" s="204" t="s">
        <v>2398</v>
      </c>
      <c r="E1194" s="204" t="s">
        <v>4847</v>
      </c>
      <c r="F1194" s="55" t="s">
        <v>2276</v>
      </c>
      <c r="G1194" s="4" t="s">
        <v>7736</v>
      </c>
      <c r="H1194" s="19" t="s">
        <v>4112</v>
      </c>
      <c r="I1194" s="21">
        <v>36.049821159957503</v>
      </c>
      <c r="J1194" s="21">
        <v>-90.223916009599193</v>
      </c>
      <c r="K1194" s="177">
        <f>31986*2.59</f>
        <v>82843.739999999991</v>
      </c>
      <c r="L1194" s="204">
        <v>1999</v>
      </c>
      <c r="M1194" s="204">
        <v>2012</v>
      </c>
      <c r="N1194" s="82" t="s">
        <v>2276</v>
      </c>
      <c r="O1194" s="19" t="s">
        <v>67</v>
      </c>
      <c r="P1194" s="19" t="s">
        <v>5187</v>
      </c>
      <c r="Q1194" s="204"/>
    </row>
    <row r="1195" spans="1:17" ht="33.5" customHeight="1">
      <c r="A1195" s="213">
        <v>306</v>
      </c>
      <c r="B1195" s="40" t="s">
        <v>7642</v>
      </c>
      <c r="C1195" s="19" t="s">
        <v>7686</v>
      </c>
      <c r="D1195" s="204" t="s">
        <v>2398</v>
      </c>
      <c r="E1195" s="204" t="s">
        <v>4847</v>
      </c>
      <c r="F1195" s="55" t="s">
        <v>2276</v>
      </c>
      <c r="G1195" s="4" t="s">
        <v>7737</v>
      </c>
      <c r="H1195" s="19" t="s">
        <v>4112</v>
      </c>
      <c r="I1195" s="21">
        <v>35.057128011129301</v>
      </c>
      <c r="J1195" s="21">
        <v>-86.979701945874993</v>
      </c>
      <c r="K1195" s="177">
        <f>49731*2.59</f>
        <v>128803.29</v>
      </c>
      <c r="L1195" s="204">
        <v>1999</v>
      </c>
      <c r="M1195" s="204">
        <v>2012</v>
      </c>
      <c r="N1195" s="82" t="s">
        <v>2276</v>
      </c>
      <c r="O1195" s="19" t="s">
        <v>67</v>
      </c>
      <c r="P1195" s="19" t="s">
        <v>5187</v>
      </c>
      <c r="Q1195" s="204"/>
    </row>
    <row r="1196" spans="1:17" ht="33.5" customHeight="1">
      <c r="A1196" s="213">
        <v>306</v>
      </c>
      <c r="B1196" s="40" t="s">
        <v>7642</v>
      </c>
      <c r="C1196" s="19" t="s">
        <v>7687</v>
      </c>
      <c r="D1196" s="204" t="s">
        <v>2398</v>
      </c>
      <c r="E1196" s="204" t="s">
        <v>4847</v>
      </c>
      <c r="F1196" s="55" t="s">
        <v>2276</v>
      </c>
      <c r="G1196" s="4" t="s">
        <v>7738</v>
      </c>
      <c r="H1196" s="19" t="s">
        <v>4112</v>
      </c>
      <c r="I1196" s="21">
        <v>37.666463615541602</v>
      </c>
      <c r="J1196" s="21">
        <v>-86.373834783277402</v>
      </c>
      <c r="K1196" s="177">
        <f>56603*2.59</f>
        <v>146601.76999999999</v>
      </c>
      <c r="L1196" s="204">
        <v>1999</v>
      </c>
      <c r="M1196" s="204">
        <v>2012</v>
      </c>
      <c r="N1196" s="82" t="s">
        <v>2276</v>
      </c>
      <c r="O1196" s="19" t="s">
        <v>67</v>
      </c>
      <c r="P1196" s="19" t="s">
        <v>5187</v>
      </c>
      <c r="Q1196" s="204"/>
    </row>
    <row r="1197" spans="1:17" ht="33.5" customHeight="1">
      <c r="A1197" s="213">
        <v>306</v>
      </c>
      <c r="B1197" s="40" t="s">
        <v>7642</v>
      </c>
      <c r="C1197" s="19" t="s">
        <v>7688</v>
      </c>
      <c r="D1197" s="204" t="s">
        <v>2398</v>
      </c>
      <c r="E1197" s="204" t="s">
        <v>4847</v>
      </c>
      <c r="F1197" s="55" t="s">
        <v>2276</v>
      </c>
      <c r="G1197" s="4" t="s">
        <v>7739</v>
      </c>
      <c r="H1197" s="19" t="s">
        <v>4112</v>
      </c>
      <c r="I1197" s="21">
        <v>36.044827473319401</v>
      </c>
      <c r="J1197" s="21">
        <v>-84.545718817056795</v>
      </c>
      <c r="K1197" s="177">
        <f>30630*2.59</f>
        <v>79331.7</v>
      </c>
      <c r="L1197" s="204">
        <v>1999</v>
      </c>
      <c r="M1197" s="204">
        <v>2012</v>
      </c>
      <c r="N1197" s="82" t="s">
        <v>2276</v>
      </c>
      <c r="O1197" s="19" t="s">
        <v>67</v>
      </c>
      <c r="P1197" s="19" t="s">
        <v>5187</v>
      </c>
      <c r="Q1197" s="204"/>
    </row>
    <row r="1198" spans="1:17" ht="33.5" customHeight="1">
      <c r="A1198" s="213">
        <v>306</v>
      </c>
      <c r="B1198" s="40" t="s">
        <v>7642</v>
      </c>
      <c r="C1198" s="19" t="s">
        <v>7689</v>
      </c>
      <c r="D1198" s="204" t="s">
        <v>2398</v>
      </c>
      <c r="E1198" s="204" t="s">
        <v>4847</v>
      </c>
      <c r="F1198" s="55" t="s">
        <v>2276</v>
      </c>
      <c r="G1198" s="4" t="s">
        <v>7740</v>
      </c>
      <c r="H1198" s="19" t="s">
        <v>4112</v>
      </c>
      <c r="I1198" s="21">
        <v>39.459519709421897</v>
      </c>
      <c r="J1198" s="21">
        <v>-88.857692444792804</v>
      </c>
      <c r="K1198" s="177">
        <f>63717*2.59</f>
        <v>165027.03</v>
      </c>
      <c r="L1198" s="204">
        <v>1999</v>
      </c>
      <c r="M1198" s="204">
        <v>2012</v>
      </c>
      <c r="N1198" s="82" t="s">
        <v>2276</v>
      </c>
      <c r="O1198" s="19" t="s">
        <v>67</v>
      </c>
      <c r="P1198" s="19" t="s">
        <v>5187</v>
      </c>
      <c r="Q1198" s="204"/>
    </row>
    <row r="1199" spans="1:17" ht="33.5" customHeight="1">
      <c r="A1199" s="213">
        <v>306</v>
      </c>
      <c r="B1199" s="40" t="s">
        <v>7642</v>
      </c>
      <c r="C1199" s="19" t="s">
        <v>7690</v>
      </c>
      <c r="D1199" s="204" t="s">
        <v>2398</v>
      </c>
      <c r="E1199" s="204" t="s">
        <v>4847</v>
      </c>
      <c r="F1199" s="55" t="s">
        <v>2276</v>
      </c>
      <c r="G1199" s="4" t="s">
        <v>7741</v>
      </c>
      <c r="H1199" s="19" t="s">
        <v>4112</v>
      </c>
      <c r="I1199" s="21">
        <v>43.311559075366397</v>
      </c>
      <c r="J1199" s="21">
        <v>-88.998633579664499</v>
      </c>
      <c r="K1199" s="177">
        <f>54569*2.59</f>
        <v>141333.71</v>
      </c>
      <c r="L1199" s="204">
        <v>1999</v>
      </c>
      <c r="M1199" s="204">
        <v>2012</v>
      </c>
      <c r="N1199" s="82" t="s">
        <v>2276</v>
      </c>
      <c r="O1199" s="19" t="s">
        <v>67</v>
      </c>
      <c r="P1199" s="19" t="s">
        <v>5187</v>
      </c>
      <c r="Q1199" s="204"/>
    </row>
    <row r="1200" spans="1:17" ht="33.5" customHeight="1">
      <c r="A1200" s="213">
        <v>306</v>
      </c>
      <c r="B1200" s="40" t="s">
        <v>7642</v>
      </c>
      <c r="C1200" s="19" t="s">
        <v>7691</v>
      </c>
      <c r="D1200" s="204" t="s">
        <v>2398</v>
      </c>
      <c r="E1200" s="204" t="s">
        <v>4847</v>
      </c>
      <c r="F1200" s="55" t="s">
        <v>2276</v>
      </c>
      <c r="G1200" s="4" t="s">
        <v>7742</v>
      </c>
      <c r="H1200" s="19" t="s">
        <v>4112</v>
      </c>
      <c r="I1200" s="21">
        <v>43.450687997823501</v>
      </c>
      <c r="J1200" s="21">
        <v>-84.906601542547705</v>
      </c>
      <c r="K1200" s="177">
        <f>94488*2.59</f>
        <v>244723.91999999998</v>
      </c>
      <c r="L1200" s="204">
        <v>1999</v>
      </c>
      <c r="M1200" s="204">
        <v>2012</v>
      </c>
      <c r="N1200" s="82" t="s">
        <v>2276</v>
      </c>
      <c r="O1200" s="19" t="s">
        <v>67</v>
      </c>
      <c r="P1200" s="19" t="s">
        <v>5187</v>
      </c>
      <c r="Q1200" s="204"/>
    </row>
    <row r="1201" spans="1:17" ht="33.5" customHeight="1">
      <c r="A1201" s="213">
        <v>306</v>
      </c>
      <c r="B1201" s="40" t="s">
        <v>7642</v>
      </c>
      <c r="C1201" s="19" t="s">
        <v>7692</v>
      </c>
      <c r="D1201" s="204" t="s">
        <v>2398</v>
      </c>
      <c r="E1201" s="204" t="s">
        <v>4847</v>
      </c>
      <c r="F1201" s="55" t="s">
        <v>2276</v>
      </c>
      <c r="G1201" s="4" t="s">
        <v>7743</v>
      </c>
      <c r="H1201" s="19" t="s">
        <v>4112</v>
      </c>
      <c r="I1201" s="21">
        <v>41.147854922698897</v>
      </c>
      <c r="J1201" s="21">
        <v>-85.320788018156804</v>
      </c>
      <c r="K1201" s="177">
        <f>33581*2.59</f>
        <v>86974.79</v>
      </c>
      <c r="L1201" s="204">
        <v>1999</v>
      </c>
      <c r="M1201" s="204">
        <v>2012</v>
      </c>
      <c r="N1201" s="82" t="s">
        <v>2276</v>
      </c>
      <c r="O1201" s="19" t="s">
        <v>67</v>
      </c>
      <c r="P1201" s="19" t="s">
        <v>5187</v>
      </c>
      <c r="Q1201" s="204"/>
    </row>
    <row r="1202" spans="1:17" ht="33.5" customHeight="1">
      <c r="A1202" s="213">
        <v>306</v>
      </c>
      <c r="B1202" s="40" t="s">
        <v>7642</v>
      </c>
      <c r="C1202" s="19" t="s">
        <v>7760</v>
      </c>
      <c r="D1202" s="204" t="s">
        <v>2398</v>
      </c>
      <c r="E1202" s="204" t="s">
        <v>4847</v>
      </c>
      <c r="F1202" s="55" t="s">
        <v>2276</v>
      </c>
      <c r="G1202" s="19" t="s">
        <v>7744</v>
      </c>
      <c r="H1202" s="19" t="s">
        <v>4112</v>
      </c>
      <c r="I1202" s="21">
        <v>38.445142935993097</v>
      </c>
      <c r="J1202" s="21">
        <v>-82.620243787525496</v>
      </c>
      <c r="K1202" s="177">
        <f>30636*2.59</f>
        <v>79347.239999999991</v>
      </c>
      <c r="L1202" s="204">
        <v>1999</v>
      </c>
      <c r="M1202" s="204">
        <v>2012</v>
      </c>
      <c r="N1202" s="82" t="s">
        <v>2276</v>
      </c>
      <c r="O1202" s="19" t="s">
        <v>67</v>
      </c>
      <c r="P1202" s="19" t="s">
        <v>5187</v>
      </c>
      <c r="Q1202" s="204"/>
    </row>
    <row r="1203" spans="1:17" ht="33.5" customHeight="1">
      <c r="A1203" s="213">
        <v>306</v>
      </c>
      <c r="B1203" s="40" t="s">
        <v>7642</v>
      </c>
      <c r="C1203" s="19" t="s">
        <v>7761</v>
      </c>
      <c r="D1203" s="204" t="s">
        <v>2398</v>
      </c>
      <c r="E1203" s="204" t="s">
        <v>4847</v>
      </c>
      <c r="F1203" s="55" t="s">
        <v>2276</v>
      </c>
      <c r="G1203" s="19" t="s">
        <v>7745</v>
      </c>
      <c r="H1203" s="19" t="s">
        <v>4112</v>
      </c>
      <c r="I1203" s="21">
        <v>31.7116845524944</v>
      </c>
      <c r="J1203" s="21">
        <v>-83.058017697435801</v>
      </c>
      <c r="K1203" s="177">
        <f>31561*2.59</f>
        <v>81742.989999999991</v>
      </c>
      <c r="L1203" s="204">
        <v>1999</v>
      </c>
      <c r="M1203" s="204">
        <v>2012</v>
      </c>
      <c r="N1203" s="82" t="s">
        <v>2276</v>
      </c>
      <c r="O1203" s="19" t="s">
        <v>67</v>
      </c>
      <c r="P1203" s="19" t="s">
        <v>5187</v>
      </c>
      <c r="Q1203" s="204"/>
    </row>
    <row r="1204" spans="1:17" ht="33.5" customHeight="1">
      <c r="A1204" s="213">
        <v>306</v>
      </c>
      <c r="B1204" s="40" t="s">
        <v>7642</v>
      </c>
      <c r="C1204" s="19" t="s">
        <v>7762</v>
      </c>
      <c r="D1204" s="204" t="s">
        <v>2398</v>
      </c>
      <c r="E1204" s="204" t="s">
        <v>4847</v>
      </c>
      <c r="F1204" s="55" t="s">
        <v>2276</v>
      </c>
      <c r="G1204" s="19" t="s">
        <v>7746</v>
      </c>
      <c r="H1204" s="19" t="s">
        <v>4112</v>
      </c>
      <c r="I1204" s="21">
        <v>27.750560631019699</v>
      </c>
      <c r="J1204" s="21">
        <v>-81.600274725274701</v>
      </c>
      <c r="K1204" s="177">
        <f>58267*2.59</f>
        <v>150911.53</v>
      </c>
      <c r="L1204" s="204">
        <v>1999</v>
      </c>
      <c r="M1204" s="204">
        <v>2012</v>
      </c>
      <c r="N1204" s="82" t="s">
        <v>2276</v>
      </c>
      <c r="O1204" s="19" t="s">
        <v>67</v>
      </c>
      <c r="P1204" s="19" t="s">
        <v>5187</v>
      </c>
      <c r="Q1204" s="204"/>
    </row>
    <row r="1205" spans="1:17" ht="33.5" customHeight="1">
      <c r="A1205" s="213">
        <v>306</v>
      </c>
      <c r="B1205" s="40" t="s">
        <v>7642</v>
      </c>
      <c r="C1205" s="19" t="s">
        <v>7763</v>
      </c>
      <c r="D1205" s="204" t="s">
        <v>2398</v>
      </c>
      <c r="E1205" s="204" t="s">
        <v>4847</v>
      </c>
      <c r="F1205" s="55" t="s">
        <v>2276</v>
      </c>
      <c r="G1205" s="19" t="s">
        <v>7747</v>
      </c>
      <c r="H1205" s="19" t="s">
        <v>4112</v>
      </c>
      <c r="I1205" s="21">
        <v>34.614429858070899</v>
      </c>
      <c r="J1205" s="21">
        <v>-83.772809150547104</v>
      </c>
      <c r="K1205" s="177">
        <f>35738*2.59</f>
        <v>92561.42</v>
      </c>
      <c r="L1205" s="204">
        <v>1999</v>
      </c>
      <c r="M1205" s="204">
        <v>2012</v>
      </c>
      <c r="N1205" s="82" t="s">
        <v>2276</v>
      </c>
      <c r="O1205" s="19" t="s">
        <v>67</v>
      </c>
      <c r="P1205" s="19" t="s">
        <v>5187</v>
      </c>
      <c r="Q1205" s="204"/>
    </row>
    <row r="1206" spans="1:17" ht="33.5" customHeight="1">
      <c r="A1206" s="213">
        <v>306</v>
      </c>
      <c r="B1206" s="40" t="s">
        <v>7642</v>
      </c>
      <c r="C1206" s="19" t="s">
        <v>7764</v>
      </c>
      <c r="D1206" s="204" t="s">
        <v>2398</v>
      </c>
      <c r="E1206" s="204" t="s">
        <v>4847</v>
      </c>
      <c r="F1206" s="55" t="s">
        <v>2276</v>
      </c>
      <c r="G1206" s="19" t="s">
        <v>7748</v>
      </c>
      <c r="H1206" s="19" t="s">
        <v>4112</v>
      </c>
      <c r="I1206" s="21">
        <v>36.948149094892102</v>
      </c>
      <c r="J1206" s="21">
        <v>-81.914653280610096</v>
      </c>
      <c r="K1206" s="177">
        <f>21787*2.59</f>
        <v>56428.329999999994</v>
      </c>
      <c r="L1206" s="204">
        <v>1999</v>
      </c>
      <c r="M1206" s="204">
        <v>2012</v>
      </c>
      <c r="N1206" s="82" t="s">
        <v>2276</v>
      </c>
      <c r="O1206" s="19" t="s">
        <v>67</v>
      </c>
      <c r="P1206" s="19" t="s">
        <v>5187</v>
      </c>
      <c r="Q1206" s="204"/>
    </row>
    <row r="1207" spans="1:17" ht="33.5" customHeight="1">
      <c r="A1207" s="213">
        <v>306</v>
      </c>
      <c r="B1207" s="40" t="s">
        <v>7642</v>
      </c>
      <c r="C1207" s="19" t="s">
        <v>7765</v>
      </c>
      <c r="D1207" s="204" t="s">
        <v>2398</v>
      </c>
      <c r="E1207" s="204" t="s">
        <v>4847</v>
      </c>
      <c r="F1207" s="55" t="s">
        <v>2276</v>
      </c>
      <c r="G1207" s="19" t="s">
        <v>7749</v>
      </c>
      <c r="H1207" s="19" t="s">
        <v>4112</v>
      </c>
      <c r="I1207" s="21">
        <v>34.483602729501897</v>
      </c>
      <c r="J1207" s="21">
        <v>-78.661113330768003</v>
      </c>
      <c r="K1207" s="177">
        <f>43890*2.59</f>
        <v>113675.09999999999</v>
      </c>
      <c r="L1207" s="204">
        <v>1999</v>
      </c>
      <c r="M1207" s="204">
        <v>2012</v>
      </c>
      <c r="N1207" s="82" t="s">
        <v>2276</v>
      </c>
      <c r="O1207" s="19" t="s">
        <v>67</v>
      </c>
      <c r="P1207" s="19" t="s">
        <v>5187</v>
      </c>
      <c r="Q1207" s="204"/>
    </row>
    <row r="1208" spans="1:17" ht="33.5" customHeight="1">
      <c r="A1208" s="213">
        <v>306</v>
      </c>
      <c r="B1208" s="40" t="s">
        <v>7642</v>
      </c>
      <c r="C1208" s="19" t="s">
        <v>7766</v>
      </c>
      <c r="D1208" s="204" t="s">
        <v>2398</v>
      </c>
      <c r="E1208" s="204" t="s">
        <v>4847</v>
      </c>
      <c r="F1208" s="55" t="s">
        <v>2276</v>
      </c>
      <c r="G1208" s="19" t="s">
        <v>7750</v>
      </c>
      <c r="H1208" s="19" t="s">
        <v>4112</v>
      </c>
      <c r="I1208" s="21">
        <v>35.905457239366797</v>
      </c>
      <c r="J1208" s="21">
        <v>-79.856345378835996</v>
      </c>
      <c r="K1208" s="177">
        <f>29647*2.59</f>
        <v>76785.73</v>
      </c>
      <c r="L1208" s="204">
        <v>1999</v>
      </c>
      <c r="M1208" s="204">
        <v>2012</v>
      </c>
      <c r="N1208" s="82" t="s">
        <v>2276</v>
      </c>
      <c r="O1208" s="19" t="s">
        <v>67</v>
      </c>
      <c r="P1208" s="19" t="s">
        <v>5187</v>
      </c>
      <c r="Q1208" s="204"/>
    </row>
    <row r="1209" spans="1:17" ht="33.5" customHeight="1">
      <c r="A1209" s="213">
        <v>306</v>
      </c>
      <c r="B1209" s="40" t="s">
        <v>7642</v>
      </c>
      <c r="C1209" s="19" t="s">
        <v>7670</v>
      </c>
      <c r="D1209" s="204" t="s">
        <v>2398</v>
      </c>
      <c r="E1209" s="204" t="s">
        <v>4847</v>
      </c>
      <c r="F1209" s="55" t="s">
        <v>2276</v>
      </c>
      <c r="G1209" s="19" t="s">
        <v>7751</v>
      </c>
      <c r="H1209" s="19" t="s">
        <v>4112</v>
      </c>
      <c r="I1209" s="21">
        <v>36.309703949427401</v>
      </c>
      <c r="J1209" s="21">
        <v>-77.1232874334695</v>
      </c>
      <c r="K1209" s="177">
        <f>42995*2.59</f>
        <v>111357.04999999999</v>
      </c>
      <c r="L1209" s="204">
        <v>1999</v>
      </c>
      <c r="M1209" s="204">
        <v>2012</v>
      </c>
      <c r="N1209" s="82" t="s">
        <v>2276</v>
      </c>
      <c r="O1209" s="19" t="s">
        <v>67</v>
      </c>
      <c r="P1209" s="19" t="s">
        <v>5187</v>
      </c>
      <c r="Q1209" s="204"/>
    </row>
    <row r="1210" spans="1:17" ht="33.5" customHeight="1">
      <c r="A1210" s="213">
        <v>306</v>
      </c>
      <c r="B1210" s="40" t="s">
        <v>7642</v>
      </c>
      <c r="C1210" s="19" t="s">
        <v>7767</v>
      </c>
      <c r="D1210" s="204" t="s">
        <v>2398</v>
      </c>
      <c r="E1210" s="204" t="s">
        <v>4847</v>
      </c>
      <c r="F1210" s="55" t="s">
        <v>2276</v>
      </c>
      <c r="G1210" s="19" t="s">
        <v>7752</v>
      </c>
      <c r="H1210" s="19" t="s">
        <v>4112</v>
      </c>
      <c r="I1210" s="21">
        <v>38.575051857117401</v>
      </c>
      <c r="J1210" s="21">
        <v>-78.980699691661499</v>
      </c>
      <c r="K1210" s="177">
        <f>42950*2.59</f>
        <v>111240.5</v>
      </c>
      <c r="L1210" s="204">
        <v>1999</v>
      </c>
      <c r="M1210" s="204">
        <v>2012</v>
      </c>
      <c r="N1210" s="82" t="s">
        <v>2276</v>
      </c>
      <c r="O1210" s="19" t="s">
        <v>67</v>
      </c>
      <c r="P1210" s="19" t="s">
        <v>5187</v>
      </c>
      <c r="Q1210" s="204"/>
    </row>
    <row r="1211" spans="1:17" ht="33.5" customHeight="1">
      <c r="A1211" s="213">
        <v>306</v>
      </c>
      <c r="B1211" s="40" t="s">
        <v>7642</v>
      </c>
      <c r="C1211" s="19" t="s">
        <v>7768</v>
      </c>
      <c r="D1211" s="204" t="s">
        <v>2398</v>
      </c>
      <c r="E1211" s="204" t="s">
        <v>4847</v>
      </c>
      <c r="F1211" s="55" t="s">
        <v>2276</v>
      </c>
      <c r="G1211" s="19" t="s">
        <v>7753</v>
      </c>
      <c r="H1211" s="19" t="s">
        <v>4112</v>
      </c>
      <c r="I1211" s="21">
        <v>41.0545528779572</v>
      </c>
      <c r="J1211" s="21">
        <v>-80.493087619978894</v>
      </c>
      <c r="K1211" s="177">
        <f t="shared" ref="K1211" si="16">36039*2.59</f>
        <v>93341.01</v>
      </c>
      <c r="L1211" s="204">
        <v>1999</v>
      </c>
      <c r="M1211" s="204">
        <v>2012</v>
      </c>
      <c r="N1211" s="82" t="s">
        <v>2276</v>
      </c>
      <c r="O1211" s="19" t="s">
        <v>67</v>
      </c>
      <c r="P1211" s="19" t="s">
        <v>5187</v>
      </c>
      <c r="Q1211" s="204"/>
    </row>
    <row r="1212" spans="1:17" ht="33.5" customHeight="1">
      <c r="A1212" s="213">
        <v>306</v>
      </c>
      <c r="B1212" s="40" t="s">
        <v>7642</v>
      </c>
      <c r="C1212" s="19" t="s">
        <v>7769</v>
      </c>
      <c r="D1212" s="204" t="s">
        <v>2398</v>
      </c>
      <c r="E1212" s="204" t="s">
        <v>4847</v>
      </c>
      <c r="F1212" s="55" t="s">
        <v>2276</v>
      </c>
      <c r="G1212" s="19" t="s">
        <v>7754</v>
      </c>
      <c r="H1212" s="19" t="s">
        <v>4112</v>
      </c>
      <c r="I1212" s="21">
        <v>42.829542305141601</v>
      </c>
      <c r="J1212" s="21">
        <v>-77.173195377135798</v>
      </c>
      <c r="K1212" s="177">
        <f>34501*2.59</f>
        <v>89357.59</v>
      </c>
      <c r="L1212" s="204">
        <v>1999</v>
      </c>
      <c r="M1212" s="204">
        <v>2012</v>
      </c>
      <c r="N1212" s="82" t="s">
        <v>2276</v>
      </c>
      <c r="O1212" s="19" t="s">
        <v>67</v>
      </c>
      <c r="P1212" s="19" t="s">
        <v>5187</v>
      </c>
      <c r="Q1212" s="204"/>
    </row>
    <row r="1213" spans="1:17" ht="33.5" customHeight="1">
      <c r="A1213" s="213">
        <v>306</v>
      </c>
      <c r="B1213" s="40" t="s">
        <v>7642</v>
      </c>
      <c r="C1213" s="19" t="s">
        <v>7770</v>
      </c>
      <c r="D1213" s="204" t="s">
        <v>2398</v>
      </c>
      <c r="E1213" s="204" t="s">
        <v>4847</v>
      </c>
      <c r="F1213" s="55" t="s">
        <v>2276</v>
      </c>
      <c r="G1213" s="19" t="s">
        <v>7755</v>
      </c>
      <c r="H1213" s="19" t="s">
        <v>4112</v>
      </c>
      <c r="I1213" s="21">
        <v>44.193558318032501</v>
      </c>
      <c r="J1213" s="21">
        <v>-74.267952012763999</v>
      </c>
      <c r="K1213" s="177">
        <f>31128*2.59</f>
        <v>80621.51999999999</v>
      </c>
      <c r="L1213" s="204">
        <v>1999</v>
      </c>
      <c r="M1213" s="204">
        <v>2012</v>
      </c>
      <c r="N1213" s="82" t="s">
        <v>2276</v>
      </c>
      <c r="O1213" s="19" t="s">
        <v>67</v>
      </c>
      <c r="P1213" s="19" t="s">
        <v>5187</v>
      </c>
      <c r="Q1213" s="204"/>
    </row>
    <row r="1214" spans="1:17" ht="35.5" customHeight="1">
      <c r="A1214" s="213">
        <v>306</v>
      </c>
      <c r="B1214" s="40" t="s">
        <v>7642</v>
      </c>
      <c r="C1214" s="19" t="s">
        <v>7771</v>
      </c>
      <c r="D1214" s="204" t="s">
        <v>2398</v>
      </c>
      <c r="E1214" s="204" t="s">
        <v>4847</v>
      </c>
      <c r="F1214" s="55" t="s">
        <v>2276</v>
      </c>
      <c r="G1214" s="19" t="s">
        <v>7756</v>
      </c>
      <c r="H1214" s="19" t="s">
        <v>4112</v>
      </c>
      <c r="I1214" s="21">
        <v>42.800472916888303</v>
      </c>
      <c r="J1214" s="21">
        <v>-72.131080067870798</v>
      </c>
      <c r="K1214" s="177">
        <f>32173*2.59</f>
        <v>83328.069999999992</v>
      </c>
      <c r="L1214" s="204">
        <v>1999</v>
      </c>
      <c r="M1214" s="204">
        <v>2012</v>
      </c>
      <c r="N1214" s="82" t="s">
        <v>2276</v>
      </c>
      <c r="O1214" s="19" t="s">
        <v>67</v>
      </c>
      <c r="P1214" s="19" t="s">
        <v>5187</v>
      </c>
      <c r="Q1214" s="204"/>
    </row>
    <row r="1215" spans="1:17" ht="33.5" customHeight="1">
      <c r="A1215" s="213">
        <v>306</v>
      </c>
      <c r="B1215" s="40" t="s">
        <v>7642</v>
      </c>
      <c r="C1215" s="19" t="s">
        <v>7772</v>
      </c>
      <c r="D1215" s="204" t="s">
        <v>2398</v>
      </c>
      <c r="E1215" s="204" t="s">
        <v>4847</v>
      </c>
      <c r="F1215" s="55" t="s">
        <v>2276</v>
      </c>
      <c r="G1215" s="19" t="s">
        <v>7757</v>
      </c>
      <c r="H1215" s="19" t="s">
        <v>4112</v>
      </c>
      <c r="I1215" s="21">
        <v>45.238111256543803</v>
      </c>
      <c r="J1215" s="21">
        <v>-69.332592584839105</v>
      </c>
      <c r="K1215" s="177">
        <f>46834*2.59</f>
        <v>121300.06</v>
      </c>
      <c r="L1215" s="204">
        <v>1999</v>
      </c>
      <c r="M1215" s="204">
        <v>2012</v>
      </c>
      <c r="N1215" s="82" t="s">
        <v>2276</v>
      </c>
      <c r="O1215" s="19" t="s">
        <v>67</v>
      </c>
      <c r="P1215" s="19" t="s">
        <v>5187</v>
      </c>
      <c r="Q1215" s="204"/>
    </row>
    <row r="1216" spans="1:17" ht="33.5" customHeight="1">
      <c r="A1216" s="213">
        <v>306</v>
      </c>
      <c r="B1216" s="40" t="s">
        <v>7642</v>
      </c>
      <c r="C1216" s="19" t="s">
        <v>7773</v>
      </c>
      <c r="D1216" s="204" t="s">
        <v>2398</v>
      </c>
      <c r="E1216" s="204" t="s">
        <v>4847</v>
      </c>
      <c r="F1216" s="55" t="s">
        <v>2276</v>
      </c>
      <c r="G1216" s="19" t="s">
        <v>7758</v>
      </c>
      <c r="H1216" s="19" t="s">
        <v>4112</v>
      </c>
      <c r="I1216" s="21">
        <v>30.186731609114901</v>
      </c>
      <c r="J1216" s="21">
        <v>-91.862188789326197</v>
      </c>
      <c r="K1216" s="177">
        <f>20900*2.59</f>
        <v>54131</v>
      </c>
      <c r="L1216" s="204">
        <v>1999</v>
      </c>
      <c r="M1216" s="204">
        <v>2012</v>
      </c>
      <c r="N1216" s="82" t="s">
        <v>2276</v>
      </c>
      <c r="O1216" s="19" t="s">
        <v>67</v>
      </c>
      <c r="P1216" s="19" t="s">
        <v>5187</v>
      </c>
      <c r="Q1216" s="204"/>
    </row>
    <row r="1217" spans="1:17" ht="33.5" customHeight="1">
      <c r="A1217" s="213">
        <v>306</v>
      </c>
      <c r="B1217" s="40" t="s">
        <v>7642</v>
      </c>
      <c r="C1217" s="19" t="s">
        <v>7774</v>
      </c>
      <c r="D1217" s="204" t="s">
        <v>2398</v>
      </c>
      <c r="E1217" s="204" t="s">
        <v>4847</v>
      </c>
      <c r="F1217" s="19" t="s">
        <v>2276</v>
      </c>
      <c r="G1217" s="19" t="s">
        <v>7759</v>
      </c>
      <c r="H1217" s="19" t="s">
        <v>4112</v>
      </c>
      <c r="I1217" s="21">
        <v>31.185659654585798</v>
      </c>
      <c r="J1217" s="21">
        <v>-87.291682387980302</v>
      </c>
      <c r="K1217" s="177">
        <f>41209*2.59</f>
        <v>106731.31</v>
      </c>
      <c r="L1217" s="204">
        <v>1999</v>
      </c>
      <c r="M1217" s="204">
        <v>2012</v>
      </c>
      <c r="N1217" s="82" t="s">
        <v>2276</v>
      </c>
      <c r="O1217" s="19" t="s">
        <v>67</v>
      </c>
      <c r="P1217" s="19" t="s">
        <v>5187</v>
      </c>
      <c r="Q1217" s="204"/>
    </row>
    <row r="1218" spans="1:17" ht="40" customHeight="1">
      <c r="A1218" s="225">
        <v>307</v>
      </c>
      <c r="B1218" s="226" t="s">
        <v>7851</v>
      </c>
      <c r="C1218" s="58" t="s">
        <v>7852</v>
      </c>
      <c r="D1218" s="44" t="s">
        <v>2398</v>
      </c>
      <c r="E1218" s="44" t="s">
        <v>2636</v>
      </c>
      <c r="F1218" s="58" t="s">
        <v>2276</v>
      </c>
      <c r="G1218" s="44" t="s">
        <v>7853</v>
      </c>
      <c r="H1218" s="44" t="s">
        <v>6397</v>
      </c>
      <c r="I1218" s="227">
        <v>63.071013000000001</v>
      </c>
      <c r="J1218" s="227">
        <v>17.071424100000002</v>
      </c>
      <c r="K1218" s="227">
        <v>21683.8</v>
      </c>
      <c r="L1218" s="44">
        <v>1993</v>
      </c>
      <c r="M1218" s="44">
        <v>2006</v>
      </c>
      <c r="N1218" s="228" t="s">
        <v>2276</v>
      </c>
      <c r="O1218" s="58" t="s">
        <v>67</v>
      </c>
      <c r="P1218" s="58" t="s">
        <v>5187</v>
      </c>
      <c r="Q1218" s="44"/>
    </row>
    <row r="1219" spans="1:17" ht="36.5" customHeight="1">
      <c r="A1219" s="225">
        <v>307</v>
      </c>
      <c r="B1219" s="226" t="s">
        <v>7851</v>
      </c>
      <c r="C1219" s="58" t="s">
        <v>7855</v>
      </c>
      <c r="D1219" s="44" t="s">
        <v>2398</v>
      </c>
      <c r="E1219" s="44" t="s">
        <v>2399</v>
      </c>
      <c r="F1219" s="58" t="s">
        <v>7854</v>
      </c>
      <c r="G1219" s="44" t="s">
        <v>7853</v>
      </c>
      <c r="H1219" s="44" t="s">
        <v>6397</v>
      </c>
      <c r="I1219" s="227">
        <v>62.437196900000004</v>
      </c>
      <c r="J1219" s="227">
        <v>15.9621072</v>
      </c>
      <c r="K1219" s="227" t="s">
        <v>2276</v>
      </c>
      <c r="L1219" s="44">
        <v>2002</v>
      </c>
      <c r="M1219" s="44">
        <v>2006</v>
      </c>
      <c r="N1219" s="228" t="s">
        <v>2276</v>
      </c>
      <c r="O1219" s="58" t="s">
        <v>67</v>
      </c>
      <c r="P1219" s="58" t="s">
        <v>5187</v>
      </c>
      <c r="Q1219" s="44"/>
    </row>
    <row r="1220" spans="1:17" ht="33.5" customHeight="1">
      <c r="A1220" s="213">
        <v>308</v>
      </c>
      <c r="B1220" s="40" t="s">
        <v>7872</v>
      </c>
      <c r="C1220" s="19" t="s">
        <v>7873</v>
      </c>
      <c r="D1220" s="11" t="s">
        <v>2398</v>
      </c>
      <c r="E1220" s="11" t="s">
        <v>2399</v>
      </c>
      <c r="F1220" s="19" t="s">
        <v>7874</v>
      </c>
      <c r="G1220" s="19" t="s">
        <v>166</v>
      </c>
      <c r="H1220" s="19" t="s">
        <v>121</v>
      </c>
      <c r="I1220" s="21">
        <v>-2.6536445999999998</v>
      </c>
      <c r="J1220" s="21">
        <v>-54.9198971</v>
      </c>
      <c r="K1220" s="21">
        <v>4398.3999999999996</v>
      </c>
      <c r="L1220" s="11">
        <v>1995</v>
      </c>
      <c r="M1220" s="11">
        <v>1996</v>
      </c>
      <c r="N1220" s="82" t="s">
        <v>2276</v>
      </c>
      <c r="O1220" s="19" t="s">
        <v>67</v>
      </c>
      <c r="P1220" s="19" t="s">
        <v>5187</v>
      </c>
      <c r="Q1220" s="204"/>
    </row>
    <row r="1221" spans="1:17" ht="37" customHeight="1">
      <c r="A1221" s="213">
        <v>309</v>
      </c>
      <c r="B1221" s="40" t="s">
        <v>7885</v>
      </c>
      <c r="C1221" s="19" t="s">
        <v>7886</v>
      </c>
      <c r="D1221" s="11" t="s">
        <v>2398</v>
      </c>
      <c r="E1221" s="11" t="s">
        <v>2399</v>
      </c>
      <c r="F1221" s="4" t="s">
        <v>7887</v>
      </c>
      <c r="G1221" s="204" t="s">
        <v>7888</v>
      </c>
      <c r="H1221" s="19" t="s">
        <v>134</v>
      </c>
      <c r="I1221" s="21">
        <f>4+48/60</f>
        <v>4.8</v>
      </c>
      <c r="J1221" s="21">
        <f>-75-24/60</f>
        <v>-75.400000000000006</v>
      </c>
      <c r="K1221" s="82" t="s">
        <v>2276</v>
      </c>
      <c r="L1221" s="11">
        <v>1992</v>
      </c>
      <c r="M1221" s="11">
        <v>1992</v>
      </c>
      <c r="N1221" s="82" t="s">
        <v>2276</v>
      </c>
      <c r="O1221" s="19" t="s">
        <v>67</v>
      </c>
      <c r="P1221" s="19" t="s">
        <v>5187</v>
      </c>
      <c r="Q1221" s="40" t="s">
        <v>7889</v>
      </c>
    </row>
    <row r="1222" spans="1:17" ht="32" customHeight="1">
      <c r="A1222" s="213">
        <v>310</v>
      </c>
      <c r="B1222" s="40" t="s">
        <v>7896</v>
      </c>
      <c r="C1222" s="19" t="s">
        <v>7895</v>
      </c>
      <c r="D1222" s="11" t="s">
        <v>2398</v>
      </c>
      <c r="E1222" s="11" t="s">
        <v>2420</v>
      </c>
      <c r="F1222" s="204" t="s">
        <v>7902</v>
      </c>
      <c r="G1222" s="204" t="s">
        <v>7897</v>
      </c>
      <c r="H1222" s="204" t="s">
        <v>3616</v>
      </c>
      <c r="I1222" s="21">
        <v>-41.121901399999999</v>
      </c>
      <c r="J1222" s="21">
        <v>-71.404353599999993</v>
      </c>
      <c r="K1222" s="82" t="s">
        <v>2276</v>
      </c>
      <c r="L1222" s="204">
        <v>1940</v>
      </c>
      <c r="M1222" s="204">
        <v>2002</v>
      </c>
      <c r="N1222" s="82" t="s">
        <v>2276</v>
      </c>
      <c r="O1222" s="19" t="s">
        <v>67</v>
      </c>
      <c r="P1222" s="19" t="s">
        <v>5187</v>
      </c>
      <c r="Q1222" s="204"/>
    </row>
    <row r="1223" spans="1:17" ht="34.5" customHeight="1">
      <c r="A1223" s="213">
        <v>310</v>
      </c>
      <c r="B1223" s="40" t="s">
        <v>7896</v>
      </c>
      <c r="C1223" s="19" t="s">
        <v>7901</v>
      </c>
      <c r="D1223" s="11" t="s">
        <v>2398</v>
      </c>
      <c r="E1223" s="11" t="s">
        <v>2420</v>
      </c>
      <c r="F1223" s="19" t="s">
        <v>7900</v>
      </c>
      <c r="G1223" s="204" t="s">
        <v>7897</v>
      </c>
      <c r="H1223" s="204" t="s">
        <v>3616</v>
      </c>
      <c r="I1223" s="21">
        <v>-41.218642199999998</v>
      </c>
      <c r="J1223" s="21">
        <v>-71.302989400000001</v>
      </c>
      <c r="K1223" s="82" t="s">
        <v>2276</v>
      </c>
      <c r="L1223" s="204">
        <v>1940</v>
      </c>
      <c r="M1223" s="204">
        <v>2002</v>
      </c>
      <c r="N1223" s="82" t="s">
        <v>2276</v>
      </c>
      <c r="O1223" s="19" t="s">
        <v>67</v>
      </c>
      <c r="P1223" s="19" t="s">
        <v>5187</v>
      </c>
      <c r="Q1223" s="204"/>
    </row>
    <row r="1224" spans="1:17" ht="32" customHeight="1">
      <c r="A1224" s="219">
        <v>311</v>
      </c>
      <c r="B1224" s="54" t="s">
        <v>7906</v>
      </c>
      <c r="C1224" s="55" t="s">
        <v>7907</v>
      </c>
      <c r="D1224" s="38" t="s">
        <v>2398</v>
      </c>
      <c r="E1224" s="204" t="s">
        <v>2399</v>
      </c>
      <c r="F1224" s="204" t="s">
        <v>7917</v>
      </c>
      <c r="G1224" s="55" t="s">
        <v>7908</v>
      </c>
      <c r="H1224" s="35" t="s">
        <v>3770</v>
      </c>
      <c r="I1224" s="73">
        <f>-25-25/60</f>
        <v>-25.416666666666668</v>
      </c>
      <c r="J1224" s="73">
        <f>30+10/60</f>
        <v>30.166666666666668</v>
      </c>
      <c r="K1224" s="220" t="s">
        <v>2276</v>
      </c>
      <c r="L1224" s="33">
        <v>2007</v>
      </c>
      <c r="M1224" s="33">
        <v>2009</v>
      </c>
      <c r="N1224" s="220" t="s">
        <v>2276</v>
      </c>
      <c r="O1224" s="55" t="s">
        <v>67</v>
      </c>
      <c r="P1224" s="55" t="s">
        <v>5187</v>
      </c>
      <c r="Q1224" s="38"/>
    </row>
    <row r="1225" spans="1:17" ht="32" customHeight="1">
      <c r="A1225" s="213">
        <v>311</v>
      </c>
      <c r="B1225" s="40" t="s">
        <v>7906</v>
      </c>
      <c r="C1225" s="19" t="s">
        <v>7910</v>
      </c>
      <c r="D1225" s="204" t="s">
        <v>2398</v>
      </c>
      <c r="E1225" s="204" t="s">
        <v>2399</v>
      </c>
      <c r="F1225" s="204" t="s">
        <v>7917</v>
      </c>
      <c r="G1225" s="19" t="s">
        <v>7908</v>
      </c>
      <c r="H1225" s="11" t="s">
        <v>3770</v>
      </c>
      <c r="I1225" s="21">
        <f t="shared" ref="I1225:I1231" si="17">-25-25/60</f>
        <v>-25.416666666666668</v>
      </c>
      <c r="J1225" s="21">
        <f t="shared" ref="J1225:J1231" si="18">30+10/60</f>
        <v>30.166666666666668</v>
      </c>
      <c r="K1225" s="82" t="s">
        <v>2276</v>
      </c>
      <c r="L1225" s="11">
        <v>2007</v>
      </c>
      <c r="M1225" s="11">
        <v>2009</v>
      </c>
      <c r="N1225" s="82" t="s">
        <v>2276</v>
      </c>
      <c r="O1225" s="19" t="s">
        <v>67</v>
      </c>
      <c r="P1225" s="19" t="s">
        <v>5187</v>
      </c>
      <c r="Q1225" s="204"/>
    </row>
    <row r="1226" spans="1:17" ht="32" customHeight="1">
      <c r="A1226" s="213">
        <v>311</v>
      </c>
      <c r="B1226" s="40" t="s">
        <v>7906</v>
      </c>
      <c r="C1226" s="19" t="s">
        <v>7911</v>
      </c>
      <c r="D1226" s="204" t="s">
        <v>2398</v>
      </c>
      <c r="E1226" s="204" t="s">
        <v>2399</v>
      </c>
      <c r="F1226" s="204" t="s">
        <v>7917</v>
      </c>
      <c r="G1226" s="19" t="s">
        <v>7908</v>
      </c>
      <c r="H1226" s="11" t="s">
        <v>3770</v>
      </c>
      <c r="I1226" s="21">
        <f t="shared" si="17"/>
        <v>-25.416666666666668</v>
      </c>
      <c r="J1226" s="21">
        <f t="shared" si="18"/>
        <v>30.166666666666668</v>
      </c>
      <c r="K1226" s="82" t="s">
        <v>2276</v>
      </c>
      <c r="L1226" s="11">
        <v>2007</v>
      </c>
      <c r="M1226" s="11">
        <v>2009</v>
      </c>
      <c r="N1226" s="82" t="s">
        <v>2276</v>
      </c>
      <c r="O1226" s="19" t="s">
        <v>67</v>
      </c>
      <c r="P1226" s="19" t="s">
        <v>5187</v>
      </c>
      <c r="Q1226" s="204"/>
    </row>
    <row r="1227" spans="1:17" ht="32" customHeight="1">
      <c r="A1227" s="213">
        <v>311</v>
      </c>
      <c r="B1227" s="40" t="s">
        <v>7906</v>
      </c>
      <c r="C1227" s="19" t="s">
        <v>7912</v>
      </c>
      <c r="D1227" s="204" t="s">
        <v>2398</v>
      </c>
      <c r="E1227" s="204" t="s">
        <v>2399</v>
      </c>
      <c r="F1227" s="204" t="s">
        <v>7917</v>
      </c>
      <c r="G1227" s="19" t="s">
        <v>7908</v>
      </c>
      <c r="H1227" s="11" t="s">
        <v>3770</v>
      </c>
      <c r="I1227" s="21">
        <f t="shared" si="17"/>
        <v>-25.416666666666668</v>
      </c>
      <c r="J1227" s="21">
        <f t="shared" si="18"/>
        <v>30.166666666666668</v>
      </c>
      <c r="K1227" s="82" t="s">
        <v>2276</v>
      </c>
      <c r="L1227" s="11">
        <v>2007</v>
      </c>
      <c r="M1227" s="11">
        <v>2009</v>
      </c>
      <c r="N1227" s="82" t="s">
        <v>2276</v>
      </c>
      <c r="O1227" s="19" t="s">
        <v>67</v>
      </c>
      <c r="P1227" s="19" t="s">
        <v>5187</v>
      </c>
      <c r="Q1227" s="204"/>
    </row>
    <row r="1228" spans="1:17" ht="32" customHeight="1">
      <c r="A1228" s="213">
        <v>311</v>
      </c>
      <c r="B1228" s="40" t="s">
        <v>7906</v>
      </c>
      <c r="C1228" s="19" t="s">
        <v>7913</v>
      </c>
      <c r="D1228" s="204" t="s">
        <v>2398</v>
      </c>
      <c r="E1228" s="204" t="s">
        <v>2399</v>
      </c>
      <c r="F1228" s="19" t="s">
        <v>7909</v>
      </c>
      <c r="G1228" s="19" t="s">
        <v>7908</v>
      </c>
      <c r="H1228" s="11" t="s">
        <v>3770</v>
      </c>
      <c r="I1228" s="21">
        <f t="shared" si="17"/>
        <v>-25.416666666666668</v>
      </c>
      <c r="J1228" s="21">
        <f t="shared" si="18"/>
        <v>30.166666666666668</v>
      </c>
      <c r="K1228" s="82" t="s">
        <v>2276</v>
      </c>
      <c r="L1228" s="11">
        <v>2007</v>
      </c>
      <c r="M1228" s="11">
        <v>2009</v>
      </c>
      <c r="N1228" s="82" t="s">
        <v>2276</v>
      </c>
      <c r="O1228" s="19" t="s">
        <v>67</v>
      </c>
      <c r="P1228" s="19" t="s">
        <v>5187</v>
      </c>
      <c r="Q1228" s="204"/>
    </row>
    <row r="1229" spans="1:17" ht="32" customHeight="1">
      <c r="A1229" s="213">
        <v>311</v>
      </c>
      <c r="B1229" s="40" t="s">
        <v>7906</v>
      </c>
      <c r="C1229" s="19" t="s">
        <v>7914</v>
      </c>
      <c r="D1229" s="204" t="s">
        <v>2398</v>
      </c>
      <c r="E1229" s="204" t="s">
        <v>2399</v>
      </c>
      <c r="F1229" s="19" t="s">
        <v>7909</v>
      </c>
      <c r="G1229" s="19" t="s">
        <v>7908</v>
      </c>
      <c r="H1229" s="11" t="s">
        <v>3770</v>
      </c>
      <c r="I1229" s="21">
        <f t="shared" si="17"/>
        <v>-25.416666666666668</v>
      </c>
      <c r="J1229" s="21">
        <f t="shared" si="18"/>
        <v>30.166666666666668</v>
      </c>
      <c r="K1229" s="82" t="s">
        <v>2276</v>
      </c>
      <c r="L1229" s="11">
        <v>2007</v>
      </c>
      <c r="M1229" s="11">
        <v>2009</v>
      </c>
      <c r="N1229" s="82" t="s">
        <v>2276</v>
      </c>
      <c r="O1229" s="19" t="s">
        <v>67</v>
      </c>
      <c r="P1229" s="19" t="s">
        <v>5187</v>
      </c>
      <c r="Q1229" s="204"/>
    </row>
    <row r="1230" spans="1:17" ht="32" customHeight="1">
      <c r="A1230" s="213">
        <v>311</v>
      </c>
      <c r="B1230" s="40" t="s">
        <v>7906</v>
      </c>
      <c r="C1230" s="19" t="s">
        <v>7915</v>
      </c>
      <c r="D1230" s="204" t="s">
        <v>2398</v>
      </c>
      <c r="E1230" s="204" t="s">
        <v>2399</v>
      </c>
      <c r="F1230" s="19" t="s">
        <v>7909</v>
      </c>
      <c r="G1230" s="19" t="s">
        <v>7908</v>
      </c>
      <c r="H1230" s="11" t="s">
        <v>3770</v>
      </c>
      <c r="I1230" s="21">
        <f t="shared" si="17"/>
        <v>-25.416666666666668</v>
      </c>
      <c r="J1230" s="21">
        <f t="shared" si="18"/>
        <v>30.166666666666668</v>
      </c>
      <c r="K1230" s="82" t="s">
        <v>2276</v>
      </c>
      <c r="L1230" s="11">
        <v>2007</v>
      </c>
      <c r="M1230" s="11">
        <v>2009</v>
      </c>
      <c r="N1230" s="82" t="s">
        <v>2276</v>
      </c>
      <c r="O1230" s="19" t="s">
        <v>67</v>
      </c>
      <c r="P1230" s="19" t="s">
        <v>5187</v>
      </c>
      <c r="Q1230" s="204"/>
    </row>
    <row r="1231" spans="1:17" ht="32" customHeight="1">
      <c r="A1231" s="213">
        <v>311</v>
      </c>
      <c r="B1231" s="40" t="s">
        <v>7906</v>
      </c>
      <c r="C1231" s="19" t="s">
        <v>7916</v>
      </c>
      <c r="D1231" s="204" t="s">
        <v>2398</v>
      </c>
      <c r="E1231" s="204" t="s">
        <v>2399</v>
      </c>
      <c r="F1231" s="19" t="s">
        <v>7909</v>
      </c>
      <c r="G1231" s="19" t="s">
        <v>7908</v>
      </c>
      <c r="H1231" s="11" t="s">
        <v>3770</v>
      </c>
      <c r="I1231" s="21">
        <f t="shared" si="17"/>
        <v>-25.416666666666668</v>
      </c>
      <c r="J1231" s="21">
        <f t="shared" si="18"/>
        <v>30.166666666666668</v>
      </c>
      <c r="K1231" s="82" t="s">
        <v>2276</v>
      </c>
      <c r="L1231" s="11">
        <v>2007</v>
      </c>
      <c r="M1231" s="11">
        <v>2009</v>
      </c>
      <c r="N1231" s="82" t="s">
        <v>2276</v>
      </c>
      <c r="O1231" s="19" t="s">
        <v>67</v>
      </c>
      <c r="P1231" s="19" t="s">
        <v>5187</v>
      </c>
      <c r="Q1231" s="204"/>
    </row>
    <row r="1232" spans="1:17" ht="32.5" customHeight="1">
      <c r="A1232" s="31">
        <v>312</v>
      </c>
      <c r="B1232" s="40" t="s">
        <v>7933</v>
      </c>
      <c r="C1232" s="204" t="s">
        <v>7930</v>
      </c>
      <c r="D1232" s="204" t="s">
        <v>2398</v>
      </c>
      <c r="E1232" s="204" t="s">
        <v>2422</v>
      </c>
      <c r="F1232" s="19" t="s">
        <v>7932</v>
      </c>
      <c r="G1232" s="4" t="s">
        <v>7931</v>
      </c>
      <c r="H1232" s="11" t="s">
        <v>88</v>
      </c>
      <c r="I1232" s="21">
        <f>8+37.5/60</f>
        <v>8.625</v>
      </c>
      <c r="J1232" s="21">
        <f>77 + 27.5/60</f>
        <v>77.458333333333329</v>
      </c>
      <c r="K1232" s="21">
        <v>60</v>
      </c>
      <c r="L1232" s="204">
        <v>1978</v>
      </c>
      <c r="M1232" s="204">
        <v>1999</v>
      </c>
      <c r="N1232" s="82" t="s">
        <v>2276</v>
      </c>
      <c r="O1232" s="19" t="s">
        <v>67</v>
      </c>
      <c r="P1232" s="19" t="s">
        <v>5187</v>
      </c>
      <c r="Q1232" s="204"/>
    </row>
    <row r="1233" spans="1:17" ht="47.5" customHeight="1">
      <c r="A1233" s="213">
        <v>313</v>
      </c>
      <c r="B1233" s="40" t="s">
        <v>7944</v>
      </c>
      <c r="C1233" s="19" t="s">
        <v>7939</v>
      </c>
      <c r="D1233" s="204" t="s">
        <v>2398</v>
      </c>
      <c r="E1233" s="204" t="s">
        <v>2405</v>
      </c>
      <c r="F1233" s="204" t="s">
        <v>7951</v>
      </c>
      <c r="G1233" s="204" t="s">
        <v>7956</v>
      </c>
      <c r="H1233" s="204" t="s">
        <v>6324</v>
      </c>
      <c r="I1233" s="21">
        <v>51.761150399999998</v>
      </c>
      <c r="J1233" s="21">
        <v>50.8381112</v>
      </c>
      <c r="K1233" s="21">
        <v>623.70000000000005</v>
      </c>
      <c r="L1233" s="204">
        <v>1984</v>
      </c>
      <c r="M1233" s="204">
        <v>1991</v>
      </c>
      <c r="N1233" s="82" t="s">
        <v>2276</v>
      </c>
      <c r="O1233" s="19" t="s">
        <v>67</v>
      </c>
      <c r="P1233" s="19" t="s">
        <v>5187</v>
      </c>
      <c r="Q1233" s="4" t="s">
        <v>7974</v>
      </c>
    </row>
    <row r="1234" spans="1:17" ht="47.5" customHeight="1">
      <c r="A1234" s="213">
        <v>313</v>
      </c>
      <c r="B1234" s="40" t="s">
        <v>7944</v>
      </c>
      <c r="C1234" s="19" t="s">
        <v>7940</v>
      </c>
      <c r="D1234" s="204" t="s">
        <v>2398</v>
      </c>
      <c r="E1234" s="204" t="s">
        <v>2405</v>
      </c>
      <c r="F1234" s="204" t="s">
        <v>7952</v>
      </c>
      <c r="G1234" s="204" t="s">
        <v>7956</v>
      </c>
      <c r="H1234" s="204" t="s">
        <v>6324</v>
      </c>
      <c r="I1234" s="21">
        <v>51.194652699999999</v>
      </c>
      <c r="J1234" s="21">
        <v>56.697021100000001</v>
      </c>
      <c r="K1234" s="21">
        <v>1203.9000000000001</v>
      </c>
      <c r="L1234" s="204">
        <v>1984</v>
      </c>
      <c r="M1234" s="204">
        <v>1991</v>
      </c>
      <c r="N1234" s="82" t="s">
        <v>2276</v>
      </c>
      <c r="O1234" s="19" t="s">
        <v>67</v>
      </c>
      <c r="P1234" s="19" t="s">
        <v>5187</v>
      </c>
      <c r="Q1234" s="4" t="s">
        <v>7974</v>
      </c>
    </row>
    <row r="1235" spans="1:17" ht="47.5" customHeight="1">
      <c r="A1235" s="213">
        <v>313</v>
      </c>
      <c r="B1235" s="40" t="s">
        <v>7944</v>
      </c>
      <c r="C1235" s="19" t="s">
        <v>7941</v>
      </c>
      <c r="D1235" s="204" t="s">
        <v>2398</v>
      </c>
      <c r="E1235" s="204" t="s">
        <v>2405</v>
      </c>
      <c r="F1235" s="204" t="s">
        <v>7954</v>
      </c>
      <c r="G1235" s="204" t="s">
        <v>7956</v>
      </c>
      <c r="H1235" s="204" t="s">
        <v>6324</v>
      </c>
      <c r="I1235" s="21">
        <v>50.7574933</v>
      </c>
      <c r="J1235" s="21">
        <v>57.497679699999999</v>
      </c>
      <c r="K1235" s="21">
        <v>736.6</v>
      </c>
      <c r="L1235" s="204">
        <v>1984</v>
      </c>
      <c r="M1235" s="204">
        <v>1991</v>
      </c>
      <c r="N1235" s="82" t="s">
        <v>2276</v>
      </c>
      <c r="O1235" s="19" t="s">
        <v>67</v>
      </c>
      <c r="P1235" s="19" t="s">
        <v>5187</v>
      </c>
      <c r="Q1235" s="4" t="s">
        <v>7974</v>
      </c>
    </row>
    <row r="1236" spans="1:17" ht="47.5" customHeight="1">
      <c r="A1236" s="213">
        <v>313</v>
      </c>
      <c r="B1236" s="40" t="s">
        <v>7944</v>
      </c>
      <c r="C1236" s="19" t="s">
        <v>7942</v>
      </c>
      <c r="D1236" s="204" t="s">
        <v>2398</v>
      </c>
      <c r="E1236" s="204" t="s">
        <v>2405</v>
      </c>
      <c r="F1236" s="204" t="s">
        <v>7953</v>
      </c>
      <c r="G1236" s="204" t="s">
        <v>7956</v>
      </c>
      <c r="H1236" s="204" t="s">
        <v>6324</v>
      </c>
      <c r="I1236" s="21">
        <v>50.923503199999999</v>
      </c>
      <c r="J1236" s="21">
        <v>55.386643200000002</v>
      </c>
      <c r="K1236" s="21">
        <v>1216.2</v>
      </c>
      <c r="L1236" s="204">
        <v>1984</v>
      </c>
      <c r="M1236" s="204">
        <v>1991</v>
      </c>
      <c r="N1236" s="82" t="s">
        <v>2276</v>
      </c>
      <c r="O1236" s="19" t="s">
        <v>67</v>
      </c>
      <c r="P1236" s="19" t="s">
        <v>5187</v>
      </c>
      <c r="Q1236" s="4" t="s">
        <v>7974</v>
      </c>
    </row>
    <row r="1237" spans="1:17" ht="47.5" customHeight="1">
      <c r="A1237" s="213">
        <v>313</v>
      </c>
      <c r="B1237" s="40" t="s">
        <v>7944</v>
      </c>
      <c r="C1237" s="19" t="s">
        <v>7943</v>
      </c>
      <c r="D1237" s="204" t="s">
        <v>2398</v>
      </c>
      <c r="E1237" s="204" t="s">
        <v>2405</v>
      </c>
      <c r="F1237" s="204" t="s">
        <v>7955</v>
      </c>
      <c r="G1237" s="204" t="s">
        <v>7956</v>
      </c>
      <c r="H1237" s="204" t="s">
        <v>6324</v>
      </c>
      <c r="I1237" s="21">
        <v>50.550775899999998</v>
      </c>
      <c r="J1237" s="21">
        <v>60.494869000000001</v>
      </c>
      <c r="K1237" s="21">
        <v>1316</v>
      </c>
      <c r="L1237" s="204">
        <v>1984</v>
      </c>
      <c r="M1237" s="204">
        <v>1991</v>
      </c>
      <c r="N1237" s="82" t="s">
        <v>2276</v>
      </c>
      <c r="O1237" s="19" t="s">
        <v>67</v>
      </c>
      <c r="P1237" s="19" t="s">
        <v>5187</v>
      </c>
      <c r="Q1237" s="4" t="s">
        <v>7974</v>
      </c>
    </row>
    <row r="1238" spans="1:17" ht="47.5" customHeight="1">
      <c r="A1238" s="213">
        <v>313</v>
      </c>
      <c r="B1238" s="40" t="s">
        <v>7944</v>
      </c>
      <c r="C1238" s="19" t="s">
        <v>7946</v>
      </c>
      <c r="D1238" s="204" t="s">
        <v>2398</v>
      </c>
      <c r="E1238" s="204" t="s">
        <v>2405</v>
      </c>
      <c r="F1238" s="204" t="s">
        <v>7951</v>
      </c>
      <c r="G1238" s="204" t="s">
        <v>7956</v>
      </c>
      <c r="H1238" s="204" t="s">
        <v>6324</v>
      </c>
      <c r="I1238" s="21">
        <v>51.761150399999998</v>
      </c>
      <c r="J1238" s="21">
        <v>50.8381112</v>
      </c>
      <c r="K1238" s="21">
        <v>623.70000000000005</v>
      </c>
      <c r="L1238" s="204">
        <v>1992</v>
      </c>
      <c r="M1238" s="204">
        <v>2015</v>
      </c>
      <c r="N1238" s="82" t="s">
        <v>2276</v>
      </c>
      <c r="O1238" s="19" t="s">
        <v>67</v>
      </c>
      <c r="P1238" s="19" t="s">
        <v>5187</v>
      </c>
      <c r="Q1238" s="4" t="s">
        <v>7974</v>
      </c>
    </row>
    <row r="1239" spans="1:17" ht="47.5" customHeight="1">
      <c r="A1239" s="213">
        <v>313</v>
      </c>
      <c r="B1239" s="40" t="s">
        <v>7944</v>
      </c>
      <c r="C1239" s="19" t="s">
        <v>7947</v>
      </c>
      <c r="D1239" s="204" t="s">
        <v>2398</v>
      </c>
      <c r="E1239" s="204" t="s">
        <v>2405</v>
      </c>
      <c r="F1239" s="204" t="s">
        <v>7952</v>
      </c>
      <c r="G1239" s="204" t="s">
        <v>7956</v>
      </c>
      <c r="H1239" s="204" t="s">
        <v>6324</v>
      </c>
      <c r="I1239" s="21">
        <v>51.194652699999999</v>
      </c>
      <c r="J1239" s="21">
        <v>56.697021100000001</v>
      </c>
      <c r="K1239" s="21">
        <v>1203.9000000000001</v>
      </c>
      <c r="L1239" s="204">
        <v>1992</v>
      </c>
      <c r="M1239" s="204">
        <v>2015</v>
      </c>
      <c r="N1239" s="82" t="s">
        <v>2276</v>
      </c>
      <c r="O1239" s="19" t="s">
        <v>67</v>
      </c>
      <c r="P1239" s="19" t="s">
        <v>5187</v>
      </c>
      <c r="Q1239" s="4" t="s">
        <v>7974</v>
      </c>
    </row>
    <row r="1240" spans="1:17" ht="47.5" customHeight="1">
      <c r="A1240" s="213">
        <v>313</v>
      </c>
      <c r="B1240" s="40" t="s">
        <v>7944</v>
      </c>
      <c r="C1240" s="19" t="s">
        <v>7948</v>
      </c>
      <c r="D1240" s="204" t="s">
        <v>2398</v>
      </c>
      <c r="E1240" s="204" t="s">
        <v>2405</v>
      </c>
      <c r="F1240" s="204" t="s">
        <v>7954</v>
      </c>
      <c r="G1240" s="204" t="s">
        <v>7956</v>
      </c>
      <c r="H1240" s="204" t="s">
        <v>6324</v>
      </c>
      <c r="I1240" s="21">
        <v>50.7574933</v>
      </c>
      <c r="J1240" s="21">
        <v>57.497679699999999</v>
      </c>
      <c r="K1240" s="21">
        <v>736.6</v>
      </c>
      <c r="L1240" s="204">
        <v>1992</v>
      </c>
      <c r="M1240" s="204">
        <v>2015</v>
      </c>
      <c r="N1240" s="82" t="s">
        <v>2276</v>
      </c>
      <c r="O1240" s="19" t="s">
        <v>67</v>
      </c>
      <c r="P1240" s="19" t="s">
        <v>5187</v>
      </c>
      <c r="Q1240" s="4" t="s">
        <v>7974</v>
      </c>
    </row>
    <row r="1241" spans="1:17" ht="47.5" customHeight="1">
      <c r="A1241" s="213">
        <v>313</v>
      </c>
      <c r="B1241" s="40" t="s">
        <v>7944</v>
      </c>
      <c r="C1241" s="19" t="s">
        <v>7949</v>
      </c>
      <c r="D1241" s="204" t="s">
        <v>2398</v>
      </c>
      <c r="E1241" s="204" t="s">
        <v>2405</v>
      </c>
      <c r="F1241" s="204" t="s">
        <v>7953</v>
      </c>
      <c r="G1241" s="204" t="s">
        <v>7956</v>
      </c>
      <c r="H1241" s="204" t="s">
        <v>6324</v>
      </c>
      <c r="I1241" s="21">
        <v>50.923503199999999</v>
      </c>
      <c r="J1241" s="21">
        <v>55.386643200000002</v>
      </c>
      <c r="K1241" s="21">
        <v>1216.2</v>
      </c>
      <c r="L1241" s="204">
        <v>1992</v>
      </c>
      <c r="M1241" s="204">
        <v>2015</v>
      </c>
      <c r="N1241" s="82" t="s">
        <v>2276</v>
      </c>
      <c r="O1241" s="19" t="s">
        <v>67</v>
      </c>
      <c r="P1241" s="19" t="s">
        <v>5187</v>
      </c>
      <c r="Q1241" s="4" t="s">
        <v>7974</v>
      </c>
    </row>
    <row r="1242" spans="1:17" ht="47.5" customHeight="1">
      <c r="A1242" s="213">
        <v>313</v>
      </c>
      <c r="B1242" s="40" t="s">
        <v>7944</v>
      </c>
      <c r="C1242" s="19" t="s">
        <v>7950</v>
      </c>
      <c r="D1242" s="204" t="s">
        <v>2398</v>
      </c>
      <c r="E1242" s="204" t="s">
        <v>2405</v>
      </c>
      <c r="F1242" s="204" t="s">
        <v>7955</v>
      </c>
      <c r="G1242" s="204" t="s">
        <v>7956</v>
      </c>
      <c r="H1242" s="204" t="s">
        <v>6324</v>
      </c>
      <c r="I1242" s="21">
        <v>50.550775899999998</v>
      </c>
      <c r="J1242" s="21">
        <v>60.494869000000001</v>
      </c>
      <c r="K1242" s="21">
        <v>1316</v>
      </c>
      <c r="L1242" s="204">
        <v>1992</v>
      </c>
      <c r="M1242" s="204">
        <v>2015</v>
      </c>
      <c r="N1242" s="82" t="s">
        <v>2276</v>
      </c>
      <c r="O1242" s="19" t="s">
        <v>67</v>
      </c>
      <c r="P1242" s="19" t="s">
        <v>5187</v>
      </c>
      <c r="Q1242" s="4" t="s">
        <v>7974</v>
      </c>
    </row>
    <row r="1243" spans="1:17" ht="49.5" customHeight="1">
      <c r="A1243" s="213">
        <v>314</v>
      </c>
      <c r="B1243" s="40" t="s">
        <v>7975</v>
      </c>
      <c r="C1243" s="19" t="s">
        <v>7976</v>
      </c>
      <c r="D1243" s="204" t="s">
        <v>2398</v>
      </c>
      <c r="E1243" s="204" t="s">
        <v>2405</v>
      </c>
      <c r="F1243" s="11" t="s">
        <v>2276</v>
      </c>
      <c r="G1243" s="11" t="s">
        <v>7978</v>
      </c>
      <c r="H1243" s="11" t="s">
        <v>7979</v>
      </c>
      <c r="I1243" s="21">
        <v>49.209090799999998</v>
      </c>
      <c r="J1243" s="21">
        <v>66.233013</v>
      </c>
      <c r="K1243" s="21">
        <v>540000</v>
      </c>
      <c r="L1243" s="204">
        <v>1990</v>
      </c>
      <c r="M1243" s="204">
        <v>1990</v>
      </c>
      <c r="N1243" s="82" t="s">
        <v>2276</v>
      </c>
      <c r="O1243" s="19" t="s">
        <v>67</v>
      </c>
      <c r="P1243" s="19" t="s">
        <v>5187</v>
      </c>
      <c r="Q1243" s="19" t="s">
        <v>7974</v>
      </c>
    </row>
    <row r="1244" spans="1:17" ht="53" customHeight="1">
      <c r="A1244" s="213">
        <v>314</v>
      </c>
      <c r="B1244" s="40" t="s">
        <v>7975</v>
      </c>
      <c r="C1244" s="19" t="s">
        <v>7977</v>
      </c>
      <c r="D1244" s="204" t="s">
        <v>2398</v>
      </c>
      <c r="E1244" s="204" t="s">
        <v>2405</v>
      </c>
      <c r="F1244" s="11" t="s">
        <v>2276</v>
      </c>
      <c r="G1244" s="11" t="s">
        <v>7978</v>
      </c>
      <c r="H1244" s="11" t="s">
        <v>7979</v>
      </c>
      <c r="I1244" s="21">
        <v>49.209090799999998</v>
      </c>
      <c r="J1244" s="21">
        <v>66.233013</v>
      </c>
      <c r="K1244" s="21">
        <v>540000</v>
      </c>
      <c r="L1244" s="204">
        <v>2010</v>
      </c>
      <c r="M1244" s="204">
        <v>2015</v>
      </c>
      <c r="N1244" s="82" t="s">
        <v>2276</v>
      </c>
      <c r="O1244" s="19" t="s">
        <v>67</v>
      </c>
      <c r="P1244" s="19" t="s">
        <v>5187</v>
      </c>
      <c r="Q1244" s="19" t="s">
        <v>7974</v>
      </c>
    </row>
    <row r="1245" spans="1:17" ht="39" customHeight="1">
      <c r="A1245" s="213">
        <v>315</v>
      </c>
      <c r="B1245" s="40" t="s">
        <v>7990</v>
      </c>
      <c r="C1245" s="19" t="s">
        <v>7991</v>
      </c>
      <c r="D1245" s="204" t="s">
        <v>2398</v>
      </c>
      <c r="E1245" s="204" t="s">
        <v>4847</v>
      </c>
      <c r="F1245" s="11" t="s">
        <v>2276</v>
      </c>
      <c r="G1245" s="11" t="s">
        <v>7992</v>
      </c>
      <c r="H1245" s="11" t="s">
        <v>4112</v>
      </c>
      <c r="I1245" s="21">
        <v>31.168934</v>
      </c>
      <c r="J1245" s="21">
        <v>-100.0768425</v>
      </c>
      <c r="K1245" s="21">
        <v>695662</v>
      </c>
      <c r="L1245" s="11">
        <v>1989</v>
      </c>
      <c r="M1245" s="11">
        <v>1989</v>
      </c>
      <c r="N1245" s="82" t="s">
        <v>2276</v>
      </c>
      <c r="O1245" s="19" t="s">
        <v>67</v>
      </c>
      <c r="P1245" s="19" t="s">
        <v>5187</v>
      </c>
      <c r="Q1245" s="204"/>
    </row>
    <row r="1246" spans="1:17" ht="40" customHeight="1">
      <c r="A1246" s="213">
        <v>316</v>
      </c>
      <c r="B1246" s="40" t="s">
        <v>7999</v>
      </c>
      <c r="C1246" s="19" t="s">
        <v>8000</v>
      </c>
      <c r="D1246" s="204" t="s">
        <v>2398</v>
      </c>
      <c r="E1246" s="204" t="s">
        <v>2399</v>
      </c>
      <c r="F1246" s="11" t="s">
        <v>8004</v>
      </c>
      <c r="G1246" s="11" t="s">
        <v>8002</v>
      </c>
      <c r="H1246" s="11" t="s">
        <v>4112</v>
      </c>
      <c r="I1246" s="21">
        <v>41.059414599999997</v>
      </c>
      <c r="J1246" s="21">
        <v>-115.52958649999999</v>
      </c>
      <c r="K1246" s="11" t="s">
        <v>2276</v>
      </c>
      <c r="L1246" s="204">
        <v>2006</v>
      </c>
      <c r="M1246" s="204">
        <v>2006</v>
      </c>
      <c r="N1246" s="82" t="s">
        <v>2276</v>
      </c>
      <c r="O1246" s="19" t="s">
        <v>67</v>
      </c>
      <c r="P1246" s="19" t="s">
        <v>5187</v>
      </c>
      <c r="Q1246" s="204"/>
    </row>
    <row r="1247" spans="1:17" ht="40" customHeight="1">
      <c r="A1247" s="213">
        <v>316</v>
      </c>
      <c r="B1247" s="40" t="s">
        <v>7999</v>
      </c>
      <c r="C1247" s="19" t="s">
        <v>8006</v>
      </c>
      <c r="D1247" s="204" t="s">
        <v>2398</v>
      </c>
      <c r="E1247" s="204" t="s">
        <v>2399</v>
      </c>
      <c r="F1247" s="11" t="s">
        <v>8001</v>
      </c>
      <c r="G1247" s="11" t="s">
        <v>6382</v>
      </c>
      <c r="H1247" s="11" t="s">
        <v>4112</v>
      </c>
      <c r="I1247" s="21">
        <v>42.805290999999997</v>
      </c>
      <c r="J1247" s="21">
        <v>-120.35529459999999</v>
      </c>
      <c r="K1247" s="11" t="s">
        <v>2276</v>
      </c>
      <c r="L1247" s="204">
        <v>2006</v>
      </c>
      <c r="M1247" s="204">
        <v>2006</v>
      </c>
      <c r="N1247" s="82" t="s">
        <v>2276</v>
      </c>
      <c r="O1247" s="19" t="s">
        <v>67</v>
      </c>
      <c r="P1247" s="19" t="s">
        <v>5187</v>
      </c>
      <c r="Q1247" s="204"/>
    </row>
    <row r="1248" spans="1:17" ht="40" customHeight="1">
      <c r="A1248" s="213">
        <v>316</v>
      </c>
      <c r="B1248" s="40" t="s">
        <v>7999</v>
      </c>
      <c r="C1248" s="19" t="s">
        <v>8007</v>
      </c>
      <c r="D1248" s="204" t="s">
        <v>2398</v>
      </c>
      <c r="E1248" s="204" t="s">
        <v>2399</v>
      </c>
      <c r="F1248" s="11" t="s">
        <v>8005</v>
      </c>
      <c r="G1248" s="11" t="s">
        <v>8003</v>
      </c>
      <c r="H1248" s="11" t="s">
        <v>4112</v>
      </c>
      <c r="I1248" s="21">
        <v>39.064330499999997</v>
      </c>
      <c r="J1248" s="21">
        <v>-113.032141</v>
      </c>
      <c r="K1248" s="11" t="s">
        <v>2276</v>
      </c>
      <c r="L1248" s="204">
        <v>2006</v>
      </c>
      <c r="M1248" s="204">
        <v>2006</v>
      </c>
      <c r="N1248" s="82" t="s">
        <v>2276</v>
      </c>
      <c r="O1248" s="19" t="s">
        <v>67</v>
      </c>
      <c r="P1248" s="19" t="s">
        <v>5187</v>
      </c>
      <c r="Q1248" s="204"/>
    </row>
    <row r="1249" spans="1:17" ht="35.5" customHeight="1">
      <c r="A1249" s="219">
        <v>317</v>
      </c>
      <c r="B1249" s="54" t="s">
        <v>8012</v>
      </c>
      <c r="C1249" s="55" t="s">
        <v>8013</v>
      </c>
      <c r="D1249" s="38" t="s">
        <v>2398</v>
      </c>
      <c r="E1249" s="38" t="s">
        <v>2399</v>
      </c>
      <c r="F1249" s="11" t="s">
        <v>2276</v>
      </c>
      <c r="G1249" s="204" t="s">
        <v>8014</v>
      </c>
      <c r="H1249" s="38" t="s">
        <v>4051</v>
      </c>
      <c r="I1249" s="73">
        <v>38.365554500000002</v>
      </c>
      <c r="J1249" s="73">
        <v>23.090027500000001</v>
      </c>
      <c r="K1249" s="73">
        <f>295200/100</f>
        <v>2952</v>
      </c>
      <c r="L1249" s="38">
        <v>2008</v>
      </c>
      <c r="M1249" s="38">
        <v>2008</v>
      </c>
      <c r="N1249" s="220">
        <f>123913/K1249</f>
        <v>41.975948509485093</v>
      </c>
      <c r="O1249" s="55" t="s">
        <v>67</v>
      </c>
      <c r="P1249" s="55" t="s">
        <v>5187</v>
      </c>
      <c r="Q1249" s="38"/>
    </row>
    <row r="1250" spans="1:17" ht="42" customHeight="1">
      <c r="A1250" s="213">
        <v>318</v>
      </c>
      <c r="B1250" s="40" t="s">
        <v>8018</v>
      </c>
      <c r="C1250" s="19" t="s">
        <v>8019</v>
      </c>
      <c r="D1250" s="204" t="s">
        <v>2398</v>
      </c>
      <c r="E1250" s="204" t="s">
        <v>2399</v>
      </c>
      <c r="F1250" s="204" t="s">
        <v>8022</v>
      </c>
      <c r="G1250" s="204" t="s">
        <v>8021</v>
      </c>
      <c r="H1250" s="11" t="s">
        <v>121</v>
      </c>
      <c r="I1250" s="21">
        <v>-28.203432500000002</v>
      </c>
      <c r="J1250" s="21">
        <v>-49.524720600000002</v>
      </c>
      <c r="K1250" s="21">
        <f>(49300-12000)/100</f>
        <v>373</v>
      </c>
      <c r="L1250" s="204">
        <v>2016</v>
      </c>
      <c r="M1250" s="204">
        <v>2016</v>
      </c>
      <c r="N1250" s="82" t="s">
        <v>2276</v>
      </c>
      <c r="O1250" s="55" t="s">
        <v>67</v>
      </c>
      <c r="P1250" s="55" t="s">
        <v>5187</v>
      </c>
      <c r="Q1250" s="204"/>
    </row>
    <row r="1251" spans="1:17" ht="38" customHeight="1">
      <c r="A1251" s="213">
        <v>318</v>
      </c>
      <c r="B1251" s="40" t="s">
        <v>8018</v>
      </c>
      <c r="C1251" s="19" t="s">
        <v>8020</v>
      </c>
      <c r="D1251" s="204" t="s">
        <v>2398</v>
      </c>
      <c r="E1251" s="204" t="s">
        <v>2399</v>
      </c>
      <c r="F1251" s="204" t="s">
        <v>8022</v>
      </c>
      <c r="G1251" s="204" t="s">
        <v>8021</v>
      </c>
      <c r="H1251" s="11" t="s">
        <v>121</v>
      </c>
      <c r="I1251" s="21">
        <v>-28.203432500000002</v>
      </c>
      <c r="J1251" s="21">
        <v>-49.524720600000002</v>
      </c>
      <c r="K1251" s="21">
        <f>12000/100</f>
        <v>120</v>
      </c>
      <c r="L1251" s="204">
        <v>2016</v>
      </c>
      <c r="M1251" s="204">
        <v>2016</v>
      </c>
      <c r="N1251" s="82" t="s">
        <v>2276</v>
      </c>
      <c r="O1251" s="55" t="s">
        <v>67</v>
      </c>
      <c r="P1251" s="55" t="s">
        <v>5187</v>
      </c>
      <c r="Q1251" s="204"/>
    </row>
    <row r="1252" spans="1:17" ht="32" customHeight="1">
      <c r="A1252" s="213">
        <v>319</v>
      </c>
      <c r="B1252" s="40" t="s">
        <v>8029</v>
      </c>
      <c r="C1252" s="19" t="s">
        <v>8030</v>
      </c>
      <c r="D1252" s="204" t="s">
        <v>2398</v>
      </c>
      <c r="E1252" s="204" t="s">
        <v>2399</v>
      </c>
      <c r="F1252" s="11" t="s">
        <v>8031</v>
      </c>
      <c r="G1252" s="11" t="s">
        <v>2276</v>
      </c>
      <c r="H1252" s="11" t="s">
        <v>121</v>
      </c>
      <c r="I1252" s="21">
        <v>-13.3238237</v>
      </c>
      <c r="J1252" s="21">
        <v>-51.679792200000001</v>
      </c>
      <c r="K1252" s="74" t="s">
        <v>2276</v>
      </c>
      <c r="L1252" s="11">
        <v>2005</v>
      </c>
      <c r="M1252" s="11">
        <v>2005</v>
      </c>
      <c r="N1252" s="82" t="s">
        <v>2276</v>
      </c>
      <c r="O1252" s="19" t="s">
        <v>67</v>
      </c>
      <c r="P1252" s="19" t="s">
        <v>5187</v>
      </c>
      <c r="Q1252" s="204" t="s">
        <v>4663</v>
      </c>
    </row>
    <row r="1253" spans="1:17" ht="32" customHeight="1">
      <c r="A1253" s="213">
        <v>320</v>
      </c>
      <c r="B1253" s="40" t="s">
        <v>8037</v>
      </c>
      <c r="C1253" s="19" t="s">
        <v>8038</v>
      </c>
      <c r="D1253" s="204" t="s">
        <v>2398</v>
      </c>
      <c r="E1253" s="204" t="s">
        <v>2636</v>
      </c>
      <c r="F1253" s="11" t="s">
        <v>2276</v>
      </c>
      <c r="G1253" s="204" t="s">
        <v>8039</v>
      </c>
      <c r="H1253" s="204" t="s">
        <v>4112</v>
      </c>
      <c r="I1253" s="21">
        <v>41.500819499999999</v>
      </c>
      <c r="J1253" s="21">
        <v>-99.680902000000003</v>
      </c>
      <c r="K1253" s="74" t="s">
        <v>2276</v>
      </c>
      <c r="L1253" s="204">
        <v>2013</v>
      </c>
      <c r="M1253" s="204">
        <v>2013</v>
      </c>
      <c r="N1253" s="82" t="s">
        <v>2276</v>
      </c>
      <c r="O1253" s="19" t="s">
        <v>67</v>
      </c>
      <c r="P1253" s="19" t="s">
        <v>5187</v>
      </c>
      <c r="Q1253" s="204"/>
    </row>
    <row r="1254" spans="1:17" ht="35.5" customHeight="1">
      <c r="A1254" s="213">
        <v>320</v>
      </c>
      <c r="B1254" s="40" t="s">
        <v>8037</v>
      </c>
      <c r="C1254" s="19" t="s">
        <v>8040</v>
      </c>
      <c r="D1254" s="204" t="s">
        <v>2398</v>
      </c>
      <c r="E1254" s="204" t="s">
        <v>2636</v>
      </c>
      <c r="F1254" s="11" t="s">
        <v>2276</v>
      </c>
      <c r="G1254" s="204" t="s">
        <v>8054</v>
      </c>
      <c r="H1254" s="204" t="s">
        <v>4112</v>
      </c>
      <c r="I1254" s="21">
        <v>33.341137000000003</v>
      </c>
      <c r="J1254" s="21">
        <v>-93.667402699999997</v>
      </c>
      <c r="K1254" s="74" t="s">
        <v>2276</v>
      </c>
      <c r="L1254" s="204">
        <v>2013</v>
      </c>
      <c r="M1254" s="204">
        <v>2013</v>
      </c>
      <c r="N1254" s="82" t="s">
        <v>2276</v>
      </c>
      <c r="O1254" s="19" t="s">
        <v>67</v>
      </c>
      <c r="P1254" s="19" t="s">
        <v>5187</v>
      </c>
      <c r="Q1254" s="204"/>
    </row>
    <row r="1255" spans="1:17" ht="32" customHeight="1">
      <c r="A1255" s="213">
        <v>321</v>
      </c>
      <c r="B1255" s="40" t="s">
        <v>8055</v>
      </c>
      <c r="C1255" s="19" t="s">
        <v>8056</v>
      </c>
      <c r="D1255" s="204" t="s">
        <v>2398</v>
      </c>
      <c r="E1255" s="204" t="s">
        <v>2399</v>
      </c>
      <c r="F1255" s="204" t="s">
        <v>2712</v>
      </c>
      <c r="G1255" s="204" t="s">
        <v>166</v>
      </c>
      <c r="H1255" s="204" t="s">
        <v>121</v>
      </c>
      <c r="I1255" s="21">
        <v>-2.8860166</v>
      </c>
      <c r="J1255" s="21">
        <v>-47.151278699999999</v>
      </c>
      <c r="K1255" s="74">
        <f>'Land use'!I1255*30/100</f>
        <v>1870.3422053231939</v>
      </c>
      <c r="L1255" s="204">
        <v>1965</v>
      </c>
      <c r="M1255" s="204">
        <v>1985</v>
      </c>
      <c r="N1255" s="82" t="s">
        <v>2276</v>
      </c>
      <c r="O1255" s="19" t="s">
        <v>67</v>
      </c>
      <c r="P1255" s="19" t="s">
        <v>5187</v>
      </c>
      <c r="Q1255" s="204"/>
    </row>
    <row r="1256" spans="1:17" ht="30.5" customHeight="1">
      <c r="A1256" s="213">
        <v>322</v>
      </c>
      <c r="B1256" s="40" t="s">
        <v>8062</v>
      </c>
      <c r="C1256" s="19" t="s">
        <v>8063</v>
      </c>
      <c r="D1256" s="204" t="s">
        <v>2398</v>
      </c>
      <c r="E1256" s="204" t="s">
        <v>2399</v>
      </c>
      <c r="F1256" s="11" t="s">
        <v>2276</v>
      </c>
      <c r="G1256" s="11" t="s">
        <v>2276</v>
      </c>
      <c r="H1256" s="204" t="s">
        <v>4112</v>
      </c>
      <c r="I1256" s="21">
        <v>37.6</v>
      </c>
      <c r="J1256" s="21">
        <v>-95.665000000000006</v>
      </c>
      <c r="K1256" s="74" t="s">
        <v>2276</v>
      </c>
      <c r="L1256" s="204">
        <v>2003</v>
      </c>
      <c r="M1256" s="204">
        <v>2003</v>
      </c>
      <c r="N1256" s="82" t="s">
        <v>2276</v>
      </c>
      <c r="O1256" s="19" t="s">
        <v>67</v>
      </c>
      <c r="P1256" s="19" t="s">
        <v>5187</v>
      </c>
      <c r="Q1256" s="204" t="s">
        <v>8064</v>
      </c>
    </row>
    <row r="1257" spans="1:17" ht="34.5" customHeight="1">
      <c r="A1257" s="213">
        <v>323</v>
      </c>
      <c r="B1257" s="40" t="s">
        <v>8071</v>
      </c>
      <c r="C1257" s="19" t="s">
        <v>8069</v>
      </c>
      <c r="D1257" s="204" t="s">
        <v>2398</v>
      </c>
      <c r="E1257" s="204" t="s">
        <v>2399</v>
      </c>
      <c r="F1257" s="11" t="s">
        <v>2276</v>
      </c>
      <c r="G1257" s="11" t="s">
        <v>8070</v>
      </c>
      <c r="H1257" s="11" t="s">
        <v>929</v>
      </c>
      <c r="I1257" s="21">
        <v>-1.7226115</v>
      </c>
      <c r="J1257" s="21">
        <v>-78.578197799999998</v>
      </c>
      <c r="K1257" s="74" t="s">
        <v>2276</v>
      </c>
      <c r="L1257" s="204">
        <v>2011</v>
      </c>
      <c r="M1257" s="204">
        <v>2011</v>
      </c>
      <c r="N1257" s="82" t="s">
        <v>2276</v>
      </c>
      <c r="O1257" s="19" t="s">
        <v>67</v>
      </c>
      <c r="P1257" s="19" t="s">
        <v>5187</v>
      </c>
      <c r="Q1257" s="204"/>
    </row>
    <row r="1258" spans="1:17" ht="36.5" customHeight="1">
      <c r="A1258" s="213">
        <v>324</v>
      </c>
      <c r="B1258" s="40" t="s">
        <v>8075</v>
      </c>
      <c r="C1258" s="19" t="s">
        <v>8076</v>
      </c>
      <c r="D1258" s="204" t="s">
        <v>2398</v>
      </c>
      <c r="E1258" s="204" t="s">
        <v>2422</v>
      </c>
      <c r="F1258" s="11" t="s">
        <v>2276</v>
      </c>
      <c r="G1258" s="204" t="s">
        <v>7102</v>
      </c>
      <c r="H1258" s="204" t="s">
        <v>6116</v>
      </c>
      <c r="I1258" s="21">
        <v>42.986513199999997</v>
      </c>
      <c r="J1258" s="21">
        <v>-0.81194359999999999</v>
      </c>
      <c r="K1258" s="21">
        <v>125</v>
      </c>
      <c r="L1258" s="204">
        <v>1965</v>
      </c>
      <c r="M1258" s="204">
        <v>2010</v>
      </c>
      <c r="N1258" s="82" t="s">
        <v>2276</v>
      </c>
      <c r="O1258" s="19" t="s">
        <v>67</v>
      </c>
      <c r="P1258" s="19" t="s">
        <v>5187</v>
      </c>
      <c r="Q1258" s="204"/>
    </row>
    <row r="1259" spans="1:17" s="203" customFormat="1" ht="36.5" customHeight="1">
      <c r="A1259" s="213">
        <v>325</v>
      </c>
      <c r="B1259" s="40" t="s">
        <v>8081</v>
      </c>
      <c r="C1259" s="19" t="s">
        <v>8082</v>
      </c>
      <c r="D1259" s="204" t="s">
        <v>2398</v>
      </c>
      <c r="E1259" s="204" t="s">
        <v>2399</v>
      </c>
      <c r="F1259" s="11" t="s">
        <v>8084</v>
      </c>
      <c r="G1259" s="11" t="s">
        <v>8083</v>
      </c>
      <c r="H1259" s="11" t="s">
        <v>5224</v>
      </c>
      <c r="I1259" s="21">
        <v>28.250747499999999</v>
      </c>
      <c r="J1259" s="21">
        <v>84.658917200000005</v>
      </c>
      <c r="K1259" s="21" t="s">
        <v>2276</v>
      </c>
      <c r="L1259" s="11">
        <v>1970</v>
      </c>
      <c r="M1259" s="11">
        <v>1970</v>
      </c>
      <c r="N1259" s="82" t="s">
        <v>2276</v>
      </c>
      <c r="O1259" s="19" t="s">
        <v>67</v>
      </c>
      <c r="P1259" s="19" t="s">
        <v>5187</v>
      </c>
      <c r="Q1259" s="204" t="s">
        <v>8086</v>
      </c>
    </row>
    <row r="1260" spans="1:17" ht="38" customHeight="1">
      <c r="A1260" s="213">
        <v>325</v>
      </c>
      <c r="B1260" s="40" t="s">
        <v>8081</v>
      </c>
      <c r="C1260" s="19" t="s">
        <v>8085</v>
      </c>
      <c r="D1260" s="204" t="s">
        <v>2398</v>
      </c>
      <c r="E1260" s="204" t="s">
        <v>2399</v>
      </c>
      <c r="F1260" s="11" t="s">
        <v>8084</v>
      </c>
      <c r="G1260" s="11" t="s">
        <v>8083</v>
      </c>
      <c r="H1260" s="11" t="s">
        <v>5224</v>
      </c>
      <c r="I1260" s="21">
        <v>28.250747499999999</v>
      </c>
      <c r="J1260" s="21">
        <v>84.658917200000005</v>
      </c>
      <c r="K1260" s="21" t="s">
        <v>2276</v>
      </c>
      <c r="L1260" s="11">
        <v>2009</v>
      </c>
      <c r="M1260" s="11">
        <v>2009</v>
      </c>
      <c r="N1260" s="82" t="s">
        <v>2276</v>
      </c>
      <c r="O1260" s="19" t="s">
        <v>67</v>
      </c>
      <c r="P1260" s="19" t="s">
        <v>5187</v>
      </c>
      <c r="Q1260" s="204"/>
    </row>
    <row r="1261" spans="1:17" ht="40.5" customHeight="1">
      <c r="A1261" s="213">
        <v>326</v>
      </c>
      <c r="B1261" s="40" t="s">
        <v>8097</v>
      </c>
      <c r="C1261" s="19" t="s">
        <v>8095</v>
      </c>
      <c r="D1261" s="204" t="s">
        <v>2398</v>
      </c>
      <c r="E1261" s="204" t="s">
        <v>2399</v>
      </c>
      <c r="F1261" s="11" t="s">
        <v>8098</v>
      </c>
      <c r="G1261" s="11" t="s">
        <v>2276</v>
      </c>
      <c r="H1261" s="11" t="s">
        <v>8099</v>
      </c>
      <c r="I1261" s="21">
        <f>46+37/60</f>
        <v>46.616666666666667</v>
      </c>
      <c r="J1261" s="21">
        <f>25+57/60</f>
        <v>25.95</v>
      </c>
      <c r="K1261" s="21">
        <v>60</v>
      </c>
      <c r="L1261" s="11">
        <v>2010</v>
      </c>
      <c r="M1261" s="11">
        <v>2010</v>
      </c>
      <c r="N1261" s="82" t="s">
        <v>2276</v>
      </c>
      <c r="O1261" s="19" t="s">
        <v>67</v>
      </c>
      <c r="P1261" s="19" t="s">
        <v>5187</v>
      </c>
      <c r="Q1261" s="4" t="s">
        <v>8100</v>
      </c>
    </row>
    <row r="1262" spans="1:17" ht="36" customHeight="1">
      <c r="A1262" s="213">
        <v>327</v>
      </c>
      <c r="B1262" s="40" t="s">
        <v>8106</v>
      </c>
      <c r="C1262" s="19" t="s">
        <v>8104</v>
      </c>
      <c r="D1262" s="204" t="s">
        <v>2398</v>
      </c>
      <c r="E1262" s="204" t="s">
        <v>2399</v>
      </c>
      <c r="F1262" s="204" t="s">
        <v>8105</v>
      </c>
      <c r="G1262" s="11" t="s">
        <v>2276</v>
      </c>
      <c r="H1262" s="204" t="s">
        <v>4942</v>
      </c>
      <c r="I1262" s="21">
        <f>45+13/60</f>
        <v>45.216666666666669</v>
      </c>
      <c r="J1262" s="21">
        <f>7+41/60</f>
        <v>7.6833333333333336</v>
      </c>
      <c r="K1262" s="21">
        <f>2635/100</f>
        <v>26.35</v>
      </c>
      <c r="L1262" s="204">
        <v>1999</v>
      </c>
      <c r="M1262" s="204">
        <v>2006</v>
      </c>
      <c r="N1262" s="82" t="s">
        <v>2276</v>
      </c>
      <c r="O1262" s="19" t="s">
        <v>67</v>
      </c>
      <c r="P1262" s="19" t="s">
        <v>5187</v>
      </c>
      <c r="Q1262" s="204"/>
    </row>
    <row r="1263" spans="1:17" ht="33" customHeight="1">
      <c r="A1263" s="213">
        <v>328</v>
      </c>
      <c r="B1263" s="40" t="s">
        <v>8114</v>
      </c>
      <c r="C1263" s="19" t="s">
        <v>8115</v>
      </c>
      <c r="D1263" s="204" t="s">
        <v>2398</v>
      </c>
      <c r="E1263" s="204" t="s">
        <v>4847</v>
      </c>
      <c r="F1263" s="4" t="s">
        <v>8116</v>
      </c>
      <c r="G1263" s="11" t="s">
        <v>2276</v>
      </c>
      <c r="H1263" s="204" t="s">
        <v>4942</v>
      </c>
      <c r="I1263" s="21">
        <v>40.335790000000003</v>
      </c>
      <c r="J1263" s="21">
        <v>15.651869</v>
      </c>
      <c r="K1263" s="21">
        <f>71838/100</f>
        <v>718.38</v>
      </c>
      <c r="L1263" s="204">
        <v>2004</v>
      </c>
      <c r="M1263" s="204">
        <v>2004</v>
      </c>
      <c r="N1263" s="82" t="s">
        <v>2276</v>
      </c>
      <c r="O1263" s="19" t="s">
        <v>67</v>
      </c>
      <c r="P1263" s="19" t="s">
        <v>5187</v>
      </c>
      <c r="Q1263" s="4" t="s">
        <v>8121</v>
      </c>
    </row>
    <row r="1264" spans="1:17" ht="33" customHeight="1">
      <c r="A1264" s="213">
        <v>328</v>
      </c>
      <c r="B1264" s="40" t="s">
        <v>8114</v>
      </c>
      <c r="C1264" s="19" t="s">
        <v>8115</v>
      </c>
      <c r="D1264" s="204" t="s">
        <v>2398</v>
      </c>
      <c r="E1264" s="204" t="s">
        <v>4847</v>
      </c>
      <c r="F1264" s="204" t="s">
        <v>8117</v>
      </c>
      <c r="G1264" s="204" t="s">
        <v>8118</v>
      </c>
      <c r="H1264" s="204" t="s">
        <v>4942</v>
      </c>
      <c r="I1264" s="21">
        <v>41.781708100000003</v>
      </c>
      <c r="J1264" s="21">
        <v>15.851642099999999</v>
      </c>
      <c r="K1264" s="21">
        <f>262000/100</f>
        <v>2620</v>
      </c>
      <c r="L1264" s="204">
        <v>2001</v>
      </c>
      <c r="M1264" s="204">
        <v>2001</v>
      </c>
      <c r="N1264" s="82" t="s">
        <v>2276</v>
      </c>
      <c r="O1264" s="19" t="s">
        <v>67</v>
      </c>
      <c r="P1264" s="19" t="s">
        <v>5187</v>
      </c>
      <c r="Q1264" s="4" t="s">
        <v>8121</v>
      </c>
    </row>
    <row r="1265" spans="1:17" ht="33" customHeight="1">
      <c r="A1265" s="213">
        <v>328</v>
      </c>
      <c r="B1265" s="40" t="s">
        <v>8114</v>
      </c>
      <c r="C1265" s="19" t="s">
        <v>8115</v>
      </c>
      <c r="D1265" s="204" t="s">
        <v>2398</v>
      </c>
      <c r="E1265" s="204" t="s">
        <v>4847</v>
      </c>
      <c r="F1265" s="204" t="s">
        <v>8119</v>
      </c>
      <c r="G1265" s="204" t="s">
        <v>7151</v>
      </c>
      <c r="H1265" s="204" t="s">
        <v>4942</v>
      </c>
      <c r="I1265" s="21">
        <v>41.1113772</v>
      </c>
      <c r="J1265" s="21">
        <v>16.882080200000001</v>
      </c>
      <c r="K1265" s="21">
        <f>513831/100</f>
        <v>5138.3100000000004</v>
      </c>
      <c r="L1265" s="204">
        <v>2001</v>
      </c>
      <c r="M1265" s="204">
        <v>2001</v>
      </c>
      <c r="N1265" s="82" t="s">
        <v>2276</v>
      </c>
      <c r="O1265" s="19" t="s">
        <v>67</v>
      </c>
      <c r="P1265" s="19" t="s">
        <v>5187</v>
      </c>
      <c r="Q1265" s="4" t="s">
        <v>8121</v>
      </c>
    </row>
    <row r="1266" spans="1:17" ht="33" customHeight="1">
      <c r="A1266" s="213">
        <v>328</v>
      </c>
      <c r="B1266" s="40" t="s">
        <v>8114</v>
      </c>
      <c r="C1266" s="19" t="s">
        <v>8115</v>
      </c>
      <c r="D1266" s="204" t="s">
        <v>2398</v>
      </c>
      <c r="E1266" s="204" t="s">
        <v>4847</v>
      </c>
      <c r="F1266" s="11" t="s">
        <v>2276</v>
      </c>
      <c r="G1266" s="204" t="s">
        <v>8120</v>
      </c>
      <c r="H1266" s="204" t="s">
        <v>4942</v>
      </c>
      <c r="I1266" s="21">
        <v>40.517362499999997</v>
      </c>
      <c r="J1266" s="21">
        <v>16.1010794</v>
      </c>
      <c r="K1266" s="21">
        <f>999461/100</f>
        <v>9994.61</v>
      </c>
      <c r="L1266" s="204">
        <v>2003</v>
      </c>
      <c r="M1266" s="204">
        <v>2003</v>
      </c>
      <c r="N1266" s="82" t="s">
        <v>2276</v>
      </c>
      <c r="O1266" s="19" t="s">
        <v>67</v>
      </c>
      <c r="P1266" s="19" t="s">
        <v>5187</v>
      </c>
      <c r="Q1266" s="4" t="s">
        <v>8121</v>
      </c>
    </row>
    <row r="1267" spans="1:17" ht="33.5" customHeight="1">
      <c r="A1267" s="213">
        <v>329</v>
      </c>
      <c r="B1267" s="40" t="s">
        <v>8157</v>
      </c>
      <c r="C1267" s="19" t="s">
        <v>8158</v>
      </c>
      <c r="D1267" s="204" t="s">
        <v>2398</v>
      </c>
      <c r="E1267" s="204" t="s">
        <v>2400</v>
      </c>
      <c r="F1267" s="204" t="s">
        <v>5999</v>
      </c>
      <c r="G1267" s="204" t="s">
        <v>8159</v>
      </c>
      <c r="H1267" s="204" t="s">
        <v>3414</v>
      </c>
      <c r="I1267" s="21">
        <v>-23.0248937</v>
      </c>
      <c r="J1267" s="21">
        <v>122.2501329</v>
      </c>
      <c r="K1267" s="82" t="s">
        <v>2276</v>
      </c>
      <c r="L1267" s="204">
        <v>2002</v>
      </c>
      <c r="M1267" s="204">
        <v>2002</v>
      </c>
      <c r="N1267" s="82" t="s">
        <v>2276</v>
      </c>
      <c r="O1267" s="19" t="s">
        <v>67</v>
      </c>
      <c r="P1267" s="19" t="s">
        <v>5187</v>
      </c>
      <c r="Q1267" s="204"/>
    </row>
    <row r="1268" spans="1:17" ht="34.5" customHeight="1">
      <c r="A1268" s="213">
        <v>330</v>
      </c>
      <c r="B1268" s="40" t="s">
        <v>8166</v>
      </c>
      <c r="C1268" s="19" t="s">
        <v>8167</v>
      </c>
      <c r="D1268" s="11" t="s">
        <v>2398</v>
      </c>
      <c r="E1268" s="204" t="s">
        <v>2400</v>
      </c>
      <c r="F1268" s="204" t="s">
        <v>8169</v>
      </c>
      <c r="G1268" s="11" t="s">
        <v>2276</v>
      </c>
      <c r="H1268" s="204" t="s">
        <v>3798</v>
      </c>
      <c r="I1268" s="21">
        <v>10.3746457</v>
      </c>
      <c r="J1268" s="21">
        <v>-7.5191796000000002</v>
      </c>
      <c r="K1268" s="21">
        <v>33670</v>
      </c>
      <c r="L1268" s="204">
        <v>1999</v>
      </c>
      <c r="M1268" s="204">
        <v>2011</v>
      </c>
      <c r="N1268" s="82" t="s">
        <v>2276</v>
      </c>
      <c r="O1268" s="19" t="s">
        <v>67</v>
      </c>
      <c r="P1268" s="19" t="s">
        <v>5187</v>
      </c>
      <c r="Q1268" s="4" t="s">
        <v>8170</v>
      </c>
    </row>
    <row r="1269" spans="1:17" ht="32.5" customHeight="1">
      <c r="A1269" s="213">
        <v>330</v>
      </c>
      <c r="B1269" s="40" t="s">
        <v>8166</v>
      </c>
      <c r="C1269" s="19" t="s">
        <v>8168</v>
      </c>
      <c r="D1269" s="11" t="s">
        <v>2398</v>
      </c>
      <c r="E1269" s="204" t="s">
        <v>2400</v>
      </c>
      <c r="F1269" s="204" t="s">
        <v>8169</v>
      </c>
      <c r="G1269" s="11" t="s">
        <v>2276</v>
      </c>
      <c r="H1269" s="204" t="s">
        <v>1949</v>
      </c>
      <c r="I1269" s="21">
        <v>10.8939013</v>
      </c>
      <c r="J1269" s="21">
        <v>-2.6108250000000002</v>
      </c>
      <c r="K1269" s="21">
        <v>33670</v>
      </c>
      <c r="L1269" s="204">
        <v>2006</v>
      </c>
      <c r="M1269" s="204">
        <v>2007</v>
      </c>
      <c r="N1269" s="82" t="s">
        <v>2276</v>
      </c>
      <c r="O1269" s="19" t="s">
        <v>67</v>
      </c>
      <c r="P1269" s="19" t="s">
        <v>5187</v>
      </c>
      <c r="Q1269" s="4" t="s">
        <v>8170</v>
      </c>
    </row>
    <row r="1270" spans="1:17" ht="35.5" customHeight="1">
      <c r="A1270" s="213">
        <v>331</v>
      </c>
      <c r="B1270" s="40" t="s">
        <v>8190</v>
      </c>
      <c r="C1270" s="19" t="s">
        <v>8191</v>
      </c>
      <c r="D1270" s="11" t="s">
        <v>2398</v>
      </c>
      <c r="E1270" s="204" t="s">
        <v>2420</v>
      </c>
      <c r="F1270" s="204" t="s">
        <v>8192</v>
      </c>
      <c r="G1270" s="204" t="s">
        <v>8193</v>
      </c>
      <c r="H1270" s="11" t="s">
        <v>3414</v>
      </c>
      <c r="I1270" s="21">
        <v>-25.247209999999999</v>
      </c>
      <c r="J1270" s="21">
        <v>153.15142850000001</v>
      </c>
      <c r="K1270" s="21">
        <v>1655</v>
      </c>
      <c r="L1270" s="204">
        <v>1958</v>
      </c>
      <c r="M1270" s="204">
        <v>2016</v>
      </c>
      <c r="N1270" s="82" t="s">
        <v>2276</v>
      </c>
      <c r="O1270" s="19" t="s">
        <v>67</v>
      </c>
      <c r="P1270" s="19" t="s">
        <v>5187</v>
      </c>
      <c r="Q1270" s="204"/>
    </row>
    <row r="1271" spans="1:17" ht="45.5" customHeight="1">
      <c r="A1271" s="213">
        <v>332</v>
      </c>
      <c r="B1271" s="40" t="s">
        <v>8203</v>
      </c>
      <c r="C1271" s="19" t="s">
        <v>8202</v>
      </c>
      <c r="D1271" s="11" t="s">
        <v>2398</v>
      </c>
      <c r="E1271" s="204" t="s">
        <v>4847</v>
      </c>
      <c r="F1271" s="204" t="s">
        <v>8211</v>
      </c>
      <c r="G1271" s="11" t="s">
        <v>5372</v>
      </c>
      <c r="H1271" s="11" t="s">
        <v>5373</v>
      </c>
      <c r="I1271" s="21">
        <v>59.425642099999997</v>
      </c>
      <c r="J1271" s="21">
        <v>-126.1007951</v>
      </c>
      <c r="K1271" s="21">
        <f>40963/10</f>
        <v>4096.3</v>
      </c>
      <c r="L1271" s="11">
        <v>1922</v>
      </c>
      <c r="M1271" s="11">
        <v>2012</v>
      </c>
      <c r="N1271" s="82" t="s">
        <v>2276</v>
      </c>
      <c r="O1271" s="19" t="s">
        <v>67</v>
      </c>
      <c r="P1271" s="19" t="s">
        <v>5187</v>
      </c>
      <c r="Q1271" s="19" t="s">
        <v>8220</v>
      </c>
    </row>
    <row r="1272" spans="1:17" ht="45.5" customHeight="1">
      <c r="A1272" s="213">
        <v>332</v>
      </c>
      <c r="B1272" s="40" t="s">
        <v>8203</v>
      </c>
      <c r="C1272" s="19" t="s">
        <v>8208</v>
      </c>
      <c r="D1272" s="11" t="s">
        <v>2398</v>
      </c>
      <c r="E1272" s="204" t="s">
        <v>4847</v>
      </c>
      <c r="F1272" s="204" t="s">
        <v>8204</v>
      </c>
      <c r="G1272" s="11" t="s">
        <v>5372</v>
      </c>
      <c r="H1272" s="11" t="s">
        <v>5373</v>
      </c>
      <c r="I1272" s="21">
        <v>58.829031299999997</v>
      </c>
      <c r="J1272" s="21">
        <v>-126.9673714</v>
      </c>
      <c r="K1272" s="21">
        <f>12828810</f>
        <v>12828810</v>
      </c>
      <c r="L1272" s="11">
        <v>1922</v>
      </c>
      <c r="M1272" s="11">
        <v>2012</v>
      </c>
      <c r="N1272" s="82" t="s">
        <v>2276</v>
      </c>
      <c r="O1272" s="19" t="s">
        <v>67</v>
      </c>
      <c r="P1272" s="19" t="s">
        <v>5187</v>
      </c>
      <c r="Q1272" s="19" t="s">
        <v>8220</v>
      </c>
    </row>
    <row r="1273" spans="1:17" ht="45.5" customHeight="1">
      <c r="A1273" s="213">
        <v>332</v>
      </c>
      <c r="B1273" s="40" t="s">
        <v>8203</v>
      </c>
      <c r="C1273" s="19" t="s">
        <v>8209</v>
      </c>
      <c r="D1273" s="11" t="s">
        <v>2398</v>
      </c>
      <c r="E1273" s="204" t="s">
        <v>4847</v>
      </c>
      <c r="F1273" s="11" t="s">
        <v>8212</v>
      </c>
      <c r="G1273" s="11" t="s">
        <v>5372</v>
      </c>
      <c r="H1273" s="11" t="s">
        <v>5373</v>
      </c>
      <c r="I1273" s="21">
        <v>59.290074699999998</v>
      </c>
      <c r="J1273" s="21">
        <v>-127.0493494</v>
      </c>
      <c r="K1273" s="21">
        <f>15665/10</f>
        <v>1566.5</v>
      </c>
      <c r="L1273" s="11">
        <v>1922</v>
      </c>
      <c r="M1273" s="11">
        <v>2012</v>
      </c>
      <c r="N1273" s="82" t="s">
        <v>2276</v>
      </c>
      <c r="O1273" s="19" t="s">
        <v>67</v>
      </c>
      <c r="P1273" s="19" t="s">
        <v>5187</v>
      </c>
      <c r="Q1273" s="19" t="s">
        <v>8220</v>
      </c>
    </row>
    <row r="1274" spans="1:17" ht="45.5" customHeight="1">
      <c r="A1274" s="213">
        <v>332</v>
      </c>
      <c r="B1274" s="40" t="s">
        <v>8203</v>
      </c>
      <c r="C1274" s="19" t="s">
        <v>8210</v>
      </c>
      <c r="D1274" s="11" t="s">
        <v>2398</v>
      </c>
      <c r="E1274" s="204" t="s">
        <v>4847</v>
      </c>
      <c r="F1274" s="11" t="s">
        <v>8213</v>
      </c>
      <c r="G1274" s="11" t="s">
        <v>5372</v>
      </c>
      <c r="H1274" s="11" t="s">
        <v>5373</v>
      </c>
      <c r="I1274" s="21">
        <v>58.8477885</v>
      </c>
      <c r="J1274" s="21">
        <v>-125.23172409999999</v>
      </c>
      <c r="K1274" s="21">
        <f>34180/10</f>
        <v>3418</v>
      </c>
      <c r="L1274" s="11">
        <v>1922</v>
      </c>
      <c r="M1274" s="11">
        <v>2012</v>
      </c>
      <c r="N1274" s="82" t="s">
        <v>2276</v>
      </c>
      <c r="O1274" s="19" t="s">
        <v>67</v>
      </c>
      <c r="P1274" s="19" t="s">
        <v>5187</v>
      </c>
      <c r="Q1274" s="19" t="s">
        <v>8220</v>
      </c>
    </row>
    <row r="1275" spans="1:17" ht="45.5" customHeight="1">
      <c r="A1275" s="213">
        <v>332</v>
      </c>
      <c r="B1275" s="40" t="s">
        <v>8203</v>
      </c>
      <c r="C1275" s="19" t="s">
        <v>8217</v>
      </c>
      <c r="D1275" s="11" t="s">
        <v>2398</v>
      </c>
      <c r="E1275" s="204" t="s">
        <v>4847</v>
      </c>
      <c r="F1275" s="11" t="s">
        <v>8214</v>
      </c>
      <c r="G1275" s="11" t="s">
        <v>5372</v>
      </c>
      <c r="H1275" s="11" t="s">
        <v>5373</v>
      </c>
      <c r="I1275" s="21">
        <v>58.80574</v>
      </c>
      <c r="J1275" s="21">
        <v>-122.7109481</v>
      </c>
      <c r="K1275" s="21">
        <f>78188/10</f>
        <v>7818.8</v>
      </c>
      <c r="L1275" s="11">
        <v>1922</v>
      </c>
      <c r="M1275" s="11">
        <v>2012</v>
      </c>
      <c r="N1275" s="82" t="s">
        <v>2276</v>
      </c>
      <c r="O1275" s="19" t="s">
        <v>67</v>
      </c>
      <c r="P1275" s="19" t="s">
        <v>5187</v>
      </c>
      <c r="Q1275" s="19" t="s">
        <v>8220</v>
      </c>
    </row>
    <row r="1276" spans="1:17" ht="45.5" customHeight="1">
      <c r="A1276" s="213">
        <v>332</v>
      </c>
      <c r="B1276" s="40" t="s">
        <v>8203</v>
      </c>
      <c r="C1276" s="19" t="s">
        <v>8218</v>
      </c>
      <c r="D1276" s="11" t="s">
        <v>2398</v>
      </c>
      <c r="E1276" s="204" t="s">
        <v>4847</v>
      </c>
      <c r="F1276" s="11" t="s">
        <v>8215</v>
      </c>
      <c r="G1276" s="11" t="s">
        <v>5372</v>
      </c>
      <c r="H1276" s="11" t="s">
        <v>5373</v>
      </c>
      <c r="I1276" s="21">
        <v>57</v>
      </c>
      <c r="J1276" s="21">
        <v>-123.3677825</v>
      </c>
      <c r="K1276" s="21">
        <f>29473/10</f>
        <v>2947.3</v>
      </c>
      <c r="L1276" s="11">
        <v>1922</v>
      </c>
      <c r="M1276" s="11">
        <v>2012</v>
      </c>
      <c r="N1276" s="82" t="s">
        <v>2276</v>
      </c>
      <c r="O1276" s="19" t="s">
        <v>67</v>
      </c>
      <c r="P1276" s="19" t="s">
        <v>5187</v>
      </c>
      <c r="Q1276" s="19" t="s">
        <v>8220</v>
      </c>
    </row>
    <row r="1277" spans="1:17" ht="45.5" customHeight="1">
      <c r="A1277" s="213">
        <v>332</v>
      </c>
      <c r="B1277" s="40" t="s">
        <v>8203</v>
      </c>
      <c r="C1277" s="19" t="s">
        <v>8219</v>
      </c>
      <c r="D1277" s="11" t="s">
        <v>2398</v>
      </c>
      <c r="E1277" s="204" t="s">
        <v>4847</v>
      </c>
      <c r="F1277" s="11" t="s">
        <v>8216</v>
      </c>
      <c r="G1277" s="11" t="s">
        <v>5372</v>
      </c>
      <c r="H1277" s="11" t="s">
        <v>5373</v>
      </c>
      <c r="I1277" s="21">
        <v>57.5</v>
      </c>
      <c r="J1277" s="21">
        <v>-126.5</v>
      </c>
      <c r="K1277" s="21">
        <f>61049/10</f>
        <v>6104.9</v>
      </c>
      <c r="L1277" s="11">
        <v>1922</v>
      </c>
      <c r="M1277" s="11">
        <v>2012</v>
      </c>
      <c r="N1277" s="82" t="s">
        <v>2276</v>
      </c>
      <c r="O1277" s="19" t="s">
        <v>67</v>
      </c>
      <c r="P1277" s="19" t="s">
        <v>5187</v>
      </c>
      <c r="Q1277" s="19" t="s">
        <v>8220</v>
      </c>
    </row>
    <row r="1278" spans="1:17" ht="44.5" customHeight="1">
      <c r="A1278" s="213">
        <v>333</v>
      </c>
      <c r="B1278" s="40" t="s">
        <v>8201</v>
      </c>
      <c r="C1278" s="19" t="s">
        <v>8236</v>
      </c>
      <c r="D1278" s="11" t="s">
        <v>2398</v>
      </c>
      <c r="E1278" s="204" t="s">
        <v>2422</v>
      </c>
      <c r="F1278" s="11" t="s">
        <v>8204</v>
      </c>
      <c r="G1278" s="11" t="s">
        <v>5372</v>
      </c>
      <c r="H1278" s="11" t="s">
        <v>5373</v>
      </c>
      <c r="I1278" s="21">
        <v>58.8</v>
      </c>
      <c r="J1278" s="21">
        <v>-127.5</v>
      </c>
      <c r="K1278" s="21">
        <f>268059/100</f>
        <v>2680.59</v>
      </c>
      <c r="L1278" s="11">
        <v>2010</v>
      </c>
      <c r="M1278" s="11">
        <v>2012</v>
      </c>
      <c r="N1278" s="82" t="s">
        <v>2276</v>
      </c>
      <c r="O1278" s="19" t="s">
        <v>67</v>
      </c>
      <c r="P1278" s="19" t="s">
        <v>5187</v>
      </c>
      <c r="Q1278" s="204"/>
    </row>
    <row r="1279" spans="1:17" ht="44.5" customHeight="1">
      <c r="A1279" s="213">
        <v>333</v>
      </c>
      <c r="B1279" s="40" t="s">
        <v>8237</v>
      </c>
      <c r="C1279" s="19" t="s">
        <v>8240</v>
      </c>
      <c r="D1279" s="11" t="s">
        <v>2398</v>
      </c>
      <c r="E1279" s="204" t="s">
        <v>2422</v>
      </c>
      <c r="F1279" s="11" t="s">
        <v>8205</v>
      </c>
      <c r="G1279" s="11" t="s">
        <v>5372</v>
      </c>
      <c r="H1279" s="11" t="s">
        <v>5373</v>
      </c>
      <c r="I1279" s="21">
        <v>58.5</v>
      </c>
      <c r="J1279" s="21">
        <v>-124</v>
      </c>
      <c r="K1279" s="21">
        <f>383209/100</f>
        <v>3832.09</v>
      </c>
      <c r="L1279" s="11">
        <v>2010</v>
      </c>
      <c r="M1279" s="11">
        <v>2012</v>
      </c>
      <c r="N1279" s="82" t="s">
        <v>2276</v>
      </c>
      <c r="O1279" s="19" t="s">
        <v>67</v>
      </c>
      <c r="P1279" s="19" t="s">
        <v>5187</v>
      </c>
      <c r="Q1279" s="204"/>
    </row>
    <row r="1280" spans="1:17" ht="44.5" customHeight="1">
      <c r="A1280" s="213">
        <v>333</v>
      </c>
      <c r="B1280" s="40" t="s">
        <v>8238</v>
      </c>
      <c r="C1280" s="19" t="s">
        <v>8241</v>
      </c>
      <c r="D1280" s="11" t="s">
        <v>2398</v>
      </c>
      <c r="E1280" s="204" t="s">
        <v>2422</v>
      </c>
      <c r="F1280" s="11" t="s">
        <v>8206</v>
      </c>
      <c r="G1280" s="11" t="s">
        <v>5372</v>
      </c>
      <c r="H1280" s="11" t="s">
        <v>5373</v>
      </c>
      <c r="I1280" s="21">
        <v>58</v>
      </c>
      <c r="J1280" s="21">
        <v>-123.75</v>
      </c>
      <c r="K1280" s="21">
        <f>383209/100</f>
        <v>3832.09</v>
      </c>
      <c r="L1280" s="11">
        <v>2010</v>
      </c>
      <c r="M1280" s="11">
        <v>2012</v>
      </c>
      <c r="N1280" s="82" t="s">
        <v>2276</v>
      </c>
      <c r="O1280" s="19" t="s">
        <v>67</v>
      </c>
      <c r="P1280" s="19" t="s">
        <v>5187</v>
      </c>
      <c r="Q1280" s="204"/>
    </row>
    <row r="1281" spans="1:17" ht="44.5" customHeight="1">
      <c r="A1281" s="213">
        <v>333</v>
      </c>
      <c r="B1281" s="40" t="s">
        <v>8239</v>
      </c>
      <c r="C1281" s="19" t="s">
        <v>8242</v>
      </c>
      <c r="D1281" s="11" t="s">
        <v>2398</v>
      </c>
      <c r="E1281" s="204" t="s">
        <v>2422</v>
      </c>
      <c r="F1281" s="11" t="s">
        <v>8207</v>
      </c>
      <c r="G1281" s="11" t="s">
        <v>5372</v>
      </c>
      <c r="H1281" s="11" t="s">
        <v>5373</v>
      </c>
      <c r="I1281" s="21">
        <v>57.4</v>
      </c>
      <c r="J1281" s="21">
        <v>-123</v>
      </c>
      <c r="K1281" s="21">
        <f>27636/100</f>
        <v>276.36</v>
      </c>
      <c r="L1281" s="11">
        <v>2010</v>
      </c>
      <c r="M1281" s="11">
        <v>2012</v>
      </c>
      <c r="N1281" s="82" t="s">
        <v>2276</v>
      </c>
      <c r="O1281" s="19" t="s">
        <v>67</v>
      </c>
      <c r="P1281" s="19" t="s">
        <v>5187</v>
      </c>
      <c r="Q1281" s="204"/>
    </row>
    <row r="1282" spans="1:17" ht="51.5" customHeight="1">
      <c r="A1282" s="213">
        <v>334</v>
      </c>
      <c r="B1282" s="40" t="s">
        <v>8256</v>
      </c>
      <c r="C1282" s="19" t="s">
        <v>8257</v>
      </c>
      <c r="D1282" s="11" t="s">
        <v>2398</v>
      </c>
      <c r="E1282" s="204" t="s">
        <v>2399</v>
      </c>
      <c r="F1282" s="64" t="s">
        <v>8258</v>
      </c>
      <c r="G1282" s="11" t="s">
        <v>4605</v>
      </c>
      <c r="H1282" s="11" t="s">
        <v>3414</v>
      </c>
      <c r="I1282" s="21">
        <v>-12.7639627</v>
      </c>
      <c r="J1282" s="21">
        <v>132.2897361</v>
      </c>
      <c r="K1282" s="21" t="s">
        <v>2276</v>
      </c>
      <c r="L1282" s="22">
        <v>2002</v>
      </c>
      <c r="M1282" s="22">
        <v>2003</v>
      </c>
      <c r="N1282" s="82" t="s">
        <v>2276</v>
      </c>
      <c r="O1282" s="19" t="s">
        <v>67</v>
      </c>
      <c r="P1282" s="19" t="s">
        <v>5187</v>
      </c>
      <c r="Q1282" s="4"/>
    </row>
    <row r="1283" spans="1:17" ht="40" customHeight="1">
      <c r="A1283" s="213">
        <v>335</v>
      </c>
      <c r="B1283" s="40" t="s">
        <v>8272</v>
      </c>
      <c r="C1283" s="19" t="s">
        <v>8271</v>
      </c>
      <c r="D1283" s="11" t="s">
        <v>2398</v>
      </c>
      <c r="E1283" s="204" t="s">
        <v>2422</v>
      </c>
      <c r="F1283" s="204" t="s">
        <v>8274</v>
      </c>
      <c r="G1283" s="204" t="s">
        <v>8273</v>
      </c>
      <c r="H1283" s="204" t="s">
        <v>5373</v>
      </c>
      <c r="I1283" s="21">
        <v>51.554279899999997</v>
      </c>
      <c r="J1283" s="21">
        <v>-94.315953699999994</v>
      </c>
      <c r="K1283" s="21">
        <f>1200000/100</f>
        <v>12000</v>
      </c>
      <c r="L1283" s="204">
        <v>2006</v>
      </c>
      <c r="M1283" s="204">
        <v>2008</v>
      </c>
      <c r="N1283" s="82" t="s">
        <v>2276</v>
      </c>
      <c r="O1283" s="19" t="s">
        <v>67</v>
      </c>
      <c r="P1283" s="19" t="s">
        <v>5187</v>
      </c>
      <c r="Q1283" s="204"/>
    </row>
    <row r="1284" spans="1:17" ht="56.5" customHeight="1">
      <c r="A1284" s="213">
        <v>336</v>
      </c>
      <c r="B1284" s="40" t="s">
        <v>8283</v>
      </c>
      <c r="C1284" s="19" t="s">
        <v>8284</v>
      </c>
      <c r="D1284" s="204" t="s">
        <v>2398</v>
      </c>
      <c r="E1284" s="204" t="s">
        <v>2399</v>
      </c>
      <c r="F1284" s="204" t="s">
        <v>2276</v>
      </c>
      <c r="G1284" s="24" t="s">
        <v>5384</v>
      </c>
      <c r="H1284" s="24" t="s">
        <v>3414</v>
      </c>
      <c r="I1284" s="21">
        <v>-32.831150100000002</v>
      </c>
      <c r="J1284" s="21">
        <v>150.05236170000001</v>
      </c>
      <c r="K1284" s="21" t="s">
        <v>2276</v>
      </c>
      <c r="L1284" s="204">
        <v>2011</v>
      </c>
      <c r="M1284" s="204">
        <v>2011</v>
      </c>
      <c r="N1284" s="82" t="s">
        <v>2276</v>
      </c>
      <c r="O1284" s="19" t="s">
        <v>67</v>
      </c>
      <c r="P1284" s="19" t="s">
        <v>5187</v>
      </c>
      <c r="Q1284" s="4" t="s">
        <v>8287</v>
      </c>
    </row>
    <row r="1285" spans="1:17" ht="56.5" customHeight="1">
      <c r="A1285" s="213">
        <v>336</v>
      </c>
      <c r="B1285" s="40" t="s">
        <v>8283</v>
      </c>
      <c r="C1285" s="19" t="s">
        <v>8285</v>
      </c>
      <c r="D1285" s="204" t="s">
        <v>2398</v>
      </c>
      <c r="E1285" s="204" t="s">
        <v>2399</v>
      </c>
      <c r="F1285" s="204" t="s">
        <v>2276</v>
      </c>
      <c r="G1285" s="24" t="s">
        <v>8193</v>
      </c>
      <c r="H1285" s="24" t="s">
        <v>3414</v>
      </c>
      <c r="I1285" s="21">
        <v>-19.1939803</v>
      </c>
      <c r="J1285" s="21">
        <v>145.8228732</v>
      </c>
      <c r="K1285" s="21" t="s">
        <v>2276</v>
      </c>
      <c r="L1285" s="204">
        <v>2011</v>
      </c>
      <c r="M1285" s="204">
        <v>2011</v>
      </c>
      <c r="N1285" s="82" t="s">
        <v>2276</v>
      </c>
      <c r="O1285" s="19" t="s">
        <v>67</v>
      </c>
      <c r="P1285" s="19" t="s">
        <v>5187</v>
      </c>
      <c r="Q1285" s="4" t="s">
        <v>8287</v>
      </c>
    </row>
    <row r="1286" spans="1:17" ht="56.5" customHeight="1">
      <c r="A1286" s="213">
        <v>336</v>
      </c>
      <c r="B1286" s="40" t="s">
        <v>8283</v>
      </c>
      <c r="C1286" s="19" t="s">
        <v>8286</v>
      </c>
      <c r="D1286" s="204" t="s">
        <v>2398</v>
      </c>
      <c r="E1286" s="204" t="s">
        <v>2399</v>
      </c>
      <c r="F1286" s="204" t="s">
        <v>2276</v>
      </c>
      <c r="G1286" s="24" t="s">
        <v>4132</v>
      </c>
      <c r="H1286" s="24" t="s">
        <v>4132</v>
      </c>
      <c r="I1286" s="21">
        <v>37.269174499999998</v>
      </c>
      <c r="J1286" s="21">
        <v>-119.306607</v>
      </c>
      <c r="K1286" s="21" t="s">
        <v>2276</v>
      </c>
      <c r="L1286" s="204">
        <v>2011</v>
      </c>
      <c r="M1286" s="204">
        <v>2011</v>
      </c>
      <c r="N1286" s="82" t="s">
        <v>2276</v>
      </c>
      <c r="O1286" s="19" t="s">
        <v>67</v>
      </c>
      <c r="P1286" s="19" t="s">
        <v>5187</v>
      </c>
      <c r="Q1286" s="4" t="s">
        <v>8287</v>
      </c>
    </row>
    <row r="1287" spans="1:17" ht="39.5" customHeight="1">
      <c r="A1287" s="213">
        <v>337</v>
      </c>
      <c r="B1287" s="40" t="s">
        <v>8298</v>
      </c>
      <c r="C1287" s="19" t="s">
        <v>8299</v>
      </c>
      <c r="D1287" s="204" t="s">
        <v>2398</v>
      </c>
      <c r="E1287" s="204" t="s">
        <v>2399</v>
      </c>
      <c r="F1287" s="204" t="s">
        <v>8300</v>
      </c>
      <c r="G1287" s="204" t="s">
        <v>2276</v>
      </c>
      <c r="H1287" s="204" t="s">
        <v>4112</v>
      </c>
      <c r="I1287" s="21">
        <v>46.175186400000001</v>
      </c>
      <c r="J1287" s="21">
        <v>-116.35077649999999</v>
      </c>
      <c r="K1287" s="21">
        <f>770000/100</f>
        <v>7700</v>
      </c>
      <c r="L1287" s="204">
        <v>2006</v>
      </c>
      <c r="M1287" s="204">
        <v>2006</v>
      </c>
      <c r="N1287" s="82" t="s">
        <v>2276</v>
      </c>
      <c r="O1287" s="19" t="s">
        <v>67</v>
      </c>
      <c r="P1287" s="19" t="s">
        <v>5187</v>
      </c>
      <c r="Q1287" s="204"/>
    </row>
    <row r="1288" spans="1:17" ht="42" customHeight="1">
      <c r="A1288" s="213">
        <v>338</v>
      </c>
      <c r="B1288" s="40" t="s">
        <v>8313</v>
      </c>
      <c r="C1288" s="19" t="s">
        <v>8314</v>
      </c>
      <c r="D1288" s="204" t="s">
        <v>2398</v>
      </c>
      <c r="E1288" s="204" t="s">
        <v>2399</v>
      </c>
      <c r="F1288" s="11" t="s">
        <v>8320</v>
      </c>
      <c r="G1288" s="11" t="s">
        <v>8316</v>
      </c>
      <c r="H1288" s="26" t="s">
        <v>895</v>
      </c>
      <c r="I1288" s="21">
        <v>-9.7395355000000006</v>
      </c>
      <c r="J1288" s="21">
        <v>120.24248</v>
      </c>
      <c r="K1288" s="21">
        <v>33.5</v>
      </c>
      <c r="L1288" s="11">
        <v>2002</v>
      </c>
      <c r="M1288" s="11">
        <v>2004</v>
      </c>
      <c r="N1288" s="74">
        <v>42</v>
      </c>
      <c r="O1288" s="19" t="s">
        <v>67</v>
      </c>
      <c r="P1288" s="19" t="s">
        <v>5187</v>
      </c>
      <c r="Q1288" s="204"/>
    </row>
    <row r="1289" spans="1:17" ht="42" customHeight="1">
      <c r="A1289" s="213">
        <v>338</v>
      </c>
      <c r="B1289" s="40" t="s">
        <v>8313</v>
      </c>
      <c r="C1289" s="19" t="s">
        <v>8315</v>
      </c>
      <c r="D1289" s="204" t="s">
        <v>2398</v>
      </c>
      <c r="E1289" s="204" t="s">
        <v>2399</v>
      </c>
      <c r="F1289" s="11" t="s">
        <v>8321</v>
      </c>
      <c r="G1289" s="11" t="s">
        <v>8316</v>
      </c>
      <c r="H1289" s="26" t="s">
        <v>895</v>
      </c>
      <c r="I1289" s="21">
        <v>-9.7816895000000006</v>
      </c>
      <c r="J1289" s="21">
        <v>120.2661885</v>
      </c>
      <c r="K1289" s="21">
        <v>53</v>
      </c>
      <c r="L1289" s="11">
        <v>2002</v>
      </c>
      <c r="M1289" s="11">
        <v>2004</v>
      </c>
      <c r="N1289" s="74">
        <v>10</v>
      </c>
      <c r="O1289" s="19" t="s">
        <v>67</v>
      </c>
      <c r="P1289" s="19" t="s">
        <v>5187</v>
      </c>
      <c r="Q1289" s="204"/>
    </row>
    <row r="1290" spans="1:17" ht="42" customHeight="1">
      <c r="A1290" s="213">
        <v>338</v>
      </c>
      <c r="B1290" s="40" t="s">
        <v>8313</v>
      </c>
      <c r="C1290" s="19" t="s">
        <v>8318</v>
      </c>
      <c r="D1290" s="204" t="s">
        <v>2398</v>
      </c>
      <c r="E1290" s="204" t="s">
        <v>2399</v>
      </c>
      <c r="F1290" s="11" t="s">
        <v>8322</v>
      </c>
      <c r="G1290" s="11" t="s">
        <v>8317</v>
      </c>
      <c r="H1290" s="26" t="s">
        <v>895</v>
      </c>
      <c r="I1290" s="21">
        <v>-8.6796255000000002</v>
      </c>
      <c r="J1290" s="21">
        <v>121.19968160000001</v>
      </c>
      <c r="K1290" s="21">
        <v>17.2</v>
      </c>
      <c r="L1290" s="11">
        <v>2002</v>
      </c>
      <c r="M1290" s="11">
        <v>2004</v>
      </c>
      <c r="N1290" s="74">
        <v>46</v>
      </c>
      <c r="O1290" s="19" t="s">
        <v>67</v>
      </c>
      <c r="P1290" s="19" t="s">
        <v>5187</v>
      </c>
      <c r="Q1290" s="204"/>
    </row>
    <row r="1291" spans="1:17" ht="42" customHeight="1">
      <c r="A1291" s="213">
        <v>338</v>
      </c>
      <c r="B1291" s="40" t="s">
        <v>8313</v>
      </c>
      <c r="C1291" s="19" t="s">
        <v>8319</v>
      </c>
      <c r="D1291" s="204" t="s">
        <v>2398</v>
      </c>
      <c r="E1291" s="204" t="s">
        <v>2399</v>
      </c>
      <c r="F1291" s="11" t="s">
        <v>8323</v>
      </c>
      <c r="G1291" s="11" t="s">
        <v>8317</v>
      </c>
      <c r="H1291" s="26" t="s">
        <v>895</v>
      </c>
      <c r="I1291" s="21">
        <v>-8.7653958000000003</v>
      </c>
      <c r="J1291" s="21">
        <v>121.27408130000001</v>
      </c>
      <c r="K1291" s="21">
        <v>15</v>
      </c>
      <c r="L1291" s="11">
        <v>2002</v>
      </c>
      <c r="M1291" s="11">
        <v>2004</v>
      </c>
      <c r="N1291" s="74">
        <v>60</v>
      </c>
      <c r="O1291" s="19" t="s">
        <v>67</v>
      </c>
      <c r="P1291" s="19" t="s">
        <v>5187</v>
      </c>
      <c r="Q1291" s="204"/>
    </row>
    <row r="1292" spans="1:17" ht="41" customHeight="1">
      <c r="A1292" s="213">
        <v>338</v>
      </c>
      <c r="B1292" s="40" t="s">
        <v>8354</v>
      </c>
      <c r="C1292" s="19" t="s">
        <v>8356</v>
      </c>
      <c r="D1292" s="204" t="s">
        <v>2398</v>
      </c>
      <c r="E1292" s="204" t="s">
        <v>2400</v>
      </c>
      <c r="F1292" s="204" t="s">
        <v>2276</v>
      </c>
      <c r="G1292" s="11" t="s">
        <v>8316</v>
      </c>
      <c r="H1292" s="26" t="s">
        <v>895</v>
      </c>
      <c r="I1292" s="21">
        <f>AVERAGE(I1288:I1289)</f>
        <v>-9.7606125000000006</v>
      </c>
      <c r="J1292" s="21">
        <f>AVERAGE(J1288:J1289)</f>
        <v>120.25433425</v>
      </c>
      <c r="K1292" s="21">
        <f>SUM(K1288:K1289)</f>
        <v>86.5</v>
      </c>
      <c r="L1292" s="204">
        <v>2003</v>
      </c>
      <c r="M1292" s="204">
        <v>2004</v>
      </c>
      <c r="N1292" s="21">
        <f>AVERAGE(N1288*K1288, N1289*K1289)/SUM(K1288:K1289)</f>
        <v>11.196531791907514</v>
      </c>
      <c r="O1292" s="19" t="s">
        <v>67</v>
      </c>
      <c r="P1292" s="19" t="s">
        <v>5187</v>
      </c>
      <c r="Q1292" s="204" t="s">
        <v>8358</v>
      </c>
    </row>
    <row r="1293" spans="1:17" ht="34.5" customHeight="1">
      <c r="A1293" s="213">
        <v>338</v>
      </c>
      <c r="B1293" s="40" t="s">
        <v>8354</v>
      </c>
      <c r="C1293" s="19" t="s">
        <v>8357</v>
      </c>
      <c r="D1293" s="204" t="s">
        <v>2398</v>
      </c>
      <c r="E1293" s="204" t="s">
        <v>2400</v>
      </c>
      <c r="F1293" s="204" t="s">
        <v>2276</v>
      </c>
      <c r="G1293" s="11" t="s">
        <v>8317</v>
      </c>
      <c r="H1293" s="26" t="s">
        <v>895</v>
      </c>
      <c r="I1293" s="21">
        <f>AVERAGE(I1290:I1291)</f>
        <v>-8.7225106500000003</v>
      </c>
      <c r="J1293" s="21">
        <f>AVERAGE(J1290:J1291)</f>
        <v>121.23688145</v>
      </c>
      <c r="K1293" s="21">
        <f>SUM(K1290:K1291)</f>
        <v>32.200000000000003</v>
      </c>
      <c r="L1293" s="204">
        <v>2003</v>
      </c>
      <c r="M1293" s="204">
        <v>2004</v>
      </c>
      <c r="N1293" s="21">
        <f>AVERAGE(N1290*K1290, N1291*K1291)/SUM(K1290:K1291)</f>
        <v>26.260869565217387</v>
      </c>
      <c r="O1293" s="19" t="s">
        <v>67</v>
      </c>
      <c r="P1293" s="19" t="s">
        <v>5187</v>
      </c>
      <c r="Q1293" s="204" t="s">
        <v>8359</v>
      </c>
    </row>
    <row r="1294" spans="1:17" ht="48" customHeight="1">
      <c r="A1294" s="213">
        <v>339</v>
      </c>
      <c r="B1294" s="41" t="s">
        <v>8383</v>
      </c>
      <c r="C1294" s="19" t="s">
        <v>8355</v>
      </c>
      <c r="D1294" s="204" t="s">
        <v>2633</v>
      </c>
      <c r="E1294" s="204" t="s">
        <v>2399</v>
      </c>
      <c r="F1294" s="204" t="s">
        <v>2276</v>
      </c>
      <c r="G1294" s="11" t="s">
        <v>87</v>
      </c>
      <c r="H1294" s="26" t="s">
        <v>88</v>
      </c>
      <c r="I1294" s="21">
        <v>31.018273900000001</v>
      </c>
      <c r="J1294" s="21">
        <v>75.401169100000004</v>
      </c>
      <c r="K1294" s="21">
        <v>50362</v>
      </c>
      <c r="L1294" s="11">
        <v>2003</v>
      </c>
      <c r="M1294" s="11">
        <v>2003</v>
      </c>
      <c r="N1294" s="204" t="s">
        <v>2276</v>
      </c>
      <c r="O1294" s="19" t="s">
        <v>67</v>
      </c>
      <c r="P1294" s="19" t="s">
        <v>5187</v>
      </c>
      <c r="Q1294" s="204" t="s">
        <v>8385</v>
      </c>
    </row>
    <row r="1295" spans="1:17" ht="39" customHeight="1">
      <c r="A1295" s="213">
        <v>339</v>
      </c>
      <c r="B1295" s="41" t="s">
        <v>8383</v>
      </c>
      <c r="C1295" s="19" t="s">
        <v>8384</v>
      </c>
      <c r="D1295" s="204" t="s">
        <v>2633</v>
      </c>
      <c r="E1295" s="204" t="s">
        <v>2399</v>
      </c>
      <c r="F1295" s="204" t="s">
        <v>2276</v>
      </c>
      <c r="G1295" s="11" t="s">
        <v>90</v>
      </c>
      <c r="H1295" s="26" t="s">
        <v>88</v>
      </c>
      <c r="I1295" s="21">
        <v>29.282928999999999</v>
      </c>
      <c r="J1295" s="21">
        <v>76.026532000000003</v>
      </c>
      <c r="K1295" s="21">
        <v>44212</v>
      </c>
      <c r="L1295" s="11">
        <v>2003</v>
      </c>
      <c r="M1295" s="11">
        <v>2003</v>
      </c>
      <c r="N1295" s="204" t="s">
        <v>2276</v>
      </c>
      <c r="O1295" s="19" t="s">
        <v>67</v>
      </c>
      <c r="P1295" s="19" t="s">
        <v>5187</v>
      </c>
      <c r="Q1295" s="204" t="s">
        <v>8385</v>
      </c>
    </row>
    <row r="1296" spans="1:17" ht="33.5" customHeight="1">
      <c r="A1296" s="213">
        <v>339</v>
      </c>
      <c r="B1296" s="41" t="s">
        <v>8383</v>
      </c>
      <c r="C1296" s="19" t="s">
        <v>8390</v>
      </c>
      <c r="D1296" s="204" t="s">
        <v>2633</v>
      </c>
      <c r="E1296" s="204" t="s">
        <v>2399</v>
      </c>
      <c r="F1296" s="204" t="s">
        <v>2276</v>
      </c>
      <c r="G1296" s="11" t="s">
        <v>6277</v>
      </c>
      <c r="H1296" s="26" t="s">
        <v>88</v>
      </c>
      <c r="I1296" s="21">
        <v>27.141237</v>
      </c>
      <c r="J1296" s="21">
        <v>80.883381900000003</v>
      </c>
      <c r="K1296" s="21">
        <v>243286</v>
      </c>
      <c r="L1296" s="11">
        <v>2003</v>
      </c>
      <c r="M1296" s="11">
        <v>2003</v>
      </c>
      <c r="N1296" s="204" t="s">
        <v>2276</v>
      </c>
      <c r="O1296" s="19" t="s">
        <v>67</v>
      </c>
      <c r="P1296" s="19" t="s">
        <v>5187</v>
      </c>
      <c r="Q1296" s="204" t="s">
        <v>8392</v>
      </c>
    </row>
    <row r="1297" spans="1:17" ht="42.5" customHeight="1">
      <c r="A1297" s="213">
        <v>340</v>
      </c>
      <c r="B1297" s="40" t="s">
        <v>8415</v>
      </c>
      <c r="C1297" s="19" t="s">
        <v>8416</v>
      </c>
      <c r="D1297" s="204" t="s">
        <v>2398</v>
      </c>
      <c r="E1297" s="204" t="s">
        <v>2636</v>
      </c>
      <c r="F1297" s="204" t="s">
        <v>2276</v>
      </c>
      <c r="G1297" s="204" t="s">
        <v>2276</v>
      </c>
      <c r="H1297" s="26" t="s">
        <v>8417</v>
      </c>
      <c r="I1297" s="21">
        <v>52.5</v>
      </c>
      <c r="J1297" s="21">
        <v>-1</v>
      </c>
      <c r="K1297" s="21">
        <v>242495</v>
      </c>
      <c r="L1297" s="11">
        <v>1980</v>
      </c>
      <c r="M1297" s="11">
        <v>1995</v>
      </c>
      <c r="N1297" s="204" t="s">
        <v>2276</v>
      </c>
      <c r="O1297" s="19" t="s">
        <v>67</v>
      </c>
      <c r="P1297" s="19" t="s">
        <v>5187</v>
      </c>
      <c r="Q1297" s="204"/>
    </row>
    <row r="1298" spans="1:17" ht="40.5" customHeight="1">
      <c r="A1298" s="213">
        <v>340</v>
      </c>
      <c r="B1298" s="40" t="s">
        <v>8415</v>
      </c>
      <c r="C1298" s="19" t="s">
        <v>8421</v>
      </c>
      <c r="D1298" s="204" t="s">
        <v>2398</v>
      </c>
      <c r="E1298" s="204" t="s">
        <v>2636</v>
      </c>
      <c r="F1298" s="204" t="s">
        <v>8427</v>
      </c>
      <c r="G1298" s="204" t="s">
        <v>8426</v>
      </c>
      <c r="H1298" s="26" t="s">
        <v>5373</v>
      </c>
      <c r="I1298" s="21">
        <v>50.247115000000001</v>
      </c>
      <c r="J1298" s="21">
        <v>-98.555193700000004</v>
      </c>
      <c r="K1298" s="21" t="s">
        <v>2276</v>
      </c>
      <c r="L1298" s="11">
        <v>1992</v>
      </c>
      <c r="M1298" s="11">
        <v>1992</v>
      </c>
      <c r="N1298" s="204" t="s">
        <v>2276</v>
      </c>
      <c r="O1298" s="19" t="s">
        <v>67</v>
      </c>
      <c r="P1298" s="19" t="s">
        <v>5187</v>
      </c>
      <c r="Q1298" s="204"/>
    </row>
    <row r="1299" spans="1:17" ht="44.5" customHeight="1">
      <c r="A1299" s="213">
        <v>340</v>
      </c>
      <c r="B1299" s="41" t="s">
        <v>8424</v>
      </c>
      <c r="C1299" s="19" t="s">
        <v>8425</v>
      </c>
      <c r="D1299" s="204" t="s">
        <v>2633</v>
      </c>
      <c r="E1299" s="204" t="s">
        <v>2422</v>
      </c>
      <c r="F1299" s="204" t="s">
        <v>2276</v>
      </c>
      <c r="G1299" s="204" t="s">
        <v>4132</v>
      </c>
      <c r="H1299" s="26" t="s">
        <v>4112</v>
      </c>
      <c r="I1299" s="21">
        <v>52.5</v>
      </c>
      <c r="J1299" s="21">
        <v>-1</v>
      </c>
      <c r="K1299" s="21">
        <v>432970</v>
      </c>
      <c r="L1299" s="11">
        <v>1980</v>
      </c>
      <c r="M1299" s="11">
        <v>1998</v>
      </c>
      <c r="N1299" s="204" t="s">
        <v>2276</v>
      </c>
      <c r="O1299" s="19" t="s">
        <v>67</v>
      </c>
      <c r="P1299" s="19" t="s">
        <v>5187</v>
      </c>
      <c r="Q1299" s="204"/>
    </row>
    <row r="1300" spans="1:17" ht="36.5" customHeight="1">
      <c r="A1300" s="213">
        <v>340</v>
      </c>
      <c r="B1300" s="40" t="s">
        <v>8415</v>
      </c>
      <c r="C1300" s="19" t="s">
        <v>8434</v>
      </c>
      <c r="D1300" s="204" t="s">
        <v>2398</v>
      </c>
      <c r="E1300" s="204" t="s">
        <v>2636</v>
      </c>
      <c r="F1300" s="204" t="s">
        <v>2276</v>
      </c>
      <c r="G1300" s="204" t="s">
        <v>2276</v>
      </c>
      <c r="H1300" s="26" t="s">
        <v>4112</v>
      </c>
      <c r="I1300" s="21">
        <v>44.8743202</v>
      </c>
      <c r="J1300" s="21">
        <v>-97.972643399999995</v>
      </c>
      <c r="K1300" s="21" t="s">
        <v>2276</v>
      </c>
      <c r="L1300" s="11">
        <v>1985</v>
      </c>
      <c r="M1300" s="11">
        <v>1990</v>
      </c>
      <c r="N1300" s="204" t="s">
        <v>2276</v>
      </c>
      <c r="O1300" s="19" t="s">
        <v>67</v>
      </c>
      <c r="P1300" s="19" t="s">
        <v>5187</v>
      </c>
      <c r="Q1300" s="4" t="s">
        <v>8435</v>
      </c>
    </row>
    <row r="1301" spans="1:17" ht="36.5" customHeight="1">
      <c r="A1301" s="213">
        <v>341</v>
      </c>
      <c r="B1301" s="40" t="s">
        <v>8438</v>
      </c>
      <c r="C1301" s="19" t="s">
        <v>8439</v>
      </c>
      <c r="D1301" s="204" t="s">
        <v>2633</v>
      </c>
      <c r="E1301" s="204" t="s">
        <v>4847</v>
      </c>
      <c r="F1301" s="204" t="s">
        <v>2276</v>
      </c>
      <c r="G1301" s="204" t="s">
        <v>2276</v>
      </c>
      <c r="H1301" s="204" t="s">
        <v>627</v>
      </c>
      <c r="I1301" s="21">
        <v>14.25</v>
      </c>
      <c r="J1301" s="21">
        <v>121.5</v>
      </c>
      <c r="K1301" s="21">
        <v>300000</v>
      </c>
      <c r="L1301" s="204">
        <v>1998</v>
      </c>
      <c r="M1301" s="204">
        <v>1998</v>
      </c>
      <c r="N1301" s="204" t="s">
        <v>2276</v>
      </c>
      <c r="O1301" s="19" t="s">
        <v>67</v>
      </c>
      <c r="P1301" s="19" t="s">
        <v>5187</v>
      </c>
      <c r="Q1301" s="204"/>
    </row>
    <row r="1302" spans="1:17" ht="33.5" customHeight="1">
      <c r="A1302" s="213">
        <v>341</v>
      </c>
      <c r="B1302" s="40" t="s">
        <v>8438</v>
      </c>
      <c r="C1302" s="204" t="s">
        <v>8451</v>
      </c>
      <c r="D1302" s="204" t="s">
        <v>2633</v>
      </c>
      <c r="E1302" s="204" t="s">
        <v>4847</v>
      </c>
      <c r="F1302" s="204" t="s">
        <v>8452</v>
      </c>
      <c r="G1302" s="204" t="s">
        <v>8453</v>
      </c>
      <c r="H1302" s="204" t="s">
        <v>627</v>
      </c>
      <c r="I1302" s="21">
        <v>11.054675400000001</v>
      </c>
      <c r="J1302" s="21">
        <v>122.8504944</v>
      </c>
      <c r="K1302" s="21">
        <v>185.8</v>
      </c>
      <c r="L1302" s="204">
        <v>1998</v>
      </c>
      <c r="M1302" s="204">
        <v>1998</v>
      </c>
      <c r="N1302" s="204" t="s">
        <v>2276</v>
      </c>
      <c r="O1302" s="19" t="s">
        <v>67</v>
      </c>
      <c r="P1302" s="19" t="s">
        <v>5187</v>
      </c>
      <c r="Q1302" s="204"/>
    </row>
    <row r="1303" spans="1:17" ht="37" customHeight="1">
      <c r="A1303" s="213">
        <v>342</v>
      </c>
      <c r="B1303" s="40" t="s">
        <v>8460</v>
      </c>
      <c r="C1303" s="204" t="s">
        <v>8461</v>
      </c>
      <c r="D1303" s="204" t="s">
        <v>2398</v>
      </c>
      <c r="E1303" s="204" t="s">
        <v>2400</v>
      </c>
      <c r="F1303" s="204" t="s">
        <v>8462</v>
      </c>
      <c r="G1303" s="204" t="s">
        <v>2276</v>
      </c>
      <c r="H1303" s="204" t="s">
        <v>627</v>
      </c>
      <c r="I1303" s="21">
        <v>15.4713774</v>
      </c>
      <c r="J1303" s="21">
        <v>120.6300885</v>
      </c>
      <c r="K1303" s="21">
        <f>10785/100</f>
        <v>107.85</v>
      </c>
      <c r="L1303" s="204">
        <v>2016</v>
      </c>
      <c r="M1303" s="204">
        <v>2016</v>
      </c>
      <c r="N1303" s="204" t="s">
        <v>2276</v>
      </c>
      <c r="O1303" s="19" t="s">
        <v>67</v>
      </c>
      <c r="P1303" s="19" t="s">
        <v>5187</v>
      </c>
      <c r="Q1303" s="204"/>
    </row>
    <row r="1304" spans="1:17" ht="60" customHeight="1">
      <c r="A1304" s="213">
        <v>343</v>
      </c>
      <c r="B1304" s="40" t="s">
        <v>8464</v>
      </c>
      <c r="C1304" s="19" t="s">
        <v>8465</v>
      </c>
      <c r="D1304" s="204" t="s">
        <v>2398</v>
      </c>
      <c r="E1304" s="204" t="s">
        <v>2414</v>
      </c>
      <c r="F1304" s="204" t="s">
        <v>2276</v>
      </c>
      <c r="G1304" s="11" t="s">
        <v>8466</v>
      </c>
      <c r="H1304" s="11" t="s">
        <v>121</v>
      </c>
      <c r="I1304" s="21">
        <v>-21.9475649</v>
      </c>
      <c r="J1304" s="21">
        <v>-46.589334800000003</v>
      </c>
      <c r="K1304" s="21">
        <f>5400000/100</f>
        <v>54000</v>
      </c>
      <c r="L1304" s="11">
        <v>2007</v>
      </c>
      <c r="M1304" s="11">
        <v>2012</v>
      </c>
      <c r="N1304" s="204" t="s">
        <v>2276</v>
      </c>
      <c r="O1304" s="19" t="s">
        <v>67</v>
      </c>
      <c r="P1304" s="19" t="s">
        <v>5187</v>
      </c>
      <c r="Q1304" s="4" t="s">
        <v>8468</v>
      </c>
    </row>
    <row r="1305" spans="1:17" ht="61.5" customHeight="1">
      <c r="A1305" s="213">
        <v>344</v>
      </c>
      <c r="B1305" s="40" t="s">
        <v>8471</v>
      </c>
      <c r="C1305" s="19" t="s">
        <v>8472</v>
      </c>
      <c r="D1305" s="204" t="s">
        <v>2398</v>
      </c>
      <c r="E1305" s="204" t="s">
        <v>2400</v>
      </c>
      <c r="F1305" s="11" t="s">
        <v>8489</v>
      </c>
      <c r="G1305" s="11" t="s">
        <v>8466</v>
      </c>
      <c r="H1305" s="11" t="s">
        <v>121</v>
      </c>
      <c r="I1305" s="21">
        <v>-23.2351524</v>
      </c>
      <c r="J1305" s="21">
        <v>-48.046527400000002</v>
      </c>
      <c r="K1305" s="21">
        <f>'Reported burning'!T3162/'Reported burning'!X3162</f>
        <v>3902.2869955156948</v>
      </c>
      <c r="L1305" s="11">
        <v>2008</v>
      </c>
      <c r="M1305" s="11">
        <v>2009</v>
      </c>
      <c r="N1305" s="204" t="s">
        <v>2276</v>
      </c>
      <c r="O1305" s="19" t="s">
        <v>67</v>
      </c>
      <c r="P1305" s="19" t="s">
        <v>5187</v>
      </c>
      <c r="Q1305" s="4" t="s">
        <v>8473</v>
      </c>
    </row>
    <row r="1306" spans="1:17" ht="61.5" customHeight="1">
      <c r="A1306" s="213">
        <v>344</v>
      </c>
      <c r="B1306" s="40" t="s">
        <v>8471</v>
      </c>
      <c r="C1306" s="19" t="s">
        <v>8474</v>
      </c>
      <c r="D1306" s="204" t="s">
        <v>2398</v>
      </c>
      <c r="E1306" s="204" t="s">
        <v>2400</v>
      </c>
      <c r="F1306" s="11" t="s">
        <v>8490</v>
      </c>
      <c r="G1306" s="11" t="s">
        <v>8466</v>
      </c>
      <c r="H1306" s="11" t="s">
        <v>121</v>
      </c>
      <c r="I1306" s="21">
        <v>-24.044154899999999</v>
      </c>
      <c r="J1306" s="21">
        <v>-46.457402899999998</v>
      </c>
      <c r="K1306" s="21" t="s">
        <v>2276</v>
      </c>
      <c r="L1306" s="11">
        <v>2008</v>
      </c>
      <c r="M1306" s="11">
        <v>2009</v>
      </c>
      <c r="N1306" s="204" t="s">
        <v>2276</v>
      </c>
      <c r="O1306" s="19" t="s">
        <v>67</v>
      </c>
      <c r="P1306" s="19" t="s">
        <v>5187</v>
      </c>
      <c r="Q1306" s="4" t="s">
        <v>8473</v>
      </c>
    </row>
    <row r="1307" spans="1:17" ht="61.5" customHeight="1">
      <c r="A1307" s="213">
        <v>344</v>
      </c>
      <c r="B1307" s="40" t="s">
        <v>8471</v>
      </c>
      <c r="C1307" s="19" t="s">
        <v>8475</v>
      </c>
      <c r="D1307" s="204" t="s">
        <v>2398</v>
      </c>
      <c r="E1307" s="204" t="s">
        <v>2400</v>
      </c>
      <c r="F1307" s="11" t="s">
        <v>8491</v>
      </c>
      <c r="G1307" s="11" t="s">
        <v>8466</v>
      </c>
      <c r="H1307" s="11" t="s">
        <v>121</v>
      </c>
      <c r="I1307" s="21">
        <v>-20.557321000000002</v>
      </c>
      <c r="J1307" s="21">
        <v>-48.577159600000002</v>
      </c>
      <c r="K1307" s="21">
        <f>'Reported burning'!T3163/'Reported burning'!X3163</f>
        <v>3358.0072463768115</v>
      </c>
      <c r="L1307" s="11">
        <v>2008</v>
      </c>
      <c r="M1307" s="11">
        <v>2009</v>
      </c>
      <c r="N1307" s="204" t="s">
        <v>2276</v>
      </c>
      <c r="O1307" s="19" t="s">
        <v>67</v>
      </c>
      <c r="P1307" s="19" t="s">
        <v>5187</v>
      </c>
      <c r="Q1307" s="4" t="s">
        <v>8473</v>
      </c>
    </row>
    <row r="1308" spans="1:17" ht="61.5" customHeight="1">
      <c r="A1308" s="213">
        <v>344</v>
      </c>
      <c r="B1308" s="40" t="s">
        <v>8471</v>
      </c>
      <c r="C1308" s="19" t="s">
        <v>8476</v>
      </c>
      <c r="D1308" s="204" t="s">
        <v>2398</v>
      </c>
      <c r="E1308" s="204" t="s">
        <v>2400</v>
      </c>
      <c r="F1308" s="11" t="s">
        <v>8492</v>
      </c>
      <c r="G1308" s="11" t="s">
        <v>8466</v>
      </c>
      <c r="H1308" s="11" t="s">
        <v>121</v>
      </c>
      <c r="I1308" s="21">
        <v>-22.2878574</v>
      </c>
      <c r="J1308" s="21">
        <v>-49.090548699999999</v>
      </c>
      <c r="K1308" s="21">
        <f>'Reported burning'!T3164/'Reported burning'!X3164</f>
        <v>3633.6521739130435</v>
      </c>
      <c r="L1308" s="11">
        <v>2008</v>
      </c>
      <c r="M1308" s="11">
        <v>2009</v>
      </c>
      <c r="N1308" s="204" t="s">
        <v>2276</v>
      </c>
      <c r="O1308" s="19" t="s">
        <v>67</v>
      </c>
      <c r="P1308" s="19" t="s">
        <v>5187</v>
      </c>
      <c r="Q1308" s="4" t="s">
        <v>8473</v>
      </c>
    </row>
    <row r="1309" spans="1:17" ht="61.5" customHeight="1">
      <c r="A1309" s="213">
        <v>344</v>
      </c>
      <c r="B1309" s="40" t="s">
        <v>8471</v>
      </c>
      <c r="C1309" s="19" t="s">
        <v>8477</v>
      </c>
      <c r="D1309" s="204" t="s">
        <v>2398</v>
      </c>
      <c r="E1309" s="204" t="s">
        <v>2400</v>
      </c>
      <c r="F1309" s="11" t="s">
        <v>8493</v>
      </c>
      <c r="G1309" s="11" t="s">
        <v>8466</v>
      </c>
      <c r="H1309" s="11" t="s">
        <v>121</v>
      </c>
      <c r="I1309" s="21">
        <v>-22.8924342</v>
      </c>
      <c r="J1309" s="21">
        <v>-47.067894699999997</v>
      </c>
      <c r="K1309" s="21">
        <f>'Reported burning'!T3165/'Reported burning'!X3165</f>
        <v>4135.5486542443068</v>
      </c>
      <c r="L1309" s="11">
        <v>2008</v>
      </c>
      <c r="M1309" s="11">
        <v>2009</v>
      </c>
      <c r="N1309" s="204" t="s">
        <v>2276</v>
      </c>
      <c r="O1309" s="19" t="s">
        <v>67</v>
      </c>
      <c r="P1309" s="19" t="s">
        <v>5187</v>
      </c>
      <c r="Q1309" s="4" t="s">
        <v>8473</v>
      </c>
    </row>
    <row r="1310" spans="1:17" ht="61.5" customHeight="1">
      <c r="A1310" s="213">
        <v>344</v>
      </c>
      <c r="B1310" s="40" t="s">
        <v>8471</v>
      </c>
      <c r="C1310" s="19" t="s">
        <v>8478</v>
      </c>
      <c r="D1310" s="204" t="s">
        <v>2398</v>
      </c>
      <c r="E1310" s="204" t="s">
        <v>2400</v>
      </c>
      <c r="F1310" s="11" t="s">
        <v>7147</v>
      </c>
      <c r="G1310" s="11" t="s">
        <v>8466</v>
      </c>
      <c r="H1310" s="11" t="s">
        <v>121</v>
      </c>
      <c r="I1310" s="21">
        <v>-22.246111899999999</v>
      </c>
      <c r="J1310" s="21">
        <v>-47.774317099999998</v>
      </c>
      <c r="K1310" s="21">
        <f>'Reported burning'!T3166/'Reported burning'!X3166</f>
        <v>3638.63813229572</v>
      </c>
      <c r="L1310" s="11">
        <v>2008</v>
      </c>
      <c r="M1310" s="11">
        <v>2009</v>
      </c>
      <c r="N1310" s="204" t="s">
        <v>2276</v>
      </c>
      <c r="O1310" s="19" t="s">
        <v>67</v>
      </c>
      <c r="P1310" s="19" t="s">
        <v>5187</v>
      </c>
      <c r="Q1310" s="4" t="s">
        <v>8473</v>
      </c>
    </row>
    <row r="1311" spans="1:17" ht="61.5" customHeight="1">
      <c r="A1311" s="213">
        <v>344</v>
      </c>
      <c r="B1311" s="40" t="s">
        <v>8471</v>
      </c>
      <c r="C1311" s="19" t="s">
        <v>8479</v>
      </c>
      <c r="D1311" s="204" t="s">
        <v>2398</v>
      </c>
      <c r="E1311" s="204" t="s">
        <v>2400</v>
      </c>
      <c r="F1311" s="11" t="s">
        <v>8494</v>
      </c>
      <c r="G1311" s="11" t="s">
        <v>8466</v>
      </c>
      <c r="H1311" s="11" t="s">
        <v>121</v>
      </c>
      <c r="I1311" s="21">
        <v>-20.5937524</v>
      </c>
      <c r="J1311" s="21">
        <v>-47.424168100000003</v>
      </c>
      <c r="K1311" s="21">
        <f>'Reported burning'!T3167/'Reported burning'!X3167</f>
        <v>4092.4905660377358</v>
      </c>
      <c r="L1311" s="11">
        <v>2008</v>
      </c>
      <c r="M1311" s="11">
        <v>2009</v>
      </c>
      <c r="N1311" s="204" t="s">
        <v>2276</v>
      </c>
      <c r="O1311" s="19" t="s">
        <v>67</v>
      </c>
      <c r="P1311" s="19" t="s">
        <v>5187</v>
      </c>
      <c r="Q1311" s="4" t="s">
        <v>8473</v>
      </c>
    </row>
    <row r="1312" spans="1:17" ht="61.5" customHeight="1">
      <c r="A1312" s="213">
        <v>344</v>
      </c>
      <c r="B1312" s="40" t="s">
        <v>8471</v>
      </c>
      <c r="C1312" s="19" t="s">
        <v>8480</v>
      </c>
      <c r="D1312" s="204" t="s">
        <v>2398</v>
      </c>
      <c r="E1312" s="204" t="s">
        <v>2400</v>
      </c>
      <c r="F1312" s="11" t="s">
        <v>8495</v>
      </c>
      <c r="G1312" s="11" t="s">
        <v>8466</v>
      </c>
      <c r="H1312" s="11" t="s">
        <v>121</v>
      </c>
      <c r="I1312" s="21">
        <v>-22.204620599999998</v>
      </c>
      <c r="J1312" s="21">
        <v>-49.939328000000003</v>
      </c>
      <c r="K1312" s="21">
        <f>'Reported burning'!T3168/'Reported burning'!X3168</f>
        <v>2824.6572934973638</v>
      </c>
      <c r="L1312" s="11">
        <v>2008</v>
      </c>
      <c r="M1312" s="11">
        <v>2009</v>
      </c>
      <c r="N1312" s="204" t="s">
        <v>2276</v>
      </c>
      <c r="O1312" s="19" t="s">
        <v>67</v>
      </c>
      <c r="P1312" s="19" t="s">
        <v>5187</v>
      </c>
      <c r="Q1312" s="4" t="s">
        <v>8473</v>
      </c>
    </row>
    <row r="1313" spans="1:17" ht="61.5" customHeight="1">
      <c r="A1313" s="213">
        <v>344</v>
      </c>
      <c r="B1313" s="40" t="s">
        <v>8471</v>
      </c>
      <c r="C1313" s="19" t="s">
        <v>8481</v>
      </c>
      <c r="D1313" s="204" t="s">
        <v>2398</v>
      </c>
      <c r="E1313" s="204" t="s">
        <v>2400</v>
      </c>
      <c r="F1313" s="11" t="s">
        <v>8496</v>
      </c>
      <c r="G1313" s="11" t="s">
        <v>8466</v>
      </c>
      <c r="H1313" s="11" t="s">
        <v>121</v>
      </c>
      <c r="I1313" s="21">
        <v>-22.1332533</v>
      </c>
      <c r="J1313" s="21">
        <v>-51.4021969</v>
      </c>
      <c r="K1313" s="21">
        <f>'Reported burning'!T3169/'Reported burning'!X3169</f>
        <v>2439.0523690773066</v>
      </c>
      <c r="L1313" s="11">
        <v>2008</v>
      </c>
      <c r="M1313" s="11">
        <v>2009</v>
      </c>
      <c r="N1313" s="204" t="s">
        <v>2276</v>
      </c>
      <c r="O1313" s="19" t="s">
        <v>67</v>
      </c>
      <c r="P1313" s="19" t="s">
        <v>5187</v>
      </c>
      <c r="Q1313" s="4" t="s">
        <v>8473</v>
      </c>
    </row>
    <row r="1314" spans="1:17" ht="61.5" customHeight="1">
      <c r="A1314" s="213">
        <v>344</v>
      </c>
      <c r="B1314" s="40" t="s">
        <v>8471</v>
      </c>
      <c r="C1314" s="19" t="s">
        <v>8482</v>
      </c>
      <c r="D1314" s="204" t="s">
        <v>2398</v>
      </c>
      <c r="E1314" s="204" t="s">
        <v>2400</v>
      </c>
      <c r="F1314" s="11" t="s">
        <v>8497</v>
      </c>
      <c r="G1314" s="11" t="s">
        <v>8466</v>
      </c>
      <c r="H1314" s="11" t="s">
        <v>121</v>
      </c>
      <c r="I1314" s="21">
        <v>-24.467631699999998</v>
      </c>
      <c r="J1314" s="21">
        <v>-47.809529099999999</v>
      </c>
      <c r="K1314" s="21" t="s">
        <v>2276</v>
      </c>
      <c r="L1314" s="11">
        <v>2008</v>
      </c>
      <c r="M1314" s="11">
        <v>2009</v>
      </c>
      <c r="N1314" s="204" t="s">
        <v>2276</v>
      </c>
      <c r="O1314" s="19" t="s">
        <v>67</v>
      </c>
      <c r="P1314" s="19" t="s">
        <v>5187</v>
      </c>
      <c r="Q1314" s="4" t="s">
        <v>8473</v>
      </c>
    </row>
    <row r="1315" spans="1:17" ht="61.5" customHeight="1">
      <c r="A1315" s="213">
        <v>344</v>
      </c>
      <c r="B1315" s="40" t="s">
        <v>8471</v>
      </c>
      <c r="C1315" s="19" t="s">
        <v>8483</v>
      </c>
      <c r="D1315" s="204" t="s">
        <v>2398</v>
      </c>
      <c r="E1315" s="204" t="s">
        <v>2400</v>
      </c>
      <c r="F1315" s="11" t="s">
        <v>8498</v>
      </c>
      <c r="G1315" s="11" t="s">
        <v>8466</v>
      </c>
      <c r="H1315" s="11" t="s">
        <v>121</v>
      </c>
      <c r="I1315" s="21">
        <v>-21.179632399999999</v>
      </c>
      <c r="J1315" s="21">
        <v>-47.802586099999999</v>
      </c>
      <c r="K1315" s="21">
        <f>'Reported burning'!T3170/'Reported burning'!X3170</f>
        <v>4145.6164383561645</v>
      </c>
      <c r="L1315" s="11">
        <v>2008</v>
      </c>
      <c r="M1315" s="11">
        <v>2009</v>
      </c>
      <c r="N1315" s="204" t="s">
        <v>2276</v>
      </c>
      <c r="O1315" s="19" t="s">
        <v>67</v>
      </c>
      <c r="P1315" s="19" t="s">
        <v>5187</v>
      </c>
      <c r="Q1315" s="4" t="s">
        <v>8473</v>
      </c>
    </row>
    <row r="1316" spans="1:17" ht="61.5" customHeight="1">
      <c r="A1316" s="213">
        <v>344</v>
      </c>
      <c r="B1316" s="40" t="s">
        <v>8471</v>
      </c>
      <c r="C1316" s="19" t="s">
        <v>8484</v>
      </c>
      <c r="D1316" s="204" t="s">
        <v>2398</v>
      </c>
      <c r="E1316" s="204" t="s">
        <v>2400</v>
      </c>
      <c r="F1316" s="11" t="s">
        <v>8499</v>
      </c>
      <c r="G1316" s="11" t="s">
        <v>8466</v>
      </c>
      <c r="H1316" s="11" t="s">
        <v>121</v>
      </c>
      <c r="I1316" s="21">
        <v>-20.816814000000001</v>
      </c>
      <c r="J1316" s="21">
        <v>-49.382355500000003</v>
      </c>
      <c r="K1316" s="21">
        <f>'Reported burning'!T3171/'Reported burning'!X3171</f>
        <v>5237.9441117764472</v>
      </c>
      <c r="L1316" s="11">
        <v>2008</v>
      </c>
      <c r="M1316" s="11">
        <v>2009</v>
      </c>
      <c r="N1316" s="204" t="s">
        <v>2276</v>
      </c>
      <c r="O1316" s="19" t="s">
        <v>67</v>
      </c>
      <c r="P1316" s="19" t="s">
        <v>5187</v>
      </c>
      <c r="Q1316" s="4" t="s">
        <v>8473</v>
      </c>
    </row>
    <row r="1317" spans="1:17" ht="61.5" customHeight="1">
      <c r="A1317" s="213">
        <v>344</v>
      </c>
      <c r="B1317" s="40" t="s">
        <v>8471</v>
      </c>
      <c r="C1317" s="19" t="s">
        <v>8485</v>
      </c>
      <c r="D1317" s="204" t="s">
        <v>2398</v>
      </c>
      <c r="E1317" s="204" t="s">
        <v>2400</v>
      </c>
      <c r="F1317" s="11" t="s">
        <v>8500</v>
      </c>
      <c r="G1317" s="11" t="s">
        <v>8466</v>
      </c>
      <c r="H1317" s="11" t="s">
        <v>121</v>
      </c>
      <c r="I1317" s="21">
        <v>-23.189506300000001</v>
      </c>
      <c r="J1317" s="21">
        <v>-45.8630128</v>
      </c>
      <c r="K1317" s="21" t="s">
        <v>2276</v>
      </c>
      <c r="L1317" s="11">
        <v>2008</v>
      </c>
      <c r="M1317" s="11">
        <v>2009</v>
      </c>
      <c r="N1317" s="204" t="s">
        <v>2276</v>
      </c>
      <c r="O1317" s="19" t="s">
        <v>67</v>
      </c>
      <c r="P1317" s="19" t="s">
        <v>5187</v>
      </c>
      <c r="Q1317" s="4" t="s">
        <v>8473</v>
      </c>
    </row>
    <row r="1318" spans="1:17" ht="61.5" customHeight="1">
      <c r="A1318" s="213">
        <v>344</v>
      </c>
      <c r="B1318" s="40" t="s">
        <v>8471</v>
      </c>
      <c r="C1318" s="19" t="s">
        <v>8486</v>
      </c>
      <c r="D1318" s="204" t="s">
        <v>2398</v>
      </c>
      <c r="E1318" s="204" t="s">
        <v>2400</v>
      </c>
      <c r="F1318" s="11" t="s">
        <v>8466</v>
      </c>
      <c r="G1318" s="11" t="s">
        <v>8466</v>
      </c>
      <c r="H1318" s="11" t="s">
        <v>121</v>
      </c>
      <c r="I1318" s="21">
        <v>-23.6824124</v>
      </c>
      <c r="J1318" s="21">
        <v>-46.595299199999999</v>
      </c>
      <c r="K1318" s="21" t="s">
        <v>2276</v>
      </c>
      <c r="L1318" s="11">
        <v>2008</v>
      </c>
      <c r="M1318" s="11">
        <v>2009</v>
      </c>
      <c r="N1318" s="204" t="s">
        <v>2276</v>
      </c>
      <c r="O1318" s="19" t="s">
        <v>67</v>
      </c>
      <c r="P1318" s="19" t="s">
        <v>5187</v>
      </c>
      <c r="Q1318" s="4" t="s">
        <v>8473</v>
      </c>
    </row>
    <row r="1319" spans="1:17" ht="61.5" customHeight="1">
      <c r="A1319" s="213">
        <v>344</v>
      </c>
      <c r="B1319" s="40" t="s">
        <v>8471</v>
      </c>
      <c r="C1319" s="19" t="s">
        <v>8487</v>
      </c>
      <c r="D1319" s="204" t="s">
        <v>2398</v>
      </c>
      <c r="E1319" s="204" t="s">
        <v>2400</v>
      </c>
      <c r="F1319" s="11" t="s">
        <v>8501</v>
      </c>
      <c r="G1319" s="11" t="s">
        <v>8466</v>
      </c>
      <c r="H1319" s="11" t="s">
        <v>121</v>
      </c>
      <c r="I1319" s="21">
        <v>-23.477406299999998</v>
      </c>
      <c r="J1319" s="21">
        <v>-47.466699699999999</v>
      </c>
      <c r="K1319" s="21">
        <f>'Reported burning'!T3172/'Reported burning'!X3172</f>
        <v>1887.7519379844962</v>
      </c>
      <c r="L1319" s="11">
        <v>2008</v>
      </c>
      <c r="M1319" s="11">
        <v>2009</v>
      </c>
      <c r="N1319" s="204" t="s">
        <v>2276</v>
      </c>
      <c r="O1319" s="19" t="s">
        <v>67</v>
      </c>
      <c r="P1319" s="19" t="s">
        <v>5187</v>
      </c>
      <c r="Q1319" s="4" t="s">
        <v>8473</v>
      </c>
    </row>
    <row r="1320" spans="1:17" ht="49" customHeight="1">
      <c r="A1320" s="213">
        <v>344</v>
      </c>
      <c r="B1320" s="41" t="s">
        <v>8525</v>
      </c>
      <c r="C1320" s="19" t="s">
        <v>8488</v>
      </c>
      <c r="D1320" s="204" t="s">
        <v>2398</v>
      </c>
      <c r="E1320" s="204" t="s">
        <v>2400</v>
      </c>
      <c r="F1320" s="11" t="s">
        <v>2276</v>
      </c>
      <c r="G1320" s="11" t="s">
        <v>8466</v>
      </c>
      <c r="H1320" s="11" t="s">
        <v>121</v>
      </c>
      <c r="I1320" s="21">
        <v>-22.245749100000001</v>
      </c>
      <c r="J1320" s="21">
        <v>-48.306358299999999</v>
      </c>
      <c r="K1320" s="21">
        <f>3240000/100</f>
        <v>32400</v>
      </c>
      <c r="L1320" s="11">
        <v>2006</v>
      </c>
      <c r="M1320" s="11">
        <v>2006</v>
      </c>
      <c r="N1320" s="204" t="s">
        <v>2276</v>
      </c>
      <c r="O1320" s="19" t="s">
        <v>67</v>
      </c>
      <c r="P1320" s="19" t="s">
        <v>5187</v>
      </c>
      <c r="Q1320" s="4" t="s">
        <v>8473</v>
      </c>
    </row>
    <row r="1321" spans="1:17" ht="43" customHeight="1">
      <c r="A1321" s="213">
        <v>345</v>
      </c>
      <c r="B1321" s="40" t="s">
        <v>8526</v>
      </c>
      <c r="C1321" s="19" t="s">
        <v>8527</v>
      </c>
      <c r="D1321" s="204" t="s">
        <v>2398</v>
      </c>
      <c r="E1321" s="204" t="s">
        <v>2636</v>
      </c>
      <c r="F1321" s="11" t="s">
        <v>2276</v>
      </c>
      <c r="G1321" s="11" t="s">
        <v>2276</v>
      </c>
      <c r="H1321" s="11" t="s">
        <v>627</v>
      </c>
      <c r="I1321" s="21">
        <v>10.020728399999999</v>
      </c>
      <c r="J1321" s="21">
        <v>122.9721091</v>
      </c>
      <c r="K1321" s="21">
        <v>300000</v>
      </c>
      <c r="L1321" s="204">
        <v>1999</v>
      </c>
      <c r="M1321" s="204">
        <v>2015</v>
      </c>
      <c r="N1321" s="204" t="s">
        <v>2276</v>
      </c>
      <c r="O1321" s="19" t="s">
        <v>67</v>
      </c>
      <c r="P1321" s="19" t="s">
        <v>5187</v>
      </c>
      <c r="Q1321" s="4" t="s">
        <v>8528</v>
      </c>
    </row>
    <row r="1322" spans="1:17" ht="42.5" customHeight="1">
      <c r="A1322" s="213">
        <v>345</v>
      </c>
      <c r="B1322" s="40" t="s">
        <v>8526</v>
      </c>
      <c r="C1322" s="19" t="s">
        <v>8537</v>
      </c>
      <c r="D1322" s="204" t="s">
        <v>2398</v>
      </c>
      <c r="E1322" s="204" t="s">
        <v>2636</v>
      </c>
      <c r="F1322" s="11" t="s">
        <v>8535</v>
      </c>
      <c r="G1322" s="11" t="s">
        <v>8536</v>
      </c>
      <c r="H1322" s="11" t="s">
        <v>627</v>
      </c>
      <c r="I1322" s="21">
        <v>13.7397461</v>
      </c>
      <c r="J1322" s="21">
        <v>121.1159789</v>
      </c>
      <c r="K1322" s="21" t="s">
        <v>2276</v>
      </c>
      <c r="L1322" s="204">
        <v>2014</v>
      </c>
      <c r="M1322" s="204">
        <v>2014</v>
      </c>
      <c r="N1322" s="204" t="s">
        <v>2276</v>
      </c>
      <c r="O1322" s="19" t="s">
        <v>67</v>
      </c>
      <c r="P1322" s="19" t="s">
        <v>5187</v>
      </c>
      <c r="Q1322" s="4"/>
    </row>
    <row r="1323" spans="1:17" ht="43.5" customHeight="1">
      <c r="A1323" s="213">
        <v>345</v>
      </c>
      <c r="B1323" s="40" t="s">
        <v>8526</v>
      </c>
      <c r="C1323" s="19" t="s">
        <v>8540</v>
      </c>
      <c r="D1323" s="204" t="s">
        <v>2398</v>
      </c>
      <c r="E1323" s="204" t="s">
        <v>2636</v>
      </c>
      <c r="F1323" s="11" t="s">
        <v>2276</v>
      </c>
      <c r="G1323" s="11" t="s">
        <v>8466</v>
      </c>
      <c r="H1323" s="11" t="s">
        <v>121</v>
      </c>
      <c r="I1323" s="21">
        <v>-22.245749100000001</v>
      </c>
      <c r="J1323" s="21">
        <v>-48.306358299999999</v>
      </c>
      <c r="K1323" s="21">
        <f>3240000/100</f>
        <v>32400</v>
      </c>
      <c r="L1323" s="11">
        <v>2015</v>
      </c>
      <c r="M1323" s="11">
        <v>2015</v>
      </c>
      <c r="N1323" s="204" t="s">
        <v>2276</v>
      </c>
      <c r="O1323" s="19" t="s">
        <v>67</v>
      </c>
      <c r="P1323" s="19" t="s">
        <v>5187</v>
      </c>
      <c r="Q1323" s="204"/>
    </row>
    <row r="1324" spans="1:17" ht="38" customHeight="1">
      <c r="A1324" s="213">
        <v>345</v>
      </c>
      <c r="B1324" s="40" t="s">
        <v>8526</v>
      </c>
      <c r="C1324" s="19" t="s">
        <v>8541</v>
      </c>
      <c r="D1324" s="204" t="s">
        <v>2398</v>
      </c>
      <c r="E1324" s="204" t="s">
        <v>2636</v>
      </c>
      <c r="F1324" s="11" t="s">
        <v>2276</v>
      </c>
      <c r="G1324" s="11" t="s">
        <v>8159</v>
      </c>
      <c r="H1324" s="11" t="s">
        <v>3414</v>
      </c>
      <c r="I1324" s="21">
        <v>-31.8938369</v>
      </c>
      <c r="J1324" s="21">
        <v>117.65975299999999</v>
      </c>
      <c r="K1324" s="21" t="s">
        <v>2276</v>
      </c>
      <c r="L1324" s="11">
        <v>2015</v>
      </c>
      <c r="M1324" s="11">
        <v>2015</v>
      </c>
      <c r="N1324" s="204" t="s">
        <v>2276</v>
      </c>
      <c r="O1324" s="19" t="s">
        <v>67</v>
      </c>
      <c r="P1324" s="19" t="s">
        <v>5187</v>
      </c>
      <c r="Q1324" s="204" t="s">
        <v>8542</v>
      </c>
    </row>
    <row r="1325" spans="1:17" ht="40" customHeight="1">
      <c r="A1325" s="188">
        <v>346</v>
      </c>
      <c r="B1325" s="234" t="s">
        <v>8549</v>
      </c>
      <c r="C1325" s="26" t="s">
        <v>8550</v>
      </c>
      <c r="D1325" s="22" t="s">
        <v>2398</v>
      </c>
      <c r="E1325" s="22" t="s">
        <v>2399</v>
      </c>
      <c r="F1325" s="179" t="s">
        <v>8551</v>
      </c>
      <c r="G1325" s="179" t="s">
        <v>8552</v>
      </c>
      <c r="H1325" s="23" t="s">
        <v>770</v>
      </c>
      <c r="I1325" s="21">
        <v>25.7772443</v>
      </c>
      <c r="J1325" s="21">
        <v>-109</v>
      </c>
      <c r="K1325" s="21" t="s">
        <v>2276</v>
      </c>
      <c r="L1325" s="11">
        <v>2008</v>
      </c>
      <c r="M1325" s="11">
        <v>2008</v>
      </c>
      <c r="N1325" s="204" t="s">
        <v>2276</v>
      </c>
      <c r="O1325" s="19" t="s">
        <v>67</v>
      </c>
      <c r="P1325" s="19" t="s">
        <v>5187</v>
      </c>
      <c r="Q1325" s="204"/>
    </row>
    <row r="1326" spans="1:17" ht="51" customHeight="1">
      <c r="A1326" s="188">
        <v>347</v>
      </c>
      <c r="B1326" s="41" t="s">
        <v>8554</v>
      </c>
      <c r="C1326" s="26" t="s">
        <v>8555</v>
      </c>
      <c r="D1326" s="22" t="s">
        <v>2634</v>
      </c>
      <c r="E1326" s="22" t="s">
        <v>2414</v>
      </c>
      <c r="F1326" s="11" t="s">
        <v>8559</v>
      </c>
      <c r="G1326" s="11" t="s">
        <v>8560</v>
      </c>
      <c r="H1326" s="23" t="s">
        <v>8558</v>
      </c>
      <c r="I1326" s="21">
        <v>9.9819952000000001</v>
      </c>
      <c r="J1326" s="21">
        <v>-84.323501500000006</v>
      </c>
      <c r="K1326" s="21" t="s">
        <v>2276</v>
      </c>
      <c r="L1326" s="204">
        <v>2011</v>
      </c>
      <c r="M1326" s="204">
        <v>2011</v>
      </c>
      <c r="N1326" s="204" t="s">
        <v>2276</v>
      </c>
      <c r="O1326" s="19" t="s">
        <v>67</v>
      </c>
      <c r="P1326" s="19" t="s">
        <v>5187</v>
      </c>
      <c r="Q1326" s="204" t="s">
        <v>8564</v>
      </c>
    </row>
    <row r="1327" spans="1:17" ht="51" customHeight="1">
      <c r="A1327" s="188">
        <v>347</v>
      </c>
      <c r="B1327" s="41" t="s">
        <v>8554</v>
      </c>
      <c r="C1327" s="26" t="s">
        <v>8556</v>
      </c>
      <c r="D1327" s="22" t="s">
        <v>2634</v>
      </c>
      <c r="E1327" s="22" t="s">
        <v>2414</v>
      </c>
      <c r="F1327" s="11" t="s">
        <v>8561</v>
      </c>
      <c r="G1327" s="11" t="s">
        <v>8563</v>
      </c>
      <c r="H1327" s="23" t="s">
        <v>8558</v>
      </c>
      <c r="I1327" s="21">
        <v>10.0237354</v>
      </c>
      <c r="J1327" s="21">
        <v>-84.296464900000004</v>
      </c>
      <c r="K1327" s="21" t="s">
        <v>2276</v>
      </c>
      <c r="L1327" s="204">
        <v>2011</v>
      </c>
      <c r="M1327" s="204">
        <v>2011</v>
      </c>
      <c r="N1327" s="204" t="s">
        <v>2276</v>
      </c>
      <c r="O1327" s="19" t="s">
        <v>67</v>
      </c>
      <c r="P1327" s="19" t="s">
        <v>5187</v>
      </c>
      <c r="Q1327" s="204" t="s">
        <v>8564</v>
      </c>
    </row>
    <row r="1328" spans="1:17" ht="51" customHeight="1">
      <c r="A1328" s="188">
        <v>347</v>
      </c>
      <c r="B1328" s="41" t="s">
        <v>8554</v>
      </c>
      <c r="C1328" s="26" t="s">
        <v>8557</v>
      </c>
      <c r="D1328" s="22" t="s">
        <v>2634</v>
      </c>
      <c r="E1328" s="22" t="s">
        <v>2414</v>
      </c>
      <c r="F1328" s="11" t="s">
        <v>2276</v>
      </c>
      <c r="G1328" s="11" t="s">
        <v>8562</v>
      </c>
      <c r="H1328" s="23" t="s">
        <v>8558</v>
      </c>
      <c r="I1328" s="21">
        <v>10.0715191</v>
      </c>
      <c r="J1328" s="21">
        <v>-84.349183100000005</v>
      </c>
      <c r="K1328" s="21" t="s">
        <v>2276</v>
      </c>
      <c r="L1328" s="204">
        <v>2011</v>
      </c>
      <c r="M1328" s="204">
        <v>2011</v>
      </c>
      <c r="N1328" s="204" t="s">
        <v>2276</v>
      </c>
      <c r="O1328" s="19" t="s">
        <v>67</v>
      </c>
      <c r="P1328" s="19" t="s">
        <v>5187</v>
      </c>
      <c r="Q1328" s="204" t="s">
        <v>8564</v>
      </c>
    </row>
    <row r="1329" spans="1:17" ht="36.5" customHeight="1">
      <c r="A1329" s="188">
        <v>348</v>
      </c>
      <c r="B1329" s="40" t="s">
        <v>8570</v>
      </c>
      <c r="C1329" s="204" t="s">
        <v>8571</v>
      </c>
      <c r="D1329" s="204" t="s">
        <v>2398</v>
      </c>
      <c r="E1329" s="204" t="s">
        <v>2399</v>
      </c>
      <c r="F1329" s="11" t="s">
        <v>6307</v>
      </c>
      <c r="G1329" s="11" t="s">
        <v>87</v>
      </c>
      <c r="H1329" s="23" t="s">
        <v>6306</v>
      </c>
      <c r="I1329" s="21">
        <v>32.3879698</v>
      </c>
      <c r="J1329" s="21">
        <v>74.588675800000004</v>
      </c>
      <c r="K1329" s="21" t="s">
        <v>2276</v>
      </c>
      <c r="L1329" s="204">
        <v>2017</v>
      </c>
      <c r="M1329" s="204">
        <v>2017</v>
      </c>
      <c r="N1329" s="204" t="s">
        <v>2276</v>
      </c>
      <c r="O1329" s="19" t="s">
        <v>67</v>
      </c>
      <c r="P1329" s="19" t="s">
        <v>5187</v>
      </c>
      <c r="Q1329" s="204" t="s">
        <v>5907</v>
      </c>
    </row>
    <row r="1330" spans="1:17" ht="34.5" customHeight="1">
      <c r="A1330" s="188">
        <v>348</v>
      </c>
      <c r="B1330" s="40" t="s">
        <v>8570</v>
      </c>
      <c r="C1330" s="26" t="s">
        <v>8572</v>
      </c>
      <c r="D1330" s="204" t="s">
        <v>2398</v>
      </c>
      <c r="E1330" s="204" t="s">
        <v>2399</v>
      </c>
      <c r="F1330" s="11" t="s">
        <v>6305</v>
      </c>
      <c r="G1330" s="11" t="s">
        <v>87</v>
      </c>
      <c r="H1330" s="23" t="s">
        <v>6306</v>
      </c>
      <c r="I1330" s="21">
        <v>32.221187299999997</v>
      </c>
      <c r="J1330" s="21">
        <v>74.315205199999994</v>
      </c>
      <c r="K1330" s="21" t="s">
        <v>2276</v>
      </c>
      <c r="L1330" s="204">
        <v>2017</v>
      </c>
      <c r="M1330" s="204">
        <v>2017</v>
      </c>
      <c r="N1330" s="204" t="s">
        <v>2276</v>
      </c>
      <c r="O1330" s="19" t="s">
        <v>67</v>
      </c>
      <c r="P1330" s="19" t="s">
        <v>5187</v>
      </c>
      <c r="Q1330" s="204" t="s">
        <v>5907</v>
      </c>
    </row>
    <row r="1331" spans="1:17" ht="36" customHeight="1">
      <c r="A1331" s="188">
        <v>349</v>
      </c>
      <c r="B1331" s="40" t="s">
        <v>8576</v>
      </c>
      <c r="C1331" s="26" t="s">
        <v>8577</v>
      </c>
      <c r="D1331" s="204" t="s">
        <v>2398</v>
      </c>
      <c r="E1331" s="204" t="s">
        <v>2422</v>
      </c>
      <c r="F1331" s="204" t="s">
        <v>8579</v>
      </c>
      <c r="G1331" s="11" t="s">
        <v>8578</v>
      </c>
      <c r="H1331" s="23" t="s">
        <v>3770</v>
      </c>
      <c r="I1331" s="21">
        <v>-24.75</v>
      </c>
      <c r="J1331" s="21">
        <v>27.576981</v>
      </c>
      <c r="K1331" s="21">
        <v>44913</v>
      </c>
      <c r="L1331" s="204">
        <v>2008</v>
      </c>
      <c r="M1331" s="204">
        <v>2009</v>
      </c>
      <c r="N1331" s="204" t="s">
        <v>2276</v>
      </c>
      <c r="O1331" s="19" t="s">
        <v>67</v>
      </c>
      <c r="P1331" s="19" t="s">
        <v>5187</v>
      </c>
      <c r="Q1331" s="204"/>
    </row>
    <row r="1332" spans="1:17" ht="35.5" customHeight="1">
      <c r="A1332" s="188">
        <v>349</v>
      </c>
      <c r="B1332" s="40" t="s">
        <v>8576</v>
      </c>
      <c r="C1332" s="26" t="s">
        <v>8583</v>
      </c>
      <c r="D1332" s="204" t="s">
        <v>2398</v>
      </c>
      <c r="E1332" s="204" t="s">
        <v>2422</v>
      </c>
      <c r="F1332" s="11" t="s">
        <v>8580</v>
      </c>
      <c r="G1332" s="11" t="s">
        <v>8578</v>
      </c>
      <c r="H1332" s="23" t="s">
        <v>3770</v>
      </c>
      <c r="I1332" s="21">
        <v>-24.483608499999999</v>
      </c>
      <c r="J1332" s="21">
        <v>28.074173999999999</v>
      </c>
      <c r="K1332" s="21" t="s">
        <v>2276</v>
      </c>
      <c r="L1332" s="204">
        <v>2008</v>
      </c>
      <c r="M1332" s="204">
        <v>2009</v>
      </c>
      <c r="N1332" s="204" t="s">
        <v>2276</v>
      </c>
      <c r="O1332" s="19" t="s">
        <v>67</v>
      </c>
      <c r="P1332" s="19" t="s">
        <v>5187</v>
      </c>
      <c r="Q1332" s="204"/>
    </row>
    <row r="1333" spans="1:17" ht="32" customHeight="1">
      <c r="A1333" s="188">
        <v>349</v>
      </c>
      <c r="B1333" s="40" t="s">
        <v>8576</v>
      </c>
      <c r="C1333" s="26" t="s">
        <v>8584</v>
      </c>
      <c r="D1333" s="204" t="s">
        <v>2398</v>
      </c>
      <c r="E1333" s="204" t="s">
        <v>2422</v>
      </c>
      <c r="F1333" s="11" t="s">
        <v>8581</v>
      </c>
      <c r="G1333" s="11" t="s">
        <v>8578</v>
      </c>
      <c r="H1333" s="23" t="s">
        <v>3770</v>
      </c>
      <c r="I1333" s="21">
        <v>-25.199999600000002</v>
      </c>
      <c r="J1333" s="21">
        <v>28.616667</v>
      </c>
      <c r="K1333" s="21" t="s">
        <v>2276</v>
      </c>
      <c r="L1333" s="204">
        <v>2008</v>
      </c>
      <c r="M1333" s="204">
        <v>2009</v>
      </c>
      <c r="N1333" s="204" t="s">
        <v>2276</v>
      </c>
      <c r="O1333" s="19" t="s">
        <v>67</v>
      </c>
      <c r="P1333" s="19" t="s">
        <v>5187</v>
      </c>
      <c r="Q1333" s="204"/>
    </row>
    <row r="1334" spans="1:17" ht="30" customHeight="1">
      <c r="A1334" s="188">
        <v>349</v>
      </c>
      <c r="B1334" s="40" t="s">
        <v>8576</v>
      </c>
      <c r="C1334" s="26" t="s">
        <v>8585</v>
      </c>
      <c r="D1334" s="204" t="s">
        <v>2398</v>
      </c>
      <c r="E1334" s="204" t="s">
        <v>2422</v>
      </c>
      <c r="F1334" s="11" t="s">
        <v>8582</v>
      </c>
      <c r="G1334" s="11" t="s">
        <v>8578</v>
      </c>
      <c r="H1334" s="23" t="s">
        <v>3770</v>
      </c>
      <c r="I1334" s="21">
        <v>-24.7166666</v>
      </c>
      <c r="J1334" s="21">
        <v>26.816666999999999</v>
      </c>
      <c r="K1334" s="21" t="s">
        <v>2276</v>
      </c>
      <c r="L1334" s="204">
        <v>2008</v>
      </c>
      <c r="M1334" s="204">
        <v>2009</v>
      </c>
      <c r="N1334" s="204" t="s">
        <v>2276</v>
      </c>
      <c r="O1334" s="19" t="s">
        <v>67</v>
      </c>
      <c r="P1334" s="19" t="s">
        <v>5187</v>
      </c>
      <c r="Q1334" s="204"/>
    </row>
    <row r="1335" spans="1:17" ht="37" customHeight="1">
      <c r="A1335" s="188">
        <v>350</v>
      </c>
      <c r="B1335" s="40" t="s">
        <v>8601</v>
      </c>
      <c r="C1335" s="26" t="s">
        <v>8598</v>
      </c>
      <c r="D1335" s="204" t="s">
        <v>2398</v>
      </c>
      <c r="E1335" s="204" t="s">
        <v>2400</v>
      </c>
      <c r="F1335" s="11" t="s">
        <v>8602</v>
      </c>
      <c r="G1335" s="11" t="s">
        <v>2276</v>
      </c>
      <c r="H1335" s="23" t="s">
        <v>8599</v>
      </c>
      <c r="I1335" s="21">
        <f>23 + 36/60</f>
        <v>23.6</v>
      </c>
      <c r="J1335" s="21">
        <f>120 + 28/60</f>
        <v>120.46666666666667</v>
      </c>
      <c r="K1335" s="21">
        <f>8600/100</f>
        <v>86</v>
      </c>
      <c r="L1335" s="204">
        <v>2009</v>
      </c>
      <c r="M1335" s="204">
        <v>2009</v>
      </c>
      <c r="N1335" s="204" t="s">
        <v>2276</v>
      </c>
      <c r="O1335" s="19" t="s">
        <v>67</v>
      </c>
      <c r="P1335" s="19" t="s">
        <v>5187</v>
      </c>
      <c r="Q1335" s="19" t="s">
        <v>8600</v>
      </c>
    </row>
    <row r="1336" spans="1:17" ht="51" customHeight="1">
      <c r="A1336" s="188">
        <v>351</v>
      </c>
      <c r="B1336" s="40" t="s">
        <v>8607</v>
      </c>
      <c r="C1336" s="26" t="s">
        <v>8608</v>
      </c>
      <c r="D1336" s="204" t="s">
        <v>2398</v>
      </c>
      <c r="E1336" s="204" t="s">
        <v>2399</v>
      </c>
      <c r="F1336" s="11" t="s">
        <v>2276</v>
      </c>
      <c r="G1336" s="11" t="s">
        <v>2276</v>
      </c>
      <c r="H1336" s="23" t="s">
        <v>114</v>
      </c>
      <c r="I1336" s="21">
        <v>29</v>
      </c>
      <c r="J1336" s="21">
        <v>110</v>
      </c>
      <c r="K1336" s="21">
        <v>9597000</v>
      </c>
      <c r="L1336" s="11">
        <v>2010</v>
      </c>
      <c r="M1336" s="11">
        <v>2010</v>
      </c>
      <c r="N1336" s="204" t="s">
        <v>2276</v>
      </c>
      <c r="O1336" s="19" t="s">
        <v>67</v>
      </c>
      <c r="P1336" s="19" t="s">
        <v>5187</v>
      </c>
      <c r="Q1336" s="4" t="s">
        <v>8622</v>
      </c>
    </row>
    <row r="1337" spans="1:17" ht="40" customHeight="1">
      <c r="A1337" s="188">
        <v>351</v>
      </c>
      <c r="B1337" s="40" t="s">
        <v>8607</v>
      </c>
      <c r="C1337" s="26" t="s">
        <v>8611</v>
      </c>
      <c r="D1337" s="204" t="s">
        <v>2398</v>
      </c>
      <c r="E1337" s="204" t="s">
        <v>2399</v>
      </c>
      <c r="F1337" s="11" t="s">
        <v>2276</v>
      </c>
      <c r="G1337" s="11" t="s">
        <v>8617</v>
      </c>
      <c r="H1337" s="23" t="s">
        <v>114</v>
      </c>
      <c r="I1337" s="21">
        <v>27.381343000000001</v>
      </c>
      <c r="J1337" s="21">
        <v>111.52605269999999</v>
      </c>
      <c r="K1337" s="21">
        <v>210000</v>
      </c>
      <c r="L1337" s="11">
        <v>2015</v>
      </c>
      <c r="M1337" s="11">
        <v>2015</v>
      </c>
      <c r="N1337" s="204" t="s">
        <v>2276</v>
      </c>
      <c r="O1337" s="19" t="s">
        <v>67</v>
      </c>
      <c r="P1337" s="19" t="s">
        <v>5187</v>
      </c>
      <c r="Q1337" s="204"/>
    </row>
    <row r="1338" spans="1:17" ht="40" customHeight="1">
      <c r="A1338" s="188">
        <v>351</v>
      </c>
      <c r="B1338" s="40" t="s">
        <v>8607</v>
      </c>
      <c r="C1338" s="26" t="s">
        <v>8612</v>
      </c>
      <c r="D1338" s="204" t="s">
        <v>2398</v>
      </c>
      <c r="E1338" s="204" t="s">
        <v>2399</v>
      </c>
      <c r="F1338" s="11" t="s">
        <v>2276</v>
      </c>
      <c r="G1338" s="11" t="s">
        <v>8618</v>
      </c>
      <c r="H1338" s="23" t="s">
        <v>114</v>
      </c>
      <c r="I1338" s="21">
        <v>22.864244500000002</v>
      </c>
      <c r="J1338" s="21">
        <v>113.48677859999999</v>
      </c>
      <c r="K1338" s="21">
        <v>177900</v>
      </c>
      <c r="L1338" s="11">
        <v>2015</v>
      </c>
      <c r="M1338" s="11">
        <v>2015</v>
      </c>
      <c r="N1338" s="204" t="s">
        <v>2276</v>
      </c>
      <c r="O1338" s="19" t="s">
        <v>67</v>
      </c>
      <c r="P1338" s="19" t="s">
        <v>5187</v>
      </c>
      <c r="Q1338" s="204"/>
    </row>
    <row r="1339" spans="1:17" ht="40" customHeight="1">
      <c r="A1339" s="188">
        <v>351</v>
      </c>
      <c r="B1339" s="40" t="s">
        <v>8607</v>
      </c>
      <c r="C1339" s="26" t="s">
        <v>8613</v>
      </c>
      <c r="D1339" s="204" t="s">
        <v>2398</v>
      </c>
      <c r="E1339" s="204" t="s">
        <v>2399</v>
      </c>
      <c r="F1339" s="11" t="s">
        <v>2276</v>
      </c>
      <c r="G1339" s="11" t="s">
        <v>6295</v>
      </c>
      <c r="H1339" s="23" t="s">
        <v>114</v>
      </c>
      <c r="I1339" s="21">
        <v>32.941176800000001</v>
      </c>
      <c r="J1339" s="21">
        <v>119.1685727</v>
      </c>
      <c r="K1339" s="21">
        <v>102600</v>
      </c>
      <c r="L1339" s="11">
        <v>2015</v>
      </c>
      <c r="M1339" s="11">
        <v>2015</v>
      </c>
      <c r="N1339" s="204" t="s">
        <v>2276</v>
      </c>
      <c r="O1339" s="19" t="s">
        <v>67</v>
      </c>
      <c r="P1339" s="19" t="s">
        <v>5187</v>
      </c>
      <c r="Q1339" s="204"/>
    </row>
    <row r="1340" spans="1:17" ht="40" customHeight="1">
      <c r="A1340" s="188">
        <v>351</v>
      </c>
      <c r="B1340" s="40" t="s">
        <v>8607</v>
      </c>
      <c r="C1340" s="26" t="s">
        <v>8614</v>
      </c>
      <c r="D1340" s="204" t="s">
        <v>2398</v>
      </c>
      <c r="E1340" s="204" t="s">
        <v>2399</v>
      </c>
      <c r="F1340" s="11" t="s">
        <v>2276</v>
      </c>
      <c r="G1340" s="11" t="s">
        <v>8619</v>
      </c>
      <c r="H1340" s="23" t="s">
        <v>114</v>
      </c>
      <c r="I1340" s="21">
        <v>33.874465499999999</v>
      </c>
      <c r="J1340" s="21">
        <v>113.5060582</v>
      </c>
      <c r="K1340" s="21">
        <v>167000</v>
      </c>
      <c r="L1340" s="11">
        <v>2015</v>
      </c>
      <c r="M1340" s="11">
        <v>2015</v>
      </c>
      <c r="N1340" s="204" t="s">
        <v>2276</v>
      </c>
      <c r="O1340" s="19" t="s">
        <v>67</v>
      </c>
      <c r="P1340" s="19" t="s">
        <v>5187</v>
      </c>
      <c r="Q1340" s="204"/>
    </row>
    <row r="1341" spans="1:17" ht="40" customHeight="1">
      <c r="A1341" s="188">
        <v>351</v>
      </c>
      <c r="B1341" s="40" t="s">
        <v>8607</v>
      </c>
      <c r="C1341" s="26" t="s">
        <v>8615</v>
      </c>
      <c r="D1341" s="204" t="s">
        <v>2398</v>
      </c>
      <c r="E1341" s="204" t="s">
        <v>2399</v>
      </c>
      <c r="F1341" s="11" t="s">
        <v>2276</v>
      </c>
      <c r="G1341" s="11" t="s">
        <v>8620</v>
      </c>
      <c r="H1341" s="23" t="s">
        <v>114</v>
      </c>
      <c r="I1341" s="21">
        <v>48.494711100000004</v>
      </c>
      <c r="J1341" s="21">
        <v>128.13871119999999</v>
      </c>
      <c r="K1341" s="21">
        <v>454800</v>
      </c>
      <c r="L1341" s="11">
        <v>2015</v>
      </c>
      <c r="M1341" s="11">
        <v>2015</v>
      </c>
      <c r="N1341" s="204" t="s">
        <v>2276</v>
      </c>
      <c r="O1341" s="19" t="s">
        <v>67</v>
      </c>
      <c r="P1341" s="19" t="s">
        <v>5187</v>
      </c>
      <c r="Q1341" s="204"/>
    </row>
    <row r="1342" spans="1:17" ht="40" customHeight="1">
      <c r="A1342" s="188">
        <v>351</v>
      </c>
      <c r="B1342" s="40" t="s">
        <v>8607</v>
      </c>
      <c r="C1342" s="26" t="s">
        <v>8616</v>
      </c>
      <c r="D1342" s="204" t="s">
        <v>2398</v>
      </c>
      <c r="E1342" s="204" t="s">
        <v>2399</v>
      </c>
      <c r="F1342" s="11" t="s">
        <v>2276</v>
      </c>
      <c r="G1342" s="11" t="s">
        <v>8621</v>
      </c>
      <c r="H1342" s="23" t="s">
        <v>114</v>
      </c>
      <c r="I1342" s="21">
        <v>41.105408199999999</v>
      </c>
      <c r="J1342" s="21">
        <v>122.3184631</v>
      </c>
      <c r="K1342" s="21">
        <v>145900</v>
      </c>
      <c r="L1342" s="11">
        <v>2015</v>
      </c>
      <c r="M1342" s="11">
        <v>2015</v>
      </c>
      <c r="N1342" s="204" t="s">
        <v>2276</v>
      </c>
      <c r="O1342" s="19" t="s">
        <v>67</v>
      </c>
      <c r="P1342" s="19" t="s">
        <v>5187</v>
      </c>
      <c r="Q1342" s="204"/>
    </row>
    <row r="1343" spans="1:17" ht="44" customHeight="1">
      <c r="A1343" s="188">
        <v>352</v>
      </c>
      <c r="B1343" s="40" t="s">
        <v>8632</v>
      </c>
      <c r="C1343" s="26" t="s">
        <v>8633</v>
      </c>
      <c r="D1343" s="204" t="s">
        <v>2398</v>
      </c>
      <c r="E1343" s="204" t="s">
        <v>2636</v>
      </c>
      <c r="F1343" s="11" t="s">
        <v>2276</v>
      </c>
      <c r="G1343" s="11" t="s">
        <v>2276</v>
      </c>
      <c r="H1343" s="23" t="s">
        <v>114</v>
      </c>
      <c r="I1343" s="21">
        <v>29</v>
      </c>
      <c r="J1343" s="21">
        <v>110</v>
      </c>
      <c r="K1343" s="21">
        <v>9597000</v>
      </c>
      <c r="L1343" s="11">
        <v>2000</v>
      </c>
      <c r="M1343" s="11">
        <v>2015</v>
      </c>
      <c r="N1343" s="204" t="s">
        <v>2276</v>
      </c>
      <c r="O1343" s="19" t="s">
        <v>67</v>
      </c>
      <c r="P1343" s="19" t="s">
        <v>5187</v>
      </c>
      <c r="Q1343" s="4" t="s">
        <v>8634</v>
      </c>
    </row>
    <row r="1344" spans="1:17" ht="44" customHeight="1">
      <c r="A1344" s="188">
        <v>352</v>
      </c>
      <c r="B1344" s="40" t="s">
        <v>8632</v>
      </c>
      <c r="C1344" s="26" t="s">
        <v>8637</v>
      </c>
      <c r="D1344" s="204" t="s">
        <v>2398</v>
      </c>
      <c r="E1344" s="204" t="s">
        <v>2636</v>
      </c>
      <c r="F1344" s="204" t="s">
        <v>8635</v>
      </c>
      <c r="G1344" s="11" t="s">
        <v>2276</v>
      </c>
      <c r="H1344" s="23" t="s">
        <v>114</v>
      </c>
      <c r="I1344" s="21">
        <v>46.5</v>
      </c>
      <c r="J1344" s="21">
        <v>122.33329999999999</v>
      </c>
      <c r="K1344" s="21">
        <v>59806</v>
      </c>
      <c r="L1344" s="11">
        <v>2015</v>
      </c>
      <c r="M1344" s="11">
        <v>2015</v>
      </c>
      <c r="N1344" s="204" t="s">
        <v>2276</v>
      </c>
      <c r="O1344" s="19" t="s">
        <v>67</v>
      </c>
      <c r="P1344" s="19" t="s">
        <v>5187</v>
      </c>
      <c r="Q1344" s="204"/>
    </row>
    <row r="1345" spans="1:17" ht="44" customHeight="1">
      <c r="A1345" s="188">
        <v>352</v>
      </c>
      <c r="B1345" s="40" t="s">
        <v>8632</v>
      </c>
      <c r="C1345" s="26" t="s">
        <v>8636</v>
      </c>
      <c r="D1345" s="204" t="s">
        <v>2398</v>
      </c>
      <c r="E1345" s="204" t="s">
        <v>2636</v>
      </c>
      <c r="F1345" s="11" t="s">
        <v>2276</v>
      </c>
      <c r="G1345" s="11" t="s">
        <v>8620</v>
      </c>
      <c r="H1345" s="23" t="s">
        <v>114</v>
      </c>
      <c r="I1345" s="21">
        <v>48.494711100000004</v>
      </c>
      <c r="J1345" s="21">
        <v>128.13871119999999</v>
      </c>
      <c r="K1345" s="21">
        <v>454800</v>
      </c>
      <c r="L1345" s="11">
        <v>2015</v>
      </c>
      <c r="M1345" s="11">
        <v>2015</v>
      </c>
      <c r="N1345" s="204" t="s">
        <v>2276</v>
      </c>
      <c r="O1345" s="19" t="s">
        <v>67</v>
      </c>
      <c r="P1345" s="19" t="s">
        <v>5187</v>
      </c>
      <c r="Q1345" s="204"/>
    </row>
    <row r="1346" spans="1:17" ht="37" customHeight="1">
      <c r="A1346" s="188">
        <v>353</v>
      </c>
      <c r="B1346" s="40" t="s">
        <v>8646</v>
      </c>
      <c r="C1346" s="26" t="s">
        <v>8644</v>
      </c>
      <c r="D1346" s="204" t="s">
        <v>2398</v>
      </c>
      <c r="E1346" s="204" t="s">
        <v>4847</v>
      </c>
      <c r="F1346" s="11" t="s">
        <v>2276</v>
      </c>
      <c r="G1346" s="11" t="s">
        <v>2276</v>
      </c>
      <c r="H1346" s="23" t="s">
        <v>114</v>
      </c>
      <c r="I1346" s="21">
        <v>29</v>
      </c>
      <c r="J1346" s="21">
        <v>110</v>
      </c>
      <c r="K1346" s="21">
        <v>9597000</v>
      </c>
      <c r="L1346" s="11">
        <v>1996</v>
      </c>
      <c r="M1346" s="11">
        <v>2005</v>
      </c>
      <c r="N1346" s="204" t="s">
        <v>2276</v>
      </c>
      <c r="O1346" s="19" t="s">
        <v>67</v>
      </c>
      <c r="P1346" s="19" t="s">
        <v>5187</v>
      </c>
      <c r="Q1346" s="204"/>
    </row>
    <row r="1347" spans="1:17" ht="42" customHeight="1">
      <c r="A1347" s="188">
        <v>354</v>
      </c>
      <c r="B1347" s="40" t="s">
        <v>8647</v>
      </c>
      <c r="C1347" s="26" t="s">
        <v>8648</v>
      </c>
      <c r="D1347" s="204" t="s">
        <v>2398</v>
      </c>
      <c r="E1347" s="204" t="s">
        <v>2636</v>
      </c>
      <c r="F1347" s="11" t="s">
        <v>2276</v>
      </c>
      <c r="G1347" s="11" t="s">
        <v>8649</v>
      </c>
      <c r="H1347" s="23" t="s">
        <v>114</v>
      </c>
      <c r="I1347" s="21">
        <v>31.247683299999998</v>
      </c>
      <c r="J1347" s="21">
        <v>120.2433458</v>
      </c>
      <c r="K1347" s="204" t="s">
        <v>2276</v>
      </c>
      <c r="L1347" s="11">
        <v>1000</v>
      </c>
      <c r="M1347" s="11">
        <v>1950</v>
      </c>
      <c r="N1347" s="204" t="s">
        <v>2276</v>
      </c>
      <c r="O1347" s="19" t="s">
        <v>67</v>
      </c>
      <c r="P1347" s="19" t="s">
        <v>5187</v>
      </c>
      <c r="Q1347" s="204"/>
    </row>
    <row r="1348" spans="1:17" ht="44" customHeight="1">
      <c r="A1348" s="188">
        <v>354</v>
      </c>
      <c r="B1348" s="40" t="s">
        <v>8647</v>
      </c>
      <c r="C1348" s="26" t="s">
        <v>8650</v>
      </c>
      <c r="D1348" s="204" t="s">
        <v>2398</v>
      </c>
      <c r="E1348" s="204" t="s">
        <v>2636</v>
      </c>
      <c r="F1348" s="11" t="s">
        <v>2276</v>
      </c>
      <c r="G1348" s="11" t="s">
        <v>8649</v>
      </c>
      <c r="H1348" s="23" t="s">
        <v>114</v>
      </c>
      <c r="I1348" s="21">
        <v>31.247683299999998</v>
      </c>
      <c r="J1348" s="21">
        <v>120.2433458</v>
      </c>
      <c r="K1348" s="204" t="s">
        <v>2276</v>
      </c>
      <c r="L1348" s="11">
        <v>1951</v>
      </c>
      <c r="M1348" s="11">
        <v>1995</v>
      </c>
      <c r="N1348" s="204" t="s">
        <v>2276</v>
      </c>
      <c r="O1348" s="19" t="s">
        <v>67</v>
      </c>
      <c r="P1348" s="19" t="s">
        <v>5187</v>
      </c>
      <c r="Q1348" s="204"/>
    </row>
    <row r="1349" spans="1:17" ht="46.5" customHeight="1">
      <c r="A1349" s="188">
        <v>355</v>
      </c>
      <c r="B1349" s="40" t="s">
        <v>8654</v>
      </c>
      <c r="C1349" s="26" t="s">
        <v>8655</v>
      </c>
      <c r="D1349" s="204" t="s">
        <v>2398</v>
      </c>
      <c r="E1349" s="204" t="s">
        <v>2399</v>
      </c>
      <c r="F1349" s="204" t="s">
        <v>8657</v>
      </c>
      <c r="G1349" s="11" t="s">
        <v>2276</v>
      </c>
      <c r="H1349" s="23" t="s">
        <v>114</v>
      </c>
      <c r="I1349" s="21">
        <v>31.75</v>
      </c>
      <c r="J1349" s="21">
        <v>118.11</v>
      </c>
      <c r="K1349" s="204" t="s">
        <v>2276</v>
      </c>
      <c r="L1349" s="204">
        <v>2014</v>
      </c>
      <c r="M1349" s="204">
        <v>2014</v>
      </c>
      <c r="N1349" s="204" t="s">
        <v>2276</v>
      </c>
      <c r="O1349" s="19" t="s">
        <v>67</v>
      </c>
      <c r="P1349" s="19" t="s">
        <v>5187</v>
      </c>
      <c r="Q1349" s="204"/>
    </row>
    <row r="1350" spans="1:17" ht="41" customHeight="1">
      <c r="A1350" s="188">
        <v>355</v>
      </c>
      <c r="B1350" s="40" t="s">
        <v>8654</v>
      </c>
      <c r="C1350" s="26" t="s">
        <v>8656</v>
      </c>
      <c r="D1350" s="204" t="s">
        <v>2398</v>
      </c>
      <c r="E1350" s="204" t="s">
        <v>2399</v>
      </c>
      <c r="F1350" s="204" t="s">
        <v>8658</v>
      </c>
      <c r="G1350" s="11" t="s">
        <v>2276</v>
      </c>
      <c r="H1350" s="23" t="s">
        <v>114</v>
      </c>
      <c r="I1350" s="21">
        <v>30.84</v>
      </c>
      <c r="J1350" s="21">
        <v>117.65</v>
      </c>
      <c r="K1350" s="204" t="s">
        <v>2276</v>
      </c>
      <c r="L1350" s="204">
        <v>2014</v>
      </c>
      <c r="M1350" s="204">
        <v>2014</v>
      </c>
      <c r="N1350" s="204" t="s">
        <v>2276</v>
      </c>
      <c r="O1350" s="19" t="s">
        <v>67</v>
      </c>
      <c r="P1350" s="19" t="s">
        <v>5187</v>
      </c>
      <c r="Q1350" s="204"/>
    </row>
    <row r="1351" spans="1:17" ht="37" customHeight="1">
      <c r="A1351" s="188">
        <v>356</v>
      </c>
      <c r="B1351" s="40" t="s">
        <v>8663</v>
      </c>
      <c r="C1351" s="26" t="s">
        <v>8664</v>
      </c>
      <c r="D1351" s="204" t="s">
        <v>2398</v>
      </c>
      <c r="E1351" s="204" t="s">
        <v>2399</v>
      </c>
      <c r="F1351" s="11" t="s">
        <v>2276</v>
      </c>
      <c r="G1351" s="204" t="s">
        <v>8665</v>
      </c>
      <c r="H1351" s="23" t="s">
        <v>114</v>
      </c>
      <c r="I1351" s="21">
        <v>31.152552100000001</v>
      </c>
      <c r="J1351" s="21">
        <v>112.2510759</v>
      </c>
      <c r="K1351" s="21">
        <v>185900</v>
      </c>
      <c r="L1351" s="11">
        <v>2015</v>
      </c>
      <c r="M1351" s="11">
        <v>2015</v>
      </c>
      <c r="N1351" s="204">
        <f>58000000/K1351</f>
        <v>311.9956966110812</v>
      </c>
      <c r="O1351" s="19" t="s">
        <v>67</v>
      </c>
      <c r="P1351" s="19" t="s">
        <v>5187</v>
      </c>
      <c r="Q1351" s="204"/>
    </row>
    <row r="1352" spans="1:17" ht="45.5" customHeight="1">
      <c r="A1352" s="188">
        <v>357</v>
      </c>
      <c r="B1352" s="40" t="s">
        <v>8668</v>
      </c>
      <c r="C1352" s="26" t="s">
        <v>8669</v>
      </c>
      <c r="D1352" s="204" t="s">
        <v>2398</v>
      </c>
      <c r="E1352" s="204" t="s">
        <v>4847</v>
      </c>
      <c r="F1352" s="64" t="s">
        <v>8676</v>
      </c>
      <c r="G1352" s="204" t="s">
        <v>8672</v>
      </c>
      <c r="H1352" s="204" t="s">
        <v>88</v>
      </c>
      <c r="I1352" s="21">
        <v>30.7741833715288</v>
      </c>
      <c r="J1352" s="21">
        <v>75.160195001733896</v>
      </c>
      <c r="K1352" s="21">
        <f>AVERAGE(22.81, 25.19, 26.04, 26.11, 24.87, 25.3, 26.14, 26.47)*(100000/100)</f>
        <v>25366.249999999996</v>
      </c>
      <c r="L1352" s="11">
        <v>1999</v>
      </c>
      <c r="M1352" s="11">
        <v>2005</v>
      </c>
      <c r="N1352" s="204" t="s">
        <v>2276</v>
      </c>
      <c r="O1352" s="19" t="s">
        <v>67</v>
      </c>
      <c r="P1352" s="19" t="s">
        <v>5187</v>
      </c>
      <c r="Q1352" s="11" t="s">
        <v>8675</v>
      </c>
    </row>
    <row r="1353" spans="1:17" ht="38" customHeight="1">
      <c r="A1353" s="188">
        <v>357</v>
      </c>
      <c r="B1353" s="40" t="s">
        <v>8668</v>
      </c>
      <c r="C1353" s="26" t="s">
        <v>8670</v>
      </c>
      <c r="D1353" s="204" t="s">
        <v>2398</v>
      </c>
      <c r="E1353" s="204" t="s">
        <v>4847</v>
      </c>
      <c r="F1353" s="64" t="s">
        <v>8676</v>
      </c>
      <c r="G1353" s="204" t="s">
        <v>90</v>
      </c>
      <c r="H1353" s="204" t="s">
        <v>88</v>
      </c>
      <c r="I1353" s="21">
        <v>29.678193861136599</v>
      </c>
      <c r="J1353" s="21">
        <v>76.341552366334696</v>
      </c>
      <c r="K1353" s="21">
        <f>AVERAGE(9.13, 10.83, 10.83, 10.54, 10.28, 9.06, 10.15, 10.28)*(100000/100)</f>
        <v>10137.500000000002</v>
      </c>
      <c r="L1353" s="11">
        <v>1999</v>
      </c>
      <c r="M1353" s="11">
        <v>2005</v>
      </c>
      <c r="N1353" s="204" t="s">
        <v>2276</v>
      </c>
      <c r="O1353" s="19" t="s">
        <v>67</v>
      </c>
      <c r="P1353" s="19" t="s">
        <v>5187</v>
      </c>
      <c r="Q1353" s="11" t="s">
        <v>8675</v>
      </c>
    </row>
    <row r="1354" spans="1:17" ht="40" customHeight="1">
      <c r="A1354" s="188">
        <v>357</v>
      </c>
      <c r="B1354" s="40" t="s">
        <v>8668</v>
      </c>
      <c r="C1354" s="26" t="s">
        <v>8671</v>
      </c>
      <c r="D1354" s="204" t="s">
        <v>2398</v>
      </c>
      <c r="E1354" s="204" t="s">
        <v>4847</v>
      </c>
      <c r="F1354" s="64" t="s">
        <v>8676</v>
      </c>
      <c r="G1354" s="204" t="s">
        <v>8391</v>
      </c>
      <c r="H1354" s="204" t="s">
        <v>88</v>
      </c>
      <c r="I1354" s="21">
        <f>29+22/60</f>
        <v>29.366666666666667</v>
      </c>
      <c r="J1354" s="21">
        <v>78.5</v>
      </c>
      <c r="K1354" s="21">
        <f>AVERAGE(56.64, 58.81, 60.8, 59.07, 60.71, 52.13, 59.52)*(100000/100)</f>
        <v>58239.999999999993</v>
      </c>
      <c r="L1354" s="11">
        <v>1999</v>
      </c>
      <c r="M1354" s="11">
        <v>2005</v>
      </c>
      <c r="N1354" s="204" t="s">
        <v>2276</v>
      </c>
      <c r="O1354" s="19" t="s">
        <v>67</v>
      </c>
      <c r="P1354" s="19" t="s">
        <v>5187</v>
      </c>
      <c r="Q1354" s="11" t="s">
        <v>8675</v>
      </c>
    </row>
    <row r="1355" spans="1:17" ht="42" customHeight="1">
      <c r="A1355" s="188">
        <v>357</v>
      </c>
      <c r="B1355" s="40" t="s">
        <v>8668</v>
      </c>
      <c r="C1355" s="26" t="s">
        <v>8670</v>
      </c>
      <c r="D1355" s="204" t="s">
        <v>2398</v>
      </c>
      <c r="E1355" s="204" t="s">
        <v>4847</v>
      </c>
      <c r="F1355" s="11" t="s">
        <v>2276</v>
      </c>
      <c r="G1355" s="11" t="s">
        <v>2276</v>
      </c>
      <c r="H1355" s="204" t="s">
        <v>1052</v>
      </c>
      <c r="I1355" s="21">
        <v>15.0390905</v>
      </c>
      <c r="J1355" s="21">
        <v>101.490104</v>
      </c>
      <c r="K1355" s="177">
        <f>29146*1000/'Land use'!J1355/'Land use'!J1355/100</f>
        <v>33403.79891450642</v>
      </c>
      <c r="L1355" s="11">
        <v>2007</v>
      </c>
      <c r="M1355" s="11">
        <v>2007</v>
      </c>
      <c r="N1355" s="204" t="s">
        <v>2276</v>
      </c>
      <c r="O1355" s="19" t="s">
        <v>67</v>
      </c>
      <c r="P1355" s="19" t="s">
        <v>5187</v>
      </c>
      <c r="Q1355" s="11" t="s">
        <v>8675</v>
      </c>
    </row>
    <row r="1356" spans="1:17" ht="42" customHeight="1">
      <c r="A1356" s="188">
        <v>357</v>
      </c>
      <c r="B1356" s="40" t="s">
        <v>8668</v>
      </c>
      <c r="C1356" s="26" t="s">
        <v>8671</v>
      </c>
      <c r="D1356" s="204" t="s">
        <v>2398</v>
      </c>
      <c r="E1356" s="204" t="s">
        <v>4847</v>
      </c>
      <c r="F1356" s="11" t="s">
        <v>2276</v>
      </c>
      <c r="G1356" s="11" t="s">
        <v>2276</v>
      </c>
      <c r="H1356" s="204" t="s">
        <v>627</v>
      </c>
      <c r="I1356" s="21">
        <v>10.020728399999999</v>
      </c>
      <c r="J1356" s="21">
        <v>122.9721091</v>
      </c>
      <c r="K1356" s="177">
        <f>14239*1000/'Land use'!J1356/'Land use'!J1356/100</f>
        <v>11711.532252430943</v>
      </c>
      <c r="L1356" s="11">
        <v>2007</v>
      </c>
      <c r="M1356" s="11">
        <v>2007</v>
      </c>
      <c r="N1356" s="204" t="s">
        <v>2276</v>
      </c>
      <c r="O1356" s="19" t="s">
        <v>67</v>
      </c>
      <c r="P1356" s="19" t="s">
        <v>5187</v>
      </c>
      <c r="Q1356" s="11" t="s">
        <v>8675</v>
      </c>
    </row>
    <row r="1357" spans="1:17" ht="46.5" customHeight="1">
      <c r="A1357" s="188">
        <v>358</v>
      </c>
      <c r="B1357" s="40" t="s">
        <v>8688</v>
      </c>
      <c r="C1357" s="26" t="s">
        <v>8683</v>
      </c>
      <c r="D1357" s="204" t="s">
        <v>2398</v>
      </c>
      <c r="E1357" s="204" t="s">
        <v>2405</v>
      </c>
      <c r="F1357" s="11" t="s">
        <v>2276</v>
      </c>
      <c r="G1357" s="19" t="s">
        <v>8689</v>
      </c>
      <c r="H1357" s="23" t="s">
        <v>114</v>
      </c>
      <c r="I1357" s="21">
        <f>AVERAGE(41.2, 53.23)</f>
        <v>47.215000000000003</v>
      </c>
      <c r="J1357" s="21">
        <f>AVERAGE(115.22, 126.06)</f>
        <v>120.64</v>
      </c>
      <c r="K1357" s="21">
        <v>452540</v>
      </c>
      <c r="L1357" s="11">
        <v>2000</v>
      </c>
      <c r="M1357" s="11">
        <v>2010</v>
      </c>
      <c r="N1357" s="204" t="s">
        <v>2276</v>
      </c>
      <c r="O1357" s="19" t="s">
        <v>67</v>
      </c>
      <c r="P1357" s="19" t="s">
        <v>5187</v>
      </c>
      <c r="Q1357" s="204"/>
    </row>
    <row r="1358" spans="1:17" ht="43" customHeight="1">
      <c r="A1358" s="188">
        <v>359</v>
      </c>
      <c r="B1358" s="40" t="s">
        <v>8695</v>
      </c>
      <c r="C1358" s="26" t="s">
        <v>8694</v>
      </c>
      <c r="D1358" s="204" t="s">
        <v>2398</v>
      </c>
      <c r="E1358" s="204" t="s">
        <v>4847</v>
      </c>
      <c r="F1358" s="11" t="s">
        <v>8705</v>
      </c>
      <c r="G1358" s="19" t="s">
        <v>8689</v>
      </c>
      <c r="H1358" s="23" t="s">
        <v>114</v>
      </c>
      <c r="I1358" s="21">
        <f>AVERAGE(47.08, 53.23)</f>
        <v>50.155000000000001</v>
      </c>
      <c r="J1358" s="21">
        <f>AVERAGE(115.22, 126.08)</f>
        <v>120.65</v>
      </c>
      <c r="K1358" s="21">
        <v>252948</v>
      </c>
      <c r="L1358" s="11">
        <v>1977</v>
      </c>
      <c r="M1358" s="11">
        <v>1996</v>
      </c>
      <c r="N1358" s="204" t="s">
        <v>2276</v>
      </c>
      <c r="O1358" s="19" t="s">
        <v>67</v>
      </c>
      <c r="P1358" s="19" t="s">
        <v>5187</v>
      </c>
      <c r="Q1358" s="204"/>
    </row>
    <row r="1359" spans="1:17" ht="44.5" customHeight="1">
      <c r="A1359" s="188">
        <v>360</v>
      </c>
      <c r="B1359" s="40" t="s">
        <v>8706</v>
      </c>
      <c r="C1359" s="26" t="s">
        <v>8707</v>
      </c>
      <c r="D1359" s="204" t="s">
        <v>2398</v>
      </c>
      <c r="E1359" s="204" t="s">
        <v>2399</v>
      </c>
      <c r="F1359" s="11" t="s">
        <v>8714</v>
      </c>
      <c r="G1359" s="11" t="s">
        <v>8708</v>
      </c>
      <c r="H1359" s="23" t="s">
        <v>779</v>
      </c>
      <c r="I1359" s="21">
        <f>10+18/60</f>
        <v>10.3</v>
      </c>
      <c r="J1359" s="21">
        <f>105+54/60</f>
        <v>105.9</v>
      </c>
      <c r="K1359" s="21">
        <f>35*0.9/100</f>
        <v>0.315</v>
      </c>
      <c r="L1359" s="11">
        <v>2007</v>
      </c>
      <c r="M1359" s="11">
        <v>2011</v>
      </c>
      <c r="N1359" s="204" t="s">
        <v>2276</v>
      </c>
      <c r="O1359" s="19" t="s">
        <v>67</v>
      </c>
      <c r="P1359" s="19" t="s">
        <v>5187</v>
      </c>
      <c r="Q1359" s="204"/>
    </row>
    <row r="1360" spans="1:17" ht="37" customHeight="1">
      <c r="A1360" s="188">
        <v>361</v>
      </c>
      <c r="B1360" s="40" t="s">
        <v>8716</v>
      </c>
      <c r="C1360" s="204" t="s">
        <v>8717</v>
      </c>
      <c r="D1360" s="204" t="s">
        <v>2398</v>
      </c>
      <c r="E1360" s="204" t="s">
        <v>2422</v>
      </c>
      <c r="F1360" s="11" t="s">
        <v>2276</v>
      </c>
      <c r="G1360" s="204" t="s">
        <v>8715</v>
      </c>
      <c r="H1360" s="23" t="s">
        <v>779</v>
      </c>
      <c r="I1360" s="21">
        <v>20.973675100000001</v>
      </c>
      <c r="J1360" s="21">
        <v>105.65267590000001</v>
      </c>
      <c r="K1360" s="21">
        <v>3120</v>
      </c>
      <c r="L1360" s="204">
        <v>2016</v>
      </c>
      <c r="M1360" s="204">
        <v>2016</v>
      </c>
      <c r="N1360" s="21">
        <f>5053564/K1360</f>
        <v>1619.7320512820513</v>
      </c>
      <c r="O1360" s="19" t="s">
        <v>67</v>
      </c>
      <c r="P1360" s="19" t="s">
        <v>5187</v>
      </c>
      <c r="Q1360" s="204"/>
    </row>
    <row r="1361" spans="1:17" ht="44.5" customHeight="1">
      <c r="A1361" s="188">
        <v>362</v>
      </c>
      <c r="B1361" s="40" t="s">
        <v>8730</v>
      </c>
      <c r="C1361" s="26" t="s">
        <v>8731</v>
      </c>
      <c r="D1361" s="204" t="s">
        <v>2398</v>
      </c>
      <c r="E1361" s="204" t="s">
        <v>4847</v>
      </c>
      <c r="F1361" s="11" t="s">
        <v>2276</v>
      </c>
      <c r="G1361" s="204" t="s">
        <v>8732</v>
      </c>
      <c r="H1361" s="204" t="s">
        <v>4112</v>
      </c>
      <c r="I1361" s="21">
        <v>32.638473300000001</v>
      </c>
      <c r="J1361" s="21">
        <v>-83.758179100000007</v>
      </c>
      <c r="K1361" s="21">
        <v>153909</v>
      </c>
      <c r="L1361" s="204">
        <v>2014</v>
      </c>
      <c r="M1361" s="204">
        <v>2014</v>
      </c>
      <c r="N1361" s="204" t="s">
        <v>2276</v>
      </c>
      <c r="O1361" s="19" t="s">
        <v>67</v>
      </c>
      <c r="P1361" s="19" t="s">
        <v>5187</v>
      </c>
      <c r="Q1361" s="4" t="s">
        <v>8747</v>
      </c>
    </row>
    <row r="1362" spans="1:17" ht="44.5" customHeight="1">
      <c r="A1362" s="188">
        <v>362</v>
      </c>
      <c r="B1362" s="40" t="s">
        <v>8730</v>
      </c>
      <c r="C1362" s="26" t="s">
        <v>8736</v>
      </c>
      <c r="D1362" s="204" t="s">
        <v>2398</v>
      </c>
      <c r="E1362" s="204" t="s">
        <v>2405</v>
      </c>
      <c r="F1362" s="11" t="s">
        <v>2276</v>
      </c>
      <c r="G1362" s="204" t="s">
        <v>4111</v>
      </c>
      <c r="H1362" s="204" t="s">
        <v>4112</v>
      </c>
      <c r="I1362" s="21">
        <v>38.498778899999998</v>
      </c>
      <c r="J1362" s="21">
        <v>-98.320077900000001</v>
      </c>
      <c r="K1362" s="21">
        <v>213100</v>
      </c>
      <c r="L1362" s="204">
        <v>2014</v>
      </c>
      <c r="M1362" s="204">
        <v>2014</v>
      </c>
      <c r="N1362" s="204" t="s">
        <v>2276</v>
      </c>
      <c r="O1362" s="19" t="s">
        <v>67</v>
      </c>
      <c r="P1362" s="19" t="s">
        <v>5187</v>
      </c>
      <c r="Q1362" s="4" t="s">
        <v>8747</v>
      </c>
    </row>
    <row r="1363" spans="1:17" ht="44.5" customHeight="1">
      <c r="A1363" s="188">
        <v>362</v>
      </c>
      <c r="B1363" s="40" t="s">
        <v>8730</v>
      </c>
      <c r="C1363" s="26" t="s">
        <v>8737</v>
      </c>
      <c r="D1363" s="204" t="s">
        <v>2398</v>
      </c>
      <c r="E1363" s="204" t="s">
        <v>2405</v>
      </c>
      <c r="F1363" s="11" t="s">
        <v>2276</v>
      </c>
      <c r="G1363" s="204" t="s">
        <v>8054</v>
      </c>
      <c r="H1363" s="204" t="s">
        <v>4112</v>
      </c>
      <c r="I1363" s="21">
        <v>35.3090495</v>
      </c>
      <c r="J1363" s="21">
        <v>-98.716558500000005</v>
      </c>
      <c r="K1363" s="21">
        <v>181037</v>
      </c>
      <c r="L1363" s="204">
        <v>2014</v>
      </c>
      <c r="M1363" s="204">
        <v>2014</v>
      </c>
      <c r="N1363" s="204" t="s">
        <v>2276</v>
      </c>
      <c r="O1363" s="19" t="s">
        <v>67</v>
      </c>
      <c r="P1363" s="19" t="s">
        <v>5187</v>
      </c>
      <c r="Q1363" s="4" t="s">
        <v>8747</v>
      </c>
    </row>
    <row r="1364" spans="1:17" ht="44.5" customHeight="1">
      <c r="A1364" s="188">
        <v>363</v>
      </c>
      <c r="B1364" s="40" t="s">
        <v>8749</v>
      </c>
      <c r="C1364" s="204" t="s">
        <v>8748</v>
      </c>
      <c r="D1364" s="204" t="s">
        <v>2398</v>
      </c>
      <c r="E1364" s="204" t="s">
        <v>2400</v>
      </c>
      <c r="F1364" s="11" t="s">
        <v>2276</v>
      </c>
      <c r="G1364" s="11" t="s">
        <v>8750</v>
      </c>
      <c r="H1364" s="11" t="s">
        <v>6324</v>
      </c>
      <c r="I1364" s="21">
        <v>54.740181999999997</v>
      </c>
      <c r="J1364" s="21">
        <v>33.069727999999998</v>
      </c>
      <c r="K1364" s="21">
        <v>49800</v>
      </c>
      <c r="L1364" s="11">
        <v>2014</v>
      </c>
      <c r="M1364" s="11">
        <v>2014</v>
      </c>
      <c r="N1364" s="204" t="s">
        <v>2276</v>
      </c>
      <c r="O1364" s="19" t="s">
        <v>67</v>
      </c>
      <c r="P1364" s="19" t="s">
        <v>5187</v>
      </c>
      <c r="Q1364" s="204"/>
    </row>
    <row r="1365" spans="1:17" ht="44.5" customHeight="1">
      <c r="A1365" s="188">
        <v>363</v>
      </c>
      <c r="B1365" s="40" t="s">
        <v>8749</v>
      </c>
      <c r="C1365" s="204" t="s">
        <v>8755</v>
      </c>
      <c r="D1365" s="204" t="s">
        <v>2398</v>
      </c>
      <c r="E1365" s="204" t="s">
        <v>2405</v>
      </c>
      <c r="F1365" s="11" t="s">
        <v>2276</v>
      </c>
      <c r="G1365" s="11" t="s">
        <v>2276</v>
      </c>
      <c r="H1365" s="11" t="s">
        <v>8757</v>
      </c>
      <c r="I1365" s="21">
        <f>53+39/60</f>
        <v>53.65</v>
      </c>
      <c r="J1365" s="21">
        <f>28+5/60</f>
        <v>28.083333333333332</v>
      </c>
      <c r="K1365" s="21">
        <v>207595</v>
      </c>
      <c r="L1365" s="11">
        <v>2000</v>
      </c>
      <c r="M1365" s="11">
        <v>2010</v>
      </c>
      <c r="N1365" s="204" t="s">
        <v>2276</v>
      </c>
      <c r="O1365" s="19" t="s">
        <v>67</v>
      </c>
      <c r="P1365" s="19" t="s">
        <v>5187</v>
      </c>
      <c r="Q1365" s="204"/>
    </row>
    <row r="1366" spans="1:17" ht="44.5" customHeight="1">
      <c r="A1366" s="188">
        <v>363</v>
      </c>
      <c r="B1366" s="40" t="s">
        <v>8749</v>
      </c>
      <c r="C1366" s="204" t="s">
        <v>8756</v>
      </c>
      <c r="D1366" s="204" t="s">
        <v>2398</v>
      </c>
      <c r="E1366" s="204" t="s">
        <v>2405</v>
      </c>
      <c r="F1366" s="11" t="s">
        <v>2276</v>
      </c>
      <c r="G1366" s="11" t="s">
        <v>2276</v>
      </c>
      <c r="H1366" s="11" t="s">
        <v>8758</v>
      </c>
      <c r="I1366" s="21">
        <v>55.173557899999999</v>
      </c>
      <c r="J1366" s="21">
        <v>23.8832615</v>
      </c>
      <c r="K1366" s="21">
        <v>65300</v>
      </c>
      <c r="L1366" s="11">
        <v>2000</v>
      </c>
      <c r="M1366" s="11">
        <v>2010</v>
      </c>
      <c r="N1366" s="204" t="s">
        <v>2276</v>
      </c>
      <c r="O1366" s="19" t="s">
        <v>67</v>
      </c>
      <c r="P1366" s="19" t="s">
        <v>5187</v>
      </c>
      <c r="Q1366" s="204"/>
    </row>
    <row r="1367" spans="1:17" ht="29" customHeight="1">
      <c r="A1367" s="236">
        <v>364</v>
      </c>
      <c r="B1367" s="7" t="s">
        <v>8771</v>
      </c>
      <c r="C1367" s="5" t="s">
        <v>8772</v>
      </c>
      <c r="D1367" s="204" t="s">
        <v>2398</v>
      </c>
      <c r="E1367" s="5" t="s">
        <v>4847</v>
      </c>
      <c r="F1367" s="64" t="s">
        <v>8802</v>
      </c>
      <c r="G1367" s="11" t="s">
        <v>8786</v>
      </c>
      <c r="H1367" s="11" t="s">
        <v>8801</v>
      </c>
      <c r="I1367" s="21">
        <v>31.224110899999999</v>
      </c>
      <c r="J1367" s="21">
        <v>29.954885900000001</v>
      </c>
      <c r="K1367" s="21">
        <f>'Reported burning'!T3272/0.6</f>
        <v>1183.3333333333335</v>
      </c>
      <c r="L1367" s="11">
        <v>2008</v>
      </c>
      <c r="M1367" s="11">
        <v>2011</v>
      </c>
      <c r="N1367" s="204" t="s">
        <v>2276</v>
      </c>
      <c r="O1367" s="19" t="s">
        <v>67</v>
      </c>
      <c r="P1367" s="19" t="s">
        <v>5187</v>
      </c>
      <c r="Q1367" s="204"/>
    </row>
    <row r="1368" spans="1:17" ht="29" customHeight="1">
      <c r="A1368" s="188">
        <v>364</v>
      </c>
      <c r="B1368" s="7" t="s">
        <v>8771</v>
      </c>
      <c r="C1368" s="11" t="s">
        <v>8773</v>
      </c>
      <c r="D1368" s="204" t="s">
        <v>2398</v>
      </c>
      <c r="E1368" s="5" t="s">
        <v>4847</v>
      </c>
      <c r="F1368" s="64" t="s">
        <v>8802</v>
      </c>
      <c r="G1368" s="11" t="s">
        <v>8787</v>
      </c>
      <c r="H1368" s="11" t="s">
        <v>8801</v>
      </c>
      <c r="I1368" s="21">
        <v>30.688140400000002</v>
      </c>
      <c r="J1368" s="21">
        <v>30.2411952</v>
      </c>
      <c r="K1368" s="21">
        <f>'Reported burning'!T3273/0.6</f>
        <v>83217.5</v>
      </c>
      <c r="L1368" s="11">
        <v>2008</v>
      </c>
      <c r="M1368" s="11">
        <v>2011</v>
      </c>
      <c r="N1368" s="204" t="s">
        <v>2276</v>
      </c>
      <c r="O1368" s="19" t="s">
        <v>67</v>
      </c>
      <c r="P1368" s="19" t="s">
        <v>5187</v>
      </c>
      <c r="Q1368" s="204"/>
    </row>
    <row r="1369" spans="1:17" ht="29" customHeight="1">
      <c r="A1369" s="188">
        <v>364</v>
      </c>
      <c r="B1369" s="7" t="s">
        <v>8771</v>
      </c>
      <c r="C1369" s="11" t="s">
        <v>8774</v>
      </c>
      <c r="D1369" s="204" t="s">
        <v>2398</v>
      </c>
      <c r="E1369" s="5" t="s">
        <v>4847</v>
      </c>
      <c r="F1369" s="64" t="s">
        <v>8802</v>
      </c>
      <c r="G1369" s="11" t="s">
        <v>8788</v>
      </c>
      <c r="H1369" s="11" t="s">
        <v>8801</v>
      </c>
      <c r="I1369" s="21">
        <v>30.8685647</v>
      </c>
      <c r="J1369" s="21">
        <v>31.028994000000001</v>
      </c>
      <c r="K1369" s="21">
        <f>'Reported burning'!T3274/0.6</f>
        <v>55575</v>
      </c>
      <c r="L1369" s="11">
        <v>2008</v>
      </c>
      <c r="M1369" s="11">
        <v>2011</v>
      </c>
      <c r="N1369" s="204" t="s">
        <v>2276</v>
      </c>
      <c r="O1369" s="19" t="s">
        <v>67</v>
      </c>
      <c r="P1369" s="19" t="s">
        <v>5187</v>
      </c>
      <c r="Q1369" s="204"/>
    </row>
    <row r="1370" spans="1:17" ht="29" customHeight="1">
      <c r="A1370" s="188">
        <v>364</v>
      </c>
      <c r="B1370" s="7" t="s">
        <v>8771</v>
      </c>
      <c r="C1370" s="11" t="s">
        <v>8775</v>
      </c>
      <c r="D1370" s="204" t="s">
        <v>2398</v>
      </c>
      <c r="E1370" s="5" t="s">
        <v>4847</v>
      </c>
      <c r="F1370" s="64" t="s">
        <v>8802</v>
      </c>
      <c r="G1370" s="11" t="s">
        <v>8803</v>
      </c>
      <c r="H1370" s="11" t="s">
        <v>8801</v>
      </c>
      <c r="I1370" s="21">
        <v>31.298152000000002</v>
      </c>
      <c r="J1370" s="21">
        <v>30.825961299999999</v>
      </c>
      <c r="K1370" s="21">
        <f>'Reported burning'!T3275/0.6</f>
        <v>130821.66666666667</v>
      </c>
      <c r="L1370" s="11">
        <v>2008</v>
      </c>
      <c r="M1370" s="11">
        <v>2011</v>
      </c>
      <c r="N1370" s="204" t="s">
        <v>2276</v>
      </c>
      <c r="O1370" s="19" t="s">
        <v>67</v>
      </c>
      <c r="P1370" s="19" t="s">
        <v>5187</v>
      </c>
      <c r="Q1370" s="204"/>
    </row>
    <row r="1371" spans="1:17" ht="29" customHeight="1">
      <c r="A1371" s="188">
        <v>364</v>
      </c>
      <c r="B1371" s="7" t="s">
        <v>8771</v>
      </c>
      <c r="C1371" s="11" t="s">
        <v>8776</v>
      </c>
      <c r="D1371" s="204" t="s">
        <v>2398</v>
      </c>
      <c r="E1371" s="5" t="s">
        <v>4847</v>
      </c>
      <c r="F1371" s="64" t="s">
        <v>8802</v>
      </c>
      <c r="G1371" s="11" t="s">
        <v>8789</v>
      </c>
      <c r="H1371" s="11" t="s">
        <v>8801</v>
      </c>
      <c r="I1371" s="21">
        <v>31.0620099</v>
      </c>
      <c r="J1371" s="21">
        <v>31.6471442</v>
      </c>
      <c r="K1371" s="21">
        <f>'Reported burning'!T3276/0.6</f>
        <v>162305.41666666669</v>
      </c>
      <c r="L1371" s="11">
        <v>2008</v>
      </c>
      <c r="M1371" s="11">
        <v>2011</v>
      </c>
      <c r="N1371" s="204" t="s">
        <v>2276</v>
      </c>
      <c r="O1371" s="19" t="s">
        <v>67</v>
      </c>
      <c r="P1371" s="19" t="s">
        <v>5187</v>
      </c>
      <c r="Q1371" s="204"/>
    </row>
    <row r="1372" spans="1:17" ht="29" customHeight="1">
      <c r="A1372" s="188">
        <v>364</v>
      </c>
      <c r="B1372" s="7" t="s">
        <v>8771</v>
      </c>
      <c r="C1372" s="11" t="s">
        <v>8777</v>
      </c>
      <c r="D1372" s="204" t="s">
        <v>2398</v>
      </c>
      <c r="E1372" s="5" t="s">
        <v>4847</v>
      </c>
      <c r="F1372" s="64" t="s">
        <v>8802</v>
      </c>
      <c r="G1372" s="11" t="s">
        <v>8790</v>
      </c>
      <c r="H1372" s="11" t="s">
        <v>8801</v>
      </c>
      <c r="I1372" s="21">
        <v>31.417633599999998</v>
      </c>
      <c r="J1372" s="21">
        <v>31.8048073</v>
      </c>
      <c r="K1372" s="21">
        <f>'Reported burning'!T3277/0.6</f>
        <v>27537.916666666668</v>
      </c>
      <c r="L1372" s="11">
        <v>2008</v>
      </c>
      <c r="M1372" s="11">
        <v>2011</v>
      </c>
      <c r="N1372" s="204" t="s">
        <v>2276</v>
      </c>
      <c r="O1372" s="19" t="s">
        <v>67</v>
      </c>
      <c r="P1372" s="19" t="s">
        <v>5187</v>
      </c>
      <c r="Q1372" s="204"/>
    </row>
    <row r="1373" spans="1:17" ht="29" customHeight="1">
      <c r="A1373" s="188">
        <v>364</v>
      </c>
      <c r="B1373" s="7" t="s">
        <v>8771</v>
      </c>
      <c r="C1373" s="11" t="s">
        <v>8778</v>
      </c>
      <c r="D1373" s="204" t="s">
        <v>2398</v>
      </c>
      <c r="E1373" s="5" t="s">
        <v>4847</v>
      </c>
      <c r="F1373" s="64" t="s">
        <v>8802</v>
      </c>
      <c r="G1373" s="11" t="s">
        <v>8791</v>
      </c>
      <c r="H1373" s="11" t="s">
        <v>8801</v>
      </c>
      <c r="I1373" s="21">
        <v>30.673075799999999</v>
      </c>
      <c r="J1373" s="21">
        <v>31.7197934</v>
      </c>
      <c r="K1373" s="21">
        <f>'Reported burning'!T3278/0.6</f>
        <v>106049.16666666667</v>
      </c>
      <c r="L1373" s="11">
        <v>2008</v>
      </c>
      <c r="M1373" s="11">
        <v>2011</v>
      </c>
      <c r="N1373" s="204" t="s">
        <v>2276</v>
      </c>
      <c r="O1373" s="19" t="s">
        <v>67</v>
      </c>
      <c r="P1373" s="19" t="s">
        <v>5187</v>
      </c>
      <c r="Q1373" s="204"/>
    </row>
    <row r="1374" spans="1:17" ht="29" customHeight="1">
      <c r="A1374" s="188">
        <v>364</v>
      </c>
      <c r="B1374" s="7" t="s">
        <v>8771</v>
      </c>
      <c r="C1374" s="11" t="s">
        <v>8779</v>
      </c>
      <c r="D1374" s="204" t="s">
        <v>2398</v>
      </c>
      <c r="E1374" s="5" t="s">
        <v>4847</v>
      </c>
      <c r="F1374" s="64" t="s">
        <v>8802</v>
      </c>
      <c r="G1374" s="11" t="s">
        <v>8792</v>
      </c>
      <c r="H1374" s="11" t="s">
        <v>8801</v>
      </c>
      <c r="I1374" s="21">
        <v>30.580172900000001</v>
      </c>
      <c r="J1374" s="21">
        <v>32.236925800000002</v>
      </c>
      <c r="K1374" s="21">
        <f>'Reported burning'!T3279/0.6</f>
        <v>1807.9166666666667</v>
      </c>
      <c r="L1374" s="11">
        <v>2008</v>
      </c>
      <c r="M1374" s="11">
        <v>2011</v>
      </c>
      <c r="N1374" s="204" t="s">
        <v>2276</v>
      </c>
      <c r="O1374" s="19" t="s">
        <v>67</v>
      </c>
      <c r="P1374" s="19" t="s">
        <v>5187</v>
      </c>
      <c r="Q1374" s="204"/>
    </row>
    <row r="1375" spans="1:17" ht="29" customHeight="1">
      <c r="A1375" s="188">
        <v>364</v>
      </c>
      <c r="B1375" s="7" t="s">
        <v>8771</v>
      </c>
      <c r="C1375" s="11" t="s">
        <v>8780</v>
      </c>
      <c r="D1375" s="204" t="s">
        <v>2398</v>
      </c>
      <c r="E1375" s="5" t="s">
        <v>4847</v>
      </c>
      <c r="F1375" s="64" t="s">
        <v>8802</v>
      </c>
      <c r="G1375" s="11" t="s">
        <v>8793</v>
      </c>
      <c r="H1375" s="11" t="s">
        <v>8801</v>
      </c>
      <c r="I1375" s="21">
        <v>31.129622000000001</v>
      </c>
      <c r="J1375" s="21">
        <v>32.307867700000003</v>
      </c>
      <c r="K1375" s="21">
        <f>'Reported burning'!T3280/0.6</f>
        <v>8287.5</v>
      </c>
      <c r="L1375" s="11">
        <v>2008</v>
      </c>
      <c r="M1375" s="11">
        <v>2011</v>
      </c>
      <c r="N1375" s="204" t="s">
        <v>2276</v>
      </c>
      <c r="O1375" s="19" t="s">
        <v>67</v>
      </c>
      <c r="P1375" s="19" t="s">
        <v>5187</v>
      </c>
      <c r="Q1375" s="204"/>
    </row>
    <row r="1376" spans="1:17" ht="29" customHeight="1">
      <c r="A1376" s="188">
        <v>364</v>
      </c>
      <c r="B1376" s="7" t="s">
        <v>8771</v>
      </c>
      <c r="C1376" s="11" t="s">
        <v>8781</v>
      </c>
      <c r="D1376" s="204" t="s">
        <v>2398</v>
      </c>
      <c r="E1376" s="5" t="s">
        <v>4847</v>
      </c>
      <c r="F1376" s="64" t="s">
        <v>8802</v>
      </c>
      <c r="G1376" s="11" t="s">
        <v>8794</v>
      </c>
      <c r="H1376" s="11" t="s">
        <v>8801</v>
      </c>
      <c r="I1376" s="21">
        <v>30.5666723</v>
      </c>
      <c r="J1376" s="21">
        <v>32.446567100000003</v>
      </c>
      <c r="K1376" s="21" t="s">
        <v>2276</v>
      </c>
      <c r="L1376" s="11">
        <v>2008</v>
      </c>
      <c r="M1376" s="11">
        <v>2011</v>
      </c>
      <c r="N1376" s="204" t="s">
        <v>2276</v>
      </c>
      <c r="O1376" s="19" t="s">
        <v>67</v>
      </c>
      <c r="P1376" s="19" t="s">
        <v>5187</v>
      </c>
      <c r="Q1376" s="204"/>
    </row>
    <row r="1377" spans="1:17" ht="29" customHeight="1">
      <c r="A1377" s="188">
        <v>364</v>
      </c>
      <c r="B1377" s="7" t="s">
        <v>8771</v>
      </c>
      <c r="C1377" s="11" t="s">
        <v>8782</v>
      </c>
      <c r="D1377" s="204" t="s">
        <v>2398</v>
      </c>
      <c r="E1377" s="5" t="s">
        <v>4847</v>
      </c>
      <c r="F1377" s="64" t="s">
        <v>8802</v>
      </c>
      <c r="G1377" s="11" t="s">
        <v>8795</v>
      </c>
      <c r="H1377" s="11" t="s">
        <v>8801</v>
      </c>
      <c r="I1377" s="21">
        <v>30.355724899999998</v>
      </c>
      <c r="J1377" s="21">
        <v>31.3522018</v>
      </c>
      <c r="K1377" s="21">
        <f>'Reported burning'!T3282/0.6</f>
        <v>6136.25</v>
      </c>
      <c r="L1377" s="11">
        <v>2008</v>
      </c>
      <c r="M1377" s="11">
        <v>2011</v>
      </c>
      <c r="N1377" s="204" t="s">
        <v>2276</v>
      </c>
      <c r="O1377" s="19" t="s">
        <v>67</v>
      </c>
      <c r="P1377" s="19" t="s">
        <v>5187</v>
      </c>
      <c r="Q1377" s="204"/>
    </row>
    <row r="1378" spans="1:17" ht="29" customHeight="1">
      <c r="A1378" s="188">
        <v>364</v>
      </c>
      <c r="B1378" s="7" t="s">
        <v>8771</v>
      </c>
      <c r="C1378" s="11" t="s">
        <v>8783</v>
      </c>
      <c r="D1378" s="204" t="s">
        <v>2398</v>
      </c>
      <c r="E1378" s="5" t="s">
        <v>4847</v>
      </c>
      <c r="F1378" s="64" t="s">
        <v>8802</v>
      </c>
      <c r="G1378" s="11" t="s">
        <v>8796</v>
      </c>
      <c r="H1378" s="11" t="s">
        <v>8801</v>
      </c>
      <c r="I1378" s="21">
        <v>30.0594885</v>
      </c>
      <c r="J1378" s="21">
        <v>31.258464400000001</v>
      </c>
      <c r="K1378" s="21" t="s">
        <v>2276</v>
      </c>
      <c r="L1378" s="11">
        <v>2008</v>
      </c>
      <c r="M1378" s="11">
        <v>2011</v>
      </c>
      <c r="N1378" s="204" t="s">
        <v>2276</v>
      </c>
      <c r="O1378" s="19" t="s">
        <v>67</v>
      </c>
      <c r="P1378" s="19" t="s">
        <v>5187</v>
      </c>
      <c r="Q1378" s="204"/>
    </row>
    <row r="1379" spans="1:17" ht="29" customHeight="1">
      <c r="A1379" s="188">
        <v>364</v>
      </c>
      <c r="B1379" s="7" t="s">
        <v>8771</v>
      </c>
      <c r="C1379" s="11" t="s">
        <v>8784</v>
      </c>
      <c r="D1379" s="204" t="s">
        <v>2398</v>
      </c>
      <c r="E1379" s="5" t="s">
        <v>4847</v>
      </c>
      <c r="F1379" s="64" t="s">
        <v>8802</v>
      </c>
      <c r="G1379" s="11" t="s">
        <v>8797</v>
      </c>
      <c r="H1379" s="11" t="s">
        <v>8801</v>
      </c>
      <c r="I1379" s="21">
        <v>28.83962</v>
      </c>
      <c r="J1379" s="21">
        <v>30.828781200000002</v>
      </c>
      <c r="K1379" s="21">
        <f>'Reported burning'!T3284/0.6</f>
        <v>279.16666666666669</v>
      </c>
      <c r="L1379" s="11">
        <v>2008</v>
      </c>
      <c r="M1379" s="11">
        <v>2011</v>
      </c>
      <c r="N1379" s="204" t="s">
        <v>2276</v>
      </c>
      <c r="O1379" s="19" t="s">
        <v>67</v>
      </c>
      <c r="P1379" s="19" t="s">
        <v>5187</v>
      </c>
      <c r="Q1379" s="204"/>
    </row>
    <row r="1380" spans="1:17" ht="29" customHeight="1">
      <c r="A1380" s="188">
        <v>364</v>
      </c>
      <c r="B1380" s="7" t="s">
        <v>8771</v>
      </c>
      <c r="C1380" s="11" t="s">
        <v>8785</v>
      </c>
      <c r="D1380" s="204" t="s">
        <v>2398</v>
      </c>
      <c r="E1380" s="5" t="s">
        <v>4847</v>
      </c>
      <c r="F1380" s="64" t="s">
        <v>8802</v>
      </c>
      <c r="G1380" s="11" t="s">
        <v>8798</v>
      </c>
      <c r="H1380" s="11" t="s">
        <v>8801</v>
      </c>
      <c r="I1380" s="21">
        <v>29.453610600000001</v>
      </c>
      <c r="J1380" s="21">
        <v>30.580832999999998</v>
      </c>
      <c r="K1380" s="21">
        <f>'Reported burning'!T3285/0.6</f>
        <v>3151.25</v>
      </c>
      <c r="L1380" s="11">
        <v>2008</v>
      </c>
      <c r="M1380" s="11">
        <v>2011</v>
      </c>
      <c r="N1380" s="204" t="s">
        <v>2276</v>
      </c>
      <c r="O1380" s="19" t="s">
        <v>67</v>
      </c>
      <c r="P1380" s="19" t="s">
        <v>5187</v>
      </c>
      <c r="Q1380" s="204"/>
    </row>
    <row r="1381" spans="1:17" ht="29" customHeight="1">
      <c r="A1381" s="188">
        <v>364</v>
      </c>
      <c r="B1381" s="7" t="s">
        <v>8771</v>
      </c>
      <c r="C1381" s="11" t="s">
        <v>8799</v>
      </c>
      <c r="D1381" s="204" t="s">
        <v>2398</v>
      </c>
      <c r="E1381" s="5" t="s">
        <v>4847</v>
      </c>
      <c r="F1381" s="64" t="s">
        <v>8802</v>
      </c>
      <c r="G1381" s="11" t="s">
        <v>8800</v>
      </c>
      <c r="H1381" s="11" t="s">
        <v>8801</v>
      </c>
      <c r="I1381" s="21">
        <v>27.335452799999999</v>
      </c>
      <c r="J1381" s="21">
        <v>31.594399800000001</v>
      </c>
      <c r="K1381" s="21">
        <f>'Reported burning'!T3286/0.6</f>
        <v>21.666666666666668</v>
      </c>
      <c r="L1381" s="11">
        <v>2008</v>
      </c>
      <c r="M1381" s="11">
        <v>2011</v>
      </c>
      <c r="N1381" s="204" t="s">
        <v>2276</v>
      </c>
      <c r="O1381" s="19" t="s">
        <v>67</v>
      </c>
      <c r="P1381" s="19" t="s">
        <v>5187</v>
      </c>
      <c r="Q1381" s="204"/>
    </row>
    <row r="1382" spans="1:17" ht="41" customHeight="1">
      <c r="A1382" s="188">
        <v>365</v>
      </c>
      <c r="B1382" s="40" t="s">
        <v>8807</v>
      </c>
      <c r="C1382" s="11" t="s">
        <v>8806</v>
      </c>
      <c r="D1382" s="204" t="s">
        <v>2398</v>
      </c>
      <c r="E1382" s="204" t="s">
        <v>6801</v>
      </c>
      <c r="F1382" s="11" t="s">
        <v>2276</v>
      </c>
      <c r="G1382" s="11" t="s">
        <v>2276</v>
      </c>
      <c r="H1382" s="11" t="s">
        <v>8757</v>
      </c>
      <c r="I1382" s="21">
        <v>53.716941499999997</v>
      </c>
      <c r="J1382" s="21">
        <v>27.977578999999999</v>
      </c>
      <c r="K1382" s="21" t="s">
        <v>2276</v>
      </c>
      <c r="L1382" s="11">
        <v>2002</v>
      </c>
      <c r="M1382" s="11">
        <v>2006</v>
      </c>
      <c r="N1382" s="204" t="s">
        <v>2276</v>
      </c>
      <c r="O1382" s="19" t="s">
        <v>67</v>
      </c>
      <c r="P1382" s="19" t="s">
        <v>5187</v>
      </c>
      <c r="Q1382" s="204"/>
    </row>
    <row r="1383" spans="1:17" ht="38" customHeight="1">
      <c r="A1383" s="188">
        <v>365</v>
      </c>
      <c r="B1383" s="40" t="s">
        <v>8807</v>
      </c>
      <c r="C1383" s="11" t="s">
        <v>8811</v>
      </c>
      <c r="D1383" s="204" t="s">
        <v>2398</v>
      </c>
      <c r="E1383" s="204" t="s">
        <v>6801</v>
      </c>
      <c r="F1383" s="11" t="s">
        <v>2276</v>
      </c>
      <c r="G1383" s="11" t="s">
        <v>2276</v>
      </c>
      <c r="H1383" s="11" t="s">
        <v>7945</v>
      </c>
      <c r="I1383" s="21">
        <v>48.335885699999999</v>
      </c>
      <c r="J1383" s="21">
        <v>31.178819600000001</v>
      </c>
      <c r="K1383" s="21" t="s">
        <v>2276</v>
      </c>
      <c r="L1383" s="11">
        <v>2002</v>
      </c>
      <c r="M1383" s="11">
        <v>2006</v>
      </c>
      <c r="N1383" s="204" t="s">
        <v>2276</v>
      </c>
      <c r="O1383" s="19" t="s">
        <v>67</v>
      </c>
      <c r="P1383" s="19" t="s">
        <v>5187</v>
      </c>
      <c r="Q1383" s="204"/>
    </row>
    <row r="1384" spans="1:17" ht="39" customHeight="1">
      <c r="A1384" s="188">
        <v>365</v>
      </c>
      <c r="B1384" s="40" t="s">
        <v>8807</v>
      </c>
      <c r="C1384" s="11" t="s">
        <v>8812</v>
      </c>
      <c r="D1384" s="204" t="s">
        <v>2398</v>
      </c>
      <c r="E1384" s="204" t="s">
        <v>6801</v>
      </c>
      <c r="F1384" s="23" t="s">
        <v>8809</v>
      </c>
      <c r="G1384" s="11" t="s">
        <v>2276</v>
      </c>
      <c r="H1384" s="11" t="s">
        <v>8758</v>
      </c>
      <c r="I1384" s="21">
        <v>55.404698500000002</v>
      </c>
      <c r="J1384" s="21">
        <v>21.3183197</v>
      </c>
      <c r="K1384" s="21" t="s">
        <v>2276</v>
      </c>
      <c r="L1384" s="11">
        <v>2002</v>
      </c>
      <c r="M1384" s="11">
        <v>2006</v>
      </c>
      <c r="N1384" s="204" t="s">
        <v>2276</v>
      </c>
      <c r="O1384" s="19" t="s">
        <v>67</v>
      </c>
      <c r="P1384" s="19" t="s">
        <v>5187</v>
      </c>
      <c r="Q1384" s="204"/>
    </row>
    <row r="1385" spans="1:17" ht="45.5" customHeight="1">
      <c r="A1385" s="188">
        <v>365</v>
      </c>
      <c r="B1385" s="40" t="s">
        <v>8807</v>
      </c>
      <c r="C1385" s="11" t="s">
        <v>8813</v>
      </c>
      <c r="D1385" s="204" t="s">
        <v>2398</v>
      </c>
      <c r="E1385" s="204" t="s">
        <v>6801</v>
      </c>
      <c r="F1385" s="11" t="s">
        <v>2276</v>
      </c>
      <c r="G1385" s="11" t="s">
        <v>2276</v>
      </c>
      <c r="H1385" s="11" t="s">
        <v>8808</v>
      </c>
      <c r="I1385" s="21">
        <v>56.880172899999998</v>
      </c>
      <c r="J1385" s="21">
        <v>24.544001399999999</v>
      </c>
      <c r="K1385" s="21" t="s">
        <v>2276</v>
      </c>
      <c r="L1385" s="11">
        <v>2002</v>
      </c>
      <c r="M1385" s="11">
        <v>2006</v>
      </c>
      <c r="N1385" s="204" t="s">
        <v>2276</v>
      </c>
      <c r="O1385" s="19" t="s">
        <v>67</v>
      </c>
      <c r="P1385" s="19" t="s">
        <v>5187</v>
      </c>
      <c r="Q1385" s="204"/>
    </row>
    <row r="1386" spans="1:17" ht="49" customHeight="1">
      <c r="A1386" s="188">
        <v>365</v>
      </c>
      <c r="B1386" s="40" t="s">
        <v>8807</v>
      </c>
      <c r="C1386" s="11" t="s">
        <v>8814</v>
      </c>
      <c r="D1386" s="204" t="s">
        <v>2398</v>
      </c>
      <c r="E1386" s="204" t="s">
        <v>6801</v>
      </c>
      <c r="F1386" s="11" t="s">
        <v>2276</v>
      </c>
      <c r="G1386" s="204" t="s">
        <v>8810</v>
      </c>
      <c r="H1386" s="11" t="s">
        <v>6324</v>
      </c>
      <c r="I1386" s="21">
        <v>54.806289999999997</v>
      </c>
      <c r="J1386" s="21">
        <v>21.263537500000002</v>
      </c>
      <c r="K1386" s="21" t="s">
        <v>2276</v>
      </c>
      <c r="L1386" s="11">
        <v>2002</v>
      </c>
      <c r="M1386" s="11">
        <v>2006</v>
      </c>
      <c r="N1386" s="204" t="s">
        <v>2276</v>
      </c>
      <c r="O1386" s="19" t="s">
        <v>67</v>
      </c>
      <c r="P1386" s="19" t="s">
        <v>5187</v>
      </c>
      <c r="Q1386" s="204"/>
    </row>
    <row r="1387" spans="1:17" ht="47.5" customHeight="1">
      <c r="A1387" s="188">
        <v>365</v>
      </c>
      <c r="B1387" s="40" t="s">
        <v>8807</v>
      </c>
      <c r="C1387" s="11" t="s">
        <v>8815</v>
      </c>
      <c r="D1387" s="204" t="s">
        <v>2398</v>
      </c>
      <c r="E1387" s="204" t="s">
        <v>6801</v>
      </c>
      <c r="F1387" s="204" t="s">
        <v>8816</v>
      </c>
      <c r="G1387" s="11" t="s">
        <v>2276</v>
      </c>
      <c r="H1387" s="11" t="s">
        <v>6324</v>
      </c>
      <c r="I1387" s="21">
        <v>55.693280700000003</v>
      </c>
      <c r="J1387" s="21">
        <v>36.851765899999997</v>
      </c>
      <c r="K1387" s="21" t="s">
        <v>2276</v>
      </c>
      <c r="L1387" s="11">
        <v>2002</v>
      </c>
      <c r="M1387" s="11">
        <v>2006</v>
      </c>
      <c r="N1387" s="204" t="s">
        <v>2276</v>
      </c>
      <c r="O1387" s="19" t="s">
        <v>67</v>
      </c>
      <c r="P1387" s="19" t="s">
        <v>5187</v>
      </c>
      <c r="Q1387" s="204"/>
    </row>
    <row r="1388" spans="1:17" ht="49" customHeight="1">
      <c r="A1388" s="188">
        <v>366</v>
      </c>
      <c r="B1388" s="40" t="s">
        <v>8830</v>
      </c>
      <c r="C1388" s="11" t="s">
        <v>8831</v>
      </c>
      <c r="D1388" s="204" t="s">
        <v>2398</v>
      </c>
      <c r="E1388" s="204" t="s">
        <v>2399</v>
      </c>
      <c r="F1388" s="11" t="s">
        <v>2276</v>
      </c>
      <c r="G1388" s="144" t="s">
        <v>5451</v>
      </c>
      <c r="H1388" s="204" t="s">
        <v>972</v>
      </c>
      <c r="I1388" s="21">
        <v>22.357976499999999</v>
      </c>
      <c r="J1388" s="21">
        <v>89.701275600000002</v>
      </c>
      <c r="K1388" s="21" t="s">
        <v>2276</v>
      </c>
      <c r="L1388" s="204">
        <v>2011</v>
      </c>
      <c r="M1388" s="204">
        <v>2011</v>
      </c>
      <c r="N1388" s="204" t="s">
        <v>2276</v>
      </c>
      <c r="O1388" s="19" t="s">
        <v>67</v>
      </c>
      <c r="P1388" s="19" t="s">
        <v>5187</v>
      </c>
      <c r="Q1388" s="204"/>
    </row>
    <row r="1389" spans="1:17" ht="42" customHeight="1">
      <c r="A1389" s="188">
        <v>367</v>
      </c>
      <c r="B1389" s="40" t="s">
        <v>8839</v>
      </c>
      <c r="C1389" s="11" t="s">
        <v>8838</v>
      </c>
      <c r="D1389" s="204" t="s">
        <v>2398</v>
      </c>
      <c r="E1389" s="204" t="s">
        <v>2399</v>
      </c>
      <c r="F1389" s="11" t="s">
        <v>8840</v>
      </c>
      <c r="G1389" s="11" t="s">
        <v>2276</v>
      </c>
      <c r="H1389" s="11" t="s">
        <v>770</v>
      </c>
      <c r="I1389" s="21">
        <f>-20-20/60</f>
        <v>-20.333333333333332</v>
      </c>
      <c r="J1389" s="21">
        <f>-43-48/60</f>
        <v>-43.8</v>
      </c>
      <c r="K1389" s="21" t="s">
        <v>2276</v>
      </c>
      <c r="L1389" s="11">
        <v>2005</v>
      </c>
      <c r="M1389" s="11">
        <v>2005</v>
      </c>
      <c r="N1389" s="204" t="s">
        <v>2276</v>
      </c>
      <c r="O1389" s="19" t="s">
        <v>67</v>
      </c>
      <c r="P1389" s="19" t="s">
        <v>5187</v>
      </c>
      <c r="Q1389" s="204"/>
    </row>
    <row r="1390" spans="1:17" ht="41" customHeight="1">
      <c r="A1390" s="188">
        <v>368</v>
      </c>
      <c r="B1390" s="40" t="s">
        <v>8843</v>
      </c>
      <c r="C1390" s="11" t="s">
        <v>8844</v>
      </c>
      <c r="D1390" s="204" t="s">
        <v>2398</v>
      </c>
      <c r="E1390" s="204" t="s">
        <v>2399</v>
      </c>
      <c r="F1390" s="11" t="s">
        <v>8845</v>
      </c>
      <c r="G1390" s="204" t="s">
        <v>1168</v>
      </c>
      <c r="H1390" s="204" t="s">
        <v>895</v>
      </c>
      <c r="I1390" s="21">
        <v>22.357976499999999</v>
      </c>
      <c r="J1390" s="21">
        <v>89.701275600000002</v>
      </c>
      <c r="K1390" s="204">
        <v>19023.47</v>
      </c>
      <c r="L1390" s="204">
        <v>1998</v>
      </c>
      <c r="M1390" s="204">
        <v>2007</v>
      </c>
      <c r="N1390" s="204">
        <f>36.02</f>
        <v>36.020000000000003</v>
      </c>
      <c r="O1390" s="19" t="s">
        <v>67</v>
      </c>
      <c r="P1390" s="19" t="s">
        <v>5187</v>
      </c>
      <c r="Q1390" s="204"/>
    </row>
    <row r="1391" spans="1:17" ht="35.5" customHeight="1">
      <c r="A1391" s="188">
        <v>369</v>
      </c>
      <c r="B1391" s="40" t="s">
        <v>8854</v>
      </c>
      <c r="C1391" s="11" t="s">
        <v>8853</v>
      </c>
      <c r="D1391" s="204" t="s">
        <v>2398</v>
      </c>
      <c r="E1391" s="204" t="s">
        <v>2399</v>
      </c>
      <c r="F1391" s="11" t="s">
        <v>8855</v>
      </c>
      <c r="G1391" s="11" t="s">
        <v>8859</v>
      </c>
      <c r="H1391" s="11" t="s">
        <v>889</v>
      </c>
      <c r="I1391" s="21">
        <v>8.3206509999999998</v>
      </c>
      <c r="J1391" s="21">
        <v>-13.056814599999999</v>
      </c>
      <c r="K1391" s="21" t="s">
        <v>2276</v>
      </c>
      <c r="L1391" s="204">
        <v>2014</v>
      </c>
      <c r="M1391" s="204">
        <v>2014</v>
      </c>
      <c r="N1391" s="204">
        <v>24</v>
      </c>
      <c r="O1391" s="19" t="s">
        <v>67</v>
      </c>
      <c r="P1391" s="19" t="s">
        <v>5187</v>
      </c>
      <c r="Q1391" s="204" t="s">
        <v>8860</v>
      </c>
    </row>
    <row r="1392" spans="1:17" ht="35.5" customHeight="1">
      <c r="A1392" s="188">
        <v>369</v>
      </c>
      <c r="B1392" s="40" t="s">
        <v>8854</v>
      </c>
      <c r="C1392" s="11" t="s">
        <v>8861</v>
      </c>
      <c r="D1392" s="204" t="s">
        <v>2398</v>
      </c>
      <c r="E1392" s="204" t="s">
        <v>2399</v>
      </c>
      <c r="F1392" s="11" t="s">
        <v>8856</v>
      </c>
      <c r="G1392" s="11" t="s">
        <v>8859</v>
      </c>
      <c r="H1392" s="11" t="s">
        <v>889</v>
      </c>
      <c r="I1392" s="21">
        <v>8.4130889</v>
      </c>
      <c r="J1392" s="21">
        <v>-13.131</v>
      </c>
      <c r="K1392" s="21" t="s">
        <v>2276</v>
      </c>
      <c r="L1392" s="204">
        <v>2014</v>
      </c>
      <c r="M1392" s="204">
        <v>2014</v>
      </c>
      <c r="N1392" s="204">
        <v>14</v>
      </c>
      <c r="O1392" s="19" t="s">
        <v>67</v>
      </c>
      <c r="P1392" s="19" t="s">
        <v>5187</v>
      </c>
      <c r="Q1392" s="204" t="s">
        <v>8860</v>
      </c>
    </row>
    <row r="1393" spans="1:17" ht="35.5" customHeight="1">
      <c r="A1393" s="188">
        <v>369</v>
      </c>
      <c r="B1393" s="40" t="s">
        <v>8854</v>
      </c>
      <c r="C1393" s="11" t="s">
        <v>8862</v>
      </c>
      <c r="D1393" s="204" t="s">
        <v>2398</v>
      </c>
      <c r="E1393" s="204" t="s">
        <v>2399</v>
      </c>
      <c r="F1393" s="11" t="s">
        <v>8857</v>
      </c>
      <c r="G1393" s="11" t="s">
        <v>8859</v>
      </c>
      <c r="H1393" s="11" t="s">
        <v>889</v>
      </c>
      <c r="I1393" s="21">
        <v>8.4251073000000005</v>
      </c>
      <c r="J1393" s="21">
        <v>-13.2426967</v>
      </c>
      <c r="K1393" s="21" t="s">
        <v>2276</v>
      </c>
      <c r="L1393" s="204">
        <v>2014</v>
      </c>
      <c r="M1393" s="204">
        <v>2014</v>
      </c>
      <c r="N1393" s="204">
        <v>27</v>
      </c>
      <c r="O1393" s="19" t="s">
        <v>67</v>
      </c>
      <c r="P1393" s="19" t="s">
        <v>5187</v>
      </c>
      <c r="Q1393" s="204" t="s">
        <v>8860</v>
      </c>
    </row>
    <row r="1394" spans="1:17" ht="35.5" customHeight="1">
      <c r="A1394" s="188">
        <v>369</v>
      </c>
      <c r="B1394" s="40" t="s">
        <v>8854</v>
      </c>
      <c r="C1394" s="11" t="s">
        <v>8863</v>
      </c>
      <c r="D1394" s="204" t="s">
        <v>2398</v>
      </c>
      <c r="E1394" s="204" t="s">
        <v>2399</v>
      </c>
      <c r="F1394" s="11" t="s">
        <v>8858</v>
      </c>
      <c r="G1394" s="11" t="s">
        <v>8859</v>
      </c>
      <c r="H1394" s="11" t="s">
        <v>889</v>
      </c>
      <c r="I1394" s="21">
        <v>8.4359161999999994</v>
      </c>
      <c r="J1394" s="21">
        <v>-13.2323568</v>
      </c>
      <c r="K1394" s="21" t="s">
        <v>2276</v>
      </c>
      <c r="L1394" s="204">
        <v>2014</v>
      </c>
      <c r="M1394" s="204">
        <v>2014</v>
      </c>
      <c r="N1394" s="204">
        <v>41</v>
      </c>
      <c r="O1394" s="19" t="s">
        <v>67</v>
      </c>
      <c r="P1394" s="19" t="s">
        <v>5187</v>
      </c>
      <c r="Q1394" s="204" t="s">
        <v>8860</v>
      </c>
    </row>
    <row r="1395" spans="1:17" ht="40" customHeight="1">
      <c r="A1395" s="188">
        <v>370</v>
      </c>
      <c r="B1395" s="40" t="s">
        <v>8876</v>
      </c>
      <c r="C1395" s="11" t="s">
        <v>8877</v>
      </c>
      <c r="D1395" s="204" t="s">
        <v>2398</v>
      </c>
      <c r="E1395" s="204" t="s">
        <v>4847</v>
      </c>
      <c r="F1395" s="11" t="s">
        <v>2276</v>
      </c>
      <c r="G1395" s="11" t="s">
        <v>8878</v>
      </c>
      <c r="H1395" s="11" t="s">
        <v>786</v>
      </c>
      <c r="I1395" s="21">
        <v>4.0698277999999997</v>
      </c>
      <c r="J1395" s="21">
        <v>102.50363470000001</v>
      </c>
      <c r="K1395" s="21">
        <v>132090</v>
      </c>
      <c r="L1395" s="11">
        <v>1992</v>
      </c>
      <c r="M1395" s="11">
        <v>1999</v>
      </c>
      <c r="N1395" s="204" t="s">
        <v>2276</v>
      </c>
      <c r="O1395" s="19" t="s">
        <v>67</v>
      </c>
      <c r="P1395" s="19" t="s">
        <v>5187</v>
      </c>
      <c r="Q1395" s="204"/>
    </row>
    <row r="1396" spans="1:17" ht="40" customHeight="1">
      <c r="A1396" s="188">
        <v>371</v>
      </c>
      <c r="B1396" s="40" t="s">
        <v>8893</v>
      </c>
      <c r="C1396" s="11" t="s">
        <v>8894</v>
      </c>
      <c r="D1396" s="204" t="s">
        <v>2398</v>
      </c>
      <c r="E1396" s="204" t="s">
        <v>2399</v>
      </c>
      <c r="F1396" s="11" t="s">
        <v>2712</v>
      </c>
      <c r="G1396" s="11" t="s">
        <v>166</v>
      </c>
      <c r="H1396" s="11" t="s">
        <v>121</v>
      </c>
      <c r="I1396" s="21">
        <v>-2.9940028999999999</v>
      </c>
      <c r="J1396" s="21">
        <v>-47.358630699999999</v>
      </c>
      <c r="K1396" s="21" t="s">
        <v>2276</v>
      </c>
      <c r="L1396" s="11">
        <v>2010</v>
      </c>
      <c r="M1396" s="11">
        <v>2011</v>
      </c>
      <c r="N1396" s="21" t="s">
        <v>2276</v>
      </c>
      <c r="O1396" s="19" t="s">
        <v>67</v>
      </c>
      <c r="P1396" s="19" t="s">
        <v>5187</v>
      </c>
      <c r="Q1396" s="204"/>
    </row>
    <row r="1397" spans="1:17" ht="40" customHeight="1">
      <c r="A1397" s="188">
        <v>371</v>
      </c>
      <c r="B1397" s="40" t="s">
        <v>8893</v>
      </c>
      <c r="C1397" s="11" t="s">
        <v>8896</v>
      </c>
      <c r="D1397" s="204" t="s">
        <v>2398</v>
      </c>
      <c r="E1397" s="204" t="s">
        <v>2399</v>
      </c>
      <c r="F1397" s="11" t="s">
        <v>6064</v>
      </c>
      <c r="G1397" s="11" t="s">
        <v>8895</v>
      </c>
      <c r="H1397" s="11" t="s">
        <v>121</v>
      </c>
      <c r="I1397" s="21">
        <v>-2.9940028999999999</v>
      </c>
      <c r="J1397" s="21">
        <v>-47.358630699999999</v>
      </c>
      <c r="K1397" s="21" t="s">
        <v>2276</v>
      </c>
      <c r="L1397" s="11">
        <v>2010</v>
      </c>
      <c r="M1397" s="11">
        <v>2011</v>
      </c>
      <c r="N1397" s="21" t="s">
        <v>2276</v>
      </c>
      <c r="O1397" s="19" t="s">
        <v>67</v>
      </c>
      <c r="P1397" s="19" t="s">
        <v>5187</v>
      </c>
      <c r="Q1397" s="204"/>
    </row>
    <row r="1398" spans="1:17" ht="40" customHeight="1">
      <c r="A1398" s="188">
        <v>372</v>
      </c>
      <c r="B1398" s="40" t="s">
        <v>8921</v>
      </c>
      <c r="C1398" s="11" t="s">
        <v>8922</v>
      </c>
      <c r="D1398" s="204" t="s">
        <v>2398</v>
      </c>
      <c r="E1398" s="204" t="s">
        <v>2636</v>
      </c>
      <c r="F1398" s="64" t="s">
        <v>8923</v>
      </c>
      <c r="G1398" s="11" t="s">
        <v>8879</v>
      </c>
      <c r="H1398" s="11" t="s">
        <v>786</v>
      </c>
      <c r="I1398" s="21">
        <v>4.0186023000000004</v>
      </c>
      <c r="J1398" s="21">
        <v>103.0513929</v>
      </c>
      <c r="K1398" s="21">
        <f>91882/100</f>
        <v>918.82</v>
      </c>
      <c r="L1398" s="11">
        <v>1997</v>
      </c>
      <c r="M1398" s="11">
        <v>1998</v>
      </c>
      <c r="N1398" s="21" t="s">
        <v>2276</v>
      </c>
      <c r="O1398" s="19" t="s">
        <v>67</v>
      </c>
      <c r="P1398" s="19" t="s">
        <v>5187</v>
      </c>
      <c r="Q1398" s="204"/>
    </row>
    <row r="1399" spans="1:17" ht="68.5" customHeight="1">
      <c r="A1399" s="188">
        <v>373</v>
      </c>
      <c r="B1399" s="40" t="s">
        <v>8940</v>
      </c>
      <c r="C1399" s="11" t="s">
        <v>8941</v>
      </c>
      <c r="D1399" s="204" t="s">
        <v>2398</v>
      </c>
      <c r="E1399" s="204" t="s">
        <v>2399</v>
      </c>
      <c r="F1399" s="11" t="s">
        <v>8944</v>
      </c>
      <c r="G1399" s="11" t="s">
        <v>8942</v>
      </c>
      <c r="H1399" s="11" t="s">
        <v>3490</v>
      </c>
      <c r="I1399" s="21">
        <v>-20.6903647</v>
      </c>
      <c r="J1399" s="21">
        <v>27.493286099999999</v>
      </c>
      <c r="K1399" s="21" t="s">
        <v>2276</v>
      </c>
      <c r="L1399" s="11">
        <v>2012</v>
      </c>
      <c r="M1399" s="11">
        <v>2012</v>
      </c>
      <c r="N1399" s="21" t="s">
        <v>2276</v>
      </c>
      <c r="O1399" s="19" t="s">
        <v>67</v>
      </c>
      <c r="P1399" s="19" t="s">
        <v>5187</v>
      </c>
      <c r="Q1399" s="4" t="s">
        <v>8957</v>
      </c>
    </row>
    <row r="1400" spans="1:17" ht="47" customHeight="1">
      <c r="A1400" s="188">
        <v>373</v>
      </c>
      <c r="B1400" s="40" t="s">
        <v>8940</v>
      </c>
      <c r="C1400" s="11" t="s">
        <v>8943</v>
      </c>
      <c r="D1400" s="204" t="s">
        <v>2398</v>
      </c>
      <c r="E1400" s="204" t="s">
        <v>4847</v>
      </c>
      <c r="F1400" s="11" t="s">
        <v>2276</v>
      </c>
      <c r="G1400" s="11" t="s">
        <v>2276</v>
      </c>
      <c r="H1400" s="11" t="s">
        <v>3490</v>
      </c>
      <c r="I1400" s="21">
        <v>-19.0156153</v>
      </c>
      <c r="J1400" s="21">
        <v>29.152802000000001</v>
      </c>
      <c r="K1400" s="21">
        <v>390757</v>
      </c>
      <c r="L1400" s="204">
        <v>2009</v>
      </c>
      <c r="M1400" s="204">
        <v>2012</v>
      </c>
      <c r="N1400" s="21" t="s">
        <v>2276</v>
      </c>
      <c r="O1400" s="19" t="s">
        <v>67</v>
      </c>
      <c r="P1400" s="19" t="s">
        <v>5187</v>
      </c>
      <c r="Q1400" s="204"/>
    </row>
    <row r="1401" spans="1:17" ht="42.5" customHeight="1">
      <c r="A1401" s="188">
        <v>374</v>
      </c>
      <c r="B1401" s="40" t="s">
        <v>8965</v>
      </c>
      <c r="C1401" s="11" t="s">
        <v>8962</v>
      </c>
      <c r="D1401" s="204" t="s">
        <v>2398</v>
      </c>
      <c r="E1401" s="204" t="s">
        <v>2405</v>
      </c>
      <c r="F1401" s="11" t="s">
        <v>8963</v>
      </c>
      <c r="G1401" s="11" t="s">
        <v>8964</v>
      </c>
      <c r="H1401" s="11" t="s">
        <v>6077</v>
      </c>
      <c r="I1401" s="21">
        <v>36.158852899999999</v>
      </c>
      <c r="J1401" s="21">
        <v>45.475005299999999</v>
      </c>
      <c r="K1401" s="21">
        <f>138183/100</f>
        <v>1381.83</v>
      </c>
      <c r="L1401" s="11">
        <v>1993</v>
      </c>
      <c r="M1401" s="11">
        <v>2016</v>
      </c>
      <c r="N1401" s="21">
        <f>118849/K1401</f>
        <v>86.008409138606055</v>
      </c>
      <c r="O1401" s="204" t="s">
        <v>149</v>
      </c>
      <c r="P1401" s="19" t="s">
        <v>5187</v>
      </c>
      <c r="Q1401" s="204"/>
    </row>
    <row r="1402" spans="1:17" ht="47" customHeight="1">
      <c r="A1402" s="188">
        <v>375</v>
      </c>
      <c r="B1402" s="40" t="s">
        <v>8968</v>
      </c>
      <c r="C1402" s="11" t="s">
        <v>8969</v>
      </c>
      <c r="D1402" s="204" t="s">
        <v>2398</v>
      </c>
      <c r="E1402" s="204" t="s">
        <v>2399</v>
      </c>
      <c r="F1402" s="204" t="s">
        <v>8970</v>
      </c>
      <c r="G1402" s="204" t="s">
        <v>8971</v>
      </c>
      <c r="H1402" s="204" t="s">
        <v>1143</v>
      </c>
      <c r="I1402" s="21">
        <v>10.8975358</v>
      </c>
      <c r="J1402" s="21">
        <v>-1.0859297999999999</v>
      </c>
      <c r="K1402" s="11" t="s">
        <v>2276</v>
      </c>
      <c r="L1402" s="204">
        <v>2005</v>
      </c>
      <c r="M1402" s="204">
        <v>2016</v>
      </c>
      <c r="N1402" s="11" t="s">
        <v>2276</v>
      </c>
      <c r="O1402" s="19" t="s">
        <v>67</v>
      </c>
      <c r="P1402" s="19" t="s">
        <v>5187</v>
      </c>
      <c r="Q1402" s="204"/>
    </row>
    <row r="1403" spans="1:17" ht="50" customHeight="1">
      <c r="A1403" s="188">
        <v>376</v>
      </c>
      <c r="B1403" s="40" t="s">
        <v>8977</v>
      </c>
      <c r="C1403" s="11" t="s">
        <v>8976</v>
      </c>
      <c r="D1403" s="204" t="s">
        <v>2398</v>
      </c>
      <c r="E1403" s="204" t="s">
        <v>6801</v>
      </c>
      <c r="F1403" s="11" t="s">
        <v>2276</v>
      </c>
      <c r="G1403" s="11" t="s">
        <v>8978</v>
      </c>
      <c r="H1403" s="11" t="s">
        <v>6324</v>
      </c>
      <c r="I1403" s="21">
        <v>45.450665399999998</v>
      </c>
      <c r="J1403" s="21">
        <v>46.865840900000002</v>
      </c>
      <c r="K1403" s="21">
        <v>19000</v>
      </c>
      <c r="L1403" s="204">
        <v>1986</v>
      </c>
      <c r="M1403" s="204">
        <v>2006</v>
      </c>
      <c r="N1403" s="11">
        <v>1.1000000000000001</v>
      </c>
      <c r="O1403" s="19" t="s">
        <v>67</v>
      </c>
      <c r="P1403" s="19" t="s">
        <v>5187</v>
      </c>
      <c r="Q1403" s="204"/>
    </row>
    <row r="1404" spans="1:17" ht="50" customHeight="1">
      <c r="A1404" s="188">
        <v>377</v>
      </c>
      <c r="B1404" s="40" t="s">
        <v>8983</v>
      </c>
      <c r="C1404" s="11" t="s">
        <v>8984</v>
      </c>
      <c r="D1404" s="204" t="s">
        <v>2398</v>
      </c>
      <c r="E1404" s="204" t="s">
        <v>2400</v>
      </c>
      <c r="F1404" s="4" t="s">
        <v>8987</v>
      </c>
      <c r="G1404" s="204" t="s">
        <v>165</v>
      </c>
      <c r="H1404" s="11" t="s">
        <v>121</v>
      </c>
      <c r="I1404" s="21">
        <v>-13.3238237</v>
      </c>
      <c r="J1404" s="21">
        <v>-51.679792200000001</v>
      </c>
      <c r="K1404" s="157">
        <f>328966/100</f>
        <v>3289.66</v>
      </c>
      <c r="L1404" s="204">
        <v>1973</v>
      </c>
      <c r="M1404" s="204">
        <v>2010</v>
      </c>
      <c r="N1404" s="21">
        <f>1400/K1404</f>
        <v>0.4255758953812856</v>
      </c>
      <c r="O1404" s="19" t="s">
        <v>67</v>
      </c>
      <c r="P1404" s="19" t="s">
        <v>5187</v>
      </c>
      <c r="Q1404" s="204"/>
    </row>
    <row r="1405" spans="1:17" ht="45.5" customHeight="1">
      <c r="A1405" s="188">
        <v>377</v>
      </c>
      <c r="B1405" s="40" t="s">
        <v>8983</v>
      </c>
      <c r="C1405" s="11" t="s">
        <v>8985</v>
      </c>
      <c r="D1405" s="204" t="s">
        <v>2398</v>
      </c>
      <c r="E1405" s="204" t="s">
        <v>2400</v>
      </c>
      <c r="F1405" s="4" t="s">
        <v>8986</v>
      </c>
      <c r="G1405" s="204" t="s">
        <v>165</v>
      </c>
      <c r="H1405" s="11" t="s">
        <v>121</v>
      </c>
      <c r="I1405" s="21">
        <v>-13.3238237</v>
      </c>
      <c r="J1405" s="21">
        <v>-51.679792200000001</v>
      </c>
      <c r="K1405" s="157">
        <f>((20+SQRT(K1404/3.1516))^2*3.1415)-K1404</f>
        <v>5305.879779399369</v>
      </c>
      <c r="L1405" s="204">
        <v>1973</v>
      </c>
      <c r="M1405" s="204">
        <v>2010</v>
      </c>
      <c r="N1405" s="21" t="s">
        <v>2276</v>
      </c>
      <c r="O1405" s="19" t="s">
        <v>67</v>
      </c>
      <c r="P1405" s="19" t="s">
        <v>5187</v>
      </c>
      <c r="Q1405" s="4" t="s">
        <v>8988</v>
      </c>
    </row>
    <row r="1406" spans="1:17" ht="35.5" customHeight="1">
      <c r="A1406" s="188">
        <v>378</v>
      </c>
      <c r="B1406" s="40" t="s">
        <v>8992</v>
      </c>
      <c r="C1406" s="11" t="s">
        <v>8993</v>
      </c>
      <c r="D1406" s="204" t="s">
        <v>2398</v>
      </c>
      <c r="E1406" s="204" t="s">
        <v>2399</v>
      </c>
      <c r="F1406" s="11" t="s">
        <v>2276</v>
      </c>
      <c r="G1406" s="204" t="s">
        <v>8994</v>
      </c>
      <c r="H1406" s="11" t="s">
        <v>1052</v>
      </c>
      <c r="I1406" s="21">
        <v>14.0058892</v>
      </c>
      <c r="J1406" s="21">
        <v>99.619191299999997</v>
      </c>
      <c r="K1406" s="21">
        <f>19.29*1000</f>
        <v>19290</v>
      </c>
      <c r="L1406" s="204">
        <v>2008</v>
      </c>
      <c r="M1406" s="204">
        <v>2009</v>
      </c>
      <c r="N1406" s="21" t="s">
        <v>2276</v>
      </c>
      <c r="O1406" s="19" t="s">
        <v>67</v>
      </c>
      <c r="P1406" s="19" t="s">
        <v>5187</v>
      </c>
      <c r="Q1406" s="204" t="s">
        <v>9010</v>
      </c>
    </row>
    <row r="1407" spans="1:17" ht="38" customHeight="1">
      <c r="A1407" s="188">
        <v>378</v>
      </c>
      <c r="B1407" s="40" t="s">
        <v>8992</v>
      </c>
      <c r="C1407" s="11" t="s">
        <v>9002</v>
      </c>
      <c r="D1407" s="204" t="s">
        <v>2398</v>
      </c>
      <c r="E1407" s="204" t="s">
        <v>2399</v>
      </c>
      <c r="F1407" s="11" t="s">
        <v>2276</v>
      </c>
      <c r="G1407" s="11" t="s">
        <v>8995</v>
      </c>
      <c r="H1407" s="11" t="s">
        <v>1052</v>
      </c>
      <c r="I1407" s="21">
        <v>15.226059599999999</v>
      </c>
      <c r="J1407" s="21">
        <v>99.787266900000006</v>
      </c>
      <c r="K1407" s="21">
        <f>7.12*1000</f>
        <v>7120</v>
      </c>
      <c r="L1407" s="204">
        <v>2008</v>
      </c>
      <c r="M1407" s="204">
        <v>2009</v>
      </c>
      <c r="N1407" s="21" t="s">
        <v>2276</v>
      </c>
      <c r="O1407" s="19" t="s">
        <v>67</v>
      </c>
      <c r="P1407" s="19" t="s">
        <v>5187</v>
      </c>
      <c r="Q1407" s="204" t="s">
        <v>9010</v>
      </c>
    </row>
    <row r="1408" spans="1:17" ht="38" customHeight="1">
      <c r="A1408" s="188">
        <v>378</v>
      </c>
      <c r="B1408" s="40" t="s">
        <v>8992</v>
      </c>
      <c r="C1408" s="11" t="s">
        <v>9009</v>
      </c>
      <c r="D1408" s="204" t="s">
        <v>2398</v>
      </c>
      <c r="E1408" s="204" t="s">
        <v>2399</v>
      </c>
      <c r="F1408" s="11" t="s">
        <v>2276</v>
      </c>
      <c r="G1408" s="11" t="s">
        <v>8996</v>
      </c>
      <c r="H1408" s="11" t="s">
        <v>1052</v>
      </c>
      <c r="I1408" s="21">
        <f>15 + 17/60</f>
        <v>15.283333333333333</v>
      </c>
      <c r="J1408" s="21">
        <f>103 + 15/60</f>
        <v>103.25</v>
      </c>
      <c r="K1408" s="21">
        <f>26.87*1000</f>
        <v>26870</v>
      </c>
      <c r="L1408" s="204">
        <v>2008</v>
      </c>
      <c r="M1408" s="204">
        <v>2009</v>
      </c>
      <c r="N1408" s="21" t="s">
        <v>2276</v>
      </c>
      <c r="O1408" s="19" t="s">
        <v>67</v>
      </c>
      <c r="P1408" s="19" t="s">
        <v>5187</v>
      </c>
      <c r="Q1408" s="204" t="s">
        <v>9010</v>
      </c>
    </row>
    <row r="1409" spans="1:17" ht="38" customHeight="1">
      <c r="A1409" s="188">
        <v>378</v>
      </c>
      <c r="B1409" s="40" t="s">
        <v>8992</v>
      </c>
      <c r="C1409" s="11" t="s">
        <v>9003</v>
      </c>
      <c r="D1409" s="204" t="s">
        <v>2398</v>
      </c>
      <c r="E1409" s="204" t="s">
        <v>2399</v>
      </c>
      <c r="F1409" s="11" t="s">
        <v>2276</v>
      </c>
      <c r="G1409" s="11" t="s">
        <v>8997</v>
      </c>
      <c r="H1409" s="11" t="s">
        <v>1052</v>
      </c>
      <c r="I1409" s="21">
        <f>17 + 22/60</f>
        <v>17.366666666666667</v>
      </c>
      <c r="J1409" s="21">
        <f>103</f>
        <v>103</v>
      </c>
      <c r="K1409" s="21">
        <f>24.88*1000</f>
        <v>24880</v>
      </c>
      <c r="L1409" s="204">
        <v>2008</v>
      </c>
      <c r="M1409" s="204">
        <v>2009</v>
      </c>
      <c r="N1409" s="21" t="s">
        <v>2276</v>
      </c>
      <c r="O1409" s="19" t="s">
        <v>67</v>
      </c>
      <c r="P1409" s="19" t="s">
        <v>5187</v>
      </c>
      <c r="Q1409" s="204" t="s">
        <v>9010</v>
      </c>
    </row>
    <row r="1410" spans="1:17" ht="38" customHeight="1">
      <c r="A1410" s="188">
        <v>378</v>
      </c>
      <c r="B1410" s="40" t="s">
        <v>8992</v>
      </c>
      <c r="C1410" s="11" t="s">
        <v>9004</v>
      </c>
      <c r="D1410" s="204" t="s">
        <v>2398</v>
      </c>
      <c r="E1410" s="204" t="s">
        <v>2399</v>
      </c>
      <c r="F1410" s="11" t="s">
        <v>2276</v>
      </c>
      <c r="G1410" s="11" t="s">
        <v>8998</v>
      </c>
      <c r="H1410" s="11" t="s">
        <v>1052</v>
      </c>
      <c r="I1410" s="21">
        <f>14+39/60</f>
        <v>14.65</v>
      </c>
      <c r="J1410" s="21">
        <f>99 + 21/60</f>
        <v>99.35</v>
      </c>
      <c r="K1410" s="21">
        <f>7.88*1000</f>
        <v>7880</v>
      </c>
      <c r="L1410" s="204">
        <v>2008</v>
      </c>
      <c r="M1410" s="204">
        <v>2009</v>
      </c>
      <c r="N1410" s="21" t="s">
        <v>2276</v>
      </c>
      <c r="O1410" s="19" t="s">
        <v>67</v>
      </c>
      <c r="P1410" s="19" t="s">
        <v>5187</v>
      </c>
      <c r="Q1410" s="204" t="s">
        <v>9010</v>
      </c>
    </row>
    <row r="1411" spans="1:17" ht="38" customHeight="1">
      <c r="A1411" s="188">
        <v>378</v>
      </c>
      <c r="B1411" s="40" t="s">
        <v>8992</v>
      </c>
      <c r="C1411" s="11" t="s">
        <v>9005</v>
      </c>
      <c r="D1411" s="204" t="s">
        <v>2398</v>
      </c>
      <c r="E1411" s="204" t="s">
        <v>2399</v>
      </c>
      <c r="F1411" s="11" t="s">
        <v>2276</v>
      </c>
      <c r="G1411" s="11" t="s">
        <v>8999</v>
      </c>
      <c r="H1411" s="11" t="s">
        <v>1052</v>
      </c>
      <c r="I1411" s="21">
        <f>14+40/60</f>
        <v>14.666666666666666</v>
      </c>
      <c r="J1411" s="21">
        <f>100+24/60</f>
        <v>100.4</v>
      </c>
      <c r="K1411" s="21">
        <f>12.42*1000</f>
        <v>12420</v>
      </c>
      <c r="L1411" s="204">
        <v>2008</v>
      </c>
      <c r="M1411" s="204">
        <v>2009</v>
      </c>
      <c r="N1411" s="21" t="s">
        <v>2276</v>
      </c>
      <c r="O1411" s="19" t="s">
        <v>67</v>
      </c>
      <c r="P1411" s="19" t="s">
        <v>5187</v>
      </c>
      <c r="Q1411" s="204" t="s">
        <v>9010</v>
      </c>
    </row>
    <row r="1412" spans="1:17" ht="38" customHeight="1">
      <c r="A1412" s="188">
        <v>378</v>
      </c>
      <c r="B1412" s="40" t="s">
        <v>8992</v>
      </c>
      <c r="C1412" s="11" t="s">
        <v>9006</v>
      </c>
      <c r="D1412" s="204" t="s">
        <v>2398</v>
      </c>
      <c r="E1412" s="204" t="s">
        <v>2399</v>
      </c>
      <c r="F1412" s="11" t="s">
        <v>2276</v>
      </c>
      <c r="G1412" s="11" t="s">
        <v>5538</v>
      </c>
      <c r="H1412" s="11" t="s">
        <v>1052</v>
      </c>
      <c r="I1412" s="21">
        <v>13.5</v>
      </c>
      <c r="J1412" s="21">
        <v>102</v>
      </c>
      <c r="K1412" s="21">
        <f>5.63*1000</f>
        <v>5630</v>
      </c>
      <c r="L1412" s="204">
        <v>2008</v>
      </c>
      <c r="M1412" s="204">
        <v>2009</v>
      </c>
      <c r="N1412" s="21" t="s">
        <v>2276</v>
      </c>
      <c r="O1412" s="19" t="s">
        <v>67</v>
      </c>
      <c r="P1412" s="19" t="s">
        <v>5187</v>
      </c>
      <c r="Q1412" s="204" t="s">
        <v>9010</v>
      </c>
    </row>
    <row r="1413" spans="1:17" ht="38" customHeight="1">
      <c r="A1413" s="188">
        <v>378</v>
      </c>
      <c r="B1413" s="40" t="s">
        <v>8992</v>
      </c>
      <c r="C1413" s="11" t="s">
        <v>9007</v>
      </c>
      <c r="D1413" s="204" t="s">
        <v>2398</v>
      </c>
      <c r="E1413" s="204" t="s">
        <v>2399</v>
      </c>
      <c r="F1413" s="11" t="s">
        <v>2276</v>
      </c>
      <c r="G1413" s="11" t="s">
        <v>9000</v>
      </c>
      <c r="H1413" s="11" t="s">
        <v>1052</v>
      </c>
      <c r="I1413" s="21">
        <v>7.5</v>
      </c>
      <c r="J1413" s="21">
        <v>100</v>
      </c>
      <c r="K1413" s="21">
        <f>2.18*1000</f>
        <v>2180</v>
      </c>
      <c r="L1413" s="204">
        <v>2008</v>
      </c>
      <c r="M1413" s="204">
        <v>2009</v>
      </c>
      <c r="N1413" s="21" t="s">
        <v>2276</v>
      </c>
      <c r="O1413" s="19" t="s">
        <v>67</v>
      </c>
      <c r="P1413" s="19" t="s">
        <v>5187</v>
      </c>
      <c r="Q1413" s="204" t="s">
        <v>9010</v>
      </c>
    </row>
    <row r="1414" spans="1:17" ht="38" customHeight="1">
      <c r="A1414" s="188">
        <v>378</v>
      </c>
      <c r="B1414" s="40" t="s">
        <v>8992</v>
      </c>
      <c r="C1414" s="11" t="s">
        <v>9008</v>
      </c>
      <c r="D1414" s="204" t="s">
        <v>2398</v>
      </c>
      <c r="E1414" s="204" t="s">
        <v>2399</v>
      </c>
      <c r="F1414" s="11" t="s">
        <v>2276</v>
      </c>
      <c r="G1414" s="11" t="s">
        <v>9001</v>
      </c>
      <c r="H1414" s="11" t="s">
        <v>1052</v>
      </c>
      <c r="I1414" s="21">
        <f>9.4</f>
        <v>9.4</v>
      </c>
      <c r="J1414" s="21">
        <f>98+48/60</f>
        <v>98.8</v>
      </c>
      <c r="K1414" s="21">
        <f>1.23*1000</f>
        <v>1230</v>
      </c>
      <c r="L1414" s="204">
        <v>2008</v>
      </c>
      <c r="M1414" s="204">
        <v>2009</v>
      </c>
      <c r="N1414" s="21" t="s">
        <v>2276</v>
      </c>
      <c r="O1414" s="19" t="s">
        <v>67</v>
      </c>
      <c r="P1414" s="19" t="s">
        <v>5187</v>
      </c>
      <c r="Q1414" s="204" t="s">
        <v>9010</v>
      </c>
    </row>
    <row r="1415" spans="1:17" ht="34.5" customHeight="1">
      <c r="A1415" s="188">
        <v>379</v>
      </c>
      <c r="B1415" s="40" t="s">
        <v>9119</v>
      </c>
      <c r="C1415" s="11" t="s">
        <v>9120</v>
      </c>
      <c r="D1415" s="204" t="s">
        <v>2398</v>
      </c>
      <c r="E1415" s="204" t="s">
        <v>4847</v>
      </c>
      <c r="F1415" s="11" t="s">
        <v>2276</v>
      </c>
      <c r="G1415" s="11" t="s">
        <v>7147</v>
      </c>
      <c r="H1415" s="11" t="s">
        <v>6112</v>
      </c>
      <c r="I1415" s="21">
        <v>40</v>
      </c>
      <c r="J1415" s="21">
        <v>-8.1</v>
      </c>
      <c r="K1415" s="21" t="s">
        <v>2276</v>
      </c>
      <c r="L1415" s="11">
        <v>2017</v>
      </c>
      <c r="M1415" s="11">
        <v>2017</v>
      </c>
      <c r="N1415" s="21" t="s">
        <v>2276</v>
      </c>
      <c r="O1415" s="19" t="s">
        <v>67</v>
      </c>
      <c r="P1415" s="19" t="s">
        <v>5187</v>
      </c>
      <c r="Q1415" s="204"/>
    </row>
    <row r="1416" spans="1:17" ht="40" customHeight="1">
      <c r="A1416" s="188">
        <v>379</v>
      </c>
      <c r="B1416" s="40" t="s">
        <v>9119</v>
      </c>
      <c r="C1416" s="11" t="s">
        <v>9121</v>
      </c>
      <c r="D1416" s="204" t="s">
        <v>2398</v>
      </c>
      <c r="E1416" s="204" t="s">
        <v>4847</v>
      </c>
      <c r="F1416" s="11" t="s">
        <v>2276</v>
      </c>
      <c r="G1416" s="11" t="s">
        <v>9129</v>
      </c>
      <c r="H1416" s="11" t="s">
        <v>9122</v>
      </c>
      <c r="I1416" s="21">
        <v>-37.467214800000001</v>
      </c>
      <c r="J1416" s="21">
        <v>-72.476914100000002</v>
      </c>
      <c r="K1416" s="21" t="s">
        <v>2276</v>
      </c>
      <c r="L1416" s="11">
        <v>2016</v>
      </c>
      <c r="M1416" s="11">
        <v>2017</v>
      </c>
      <c r="N1416" s="21" t="s">
        <v>2276</v>
      </c>
      <c r="O1416" s="19" t="s">
        <v>67</v>
      </c>
      <c r="P1416" s="19" t="s">
        <v>5187</v>
      </c>
      <c r="Q1416" s="204"/>
    </row>
    <row r="1417" spans="1:17" ht="42.5" customHeight="1">
      <c r="A1417" s="188">
        <v>380</v>
      </c>
      <c r="B1417" s="40" t="s">
        <v>9134</v>
      </c>
      <c r="C1417" s="11" t="s">
        <v>9135</v>
      </c>
      <c r="D1417" s="204" t="s">
        <v>2416</v>
      </c>
      <c r="E1417" s="204" t="s">
        <v>4847</v>
      </c>
      <c r="F1417" s="11" t="s">
        <v>2276</v>
      </c>
      <c r="G1417" s="11" t="s">
        <v>9136</v>
      </c>
      <c r="H1417" s="11" t="s">
        <v>6112</v>
      </c>
      <c r="I1417" s="21">
        <v>40</v>
      </c>
      <c r="J1417" s="21">
        <v>-8.1</v>
      </c>
      <c r="K1417" s="21">
        <v>89015</v>
      </c>
      <c r="L1417" s="204">
        <v>2006</v>
      </c>
      <c r="M1417" s="204">
        <v>2015</v>
      </c>
      <c r="N1417" s="21" t="s">
        <v>2276</v>
      </c>
      <c r="O1417" s="19" t="s">
        <v>67</v>
      </c>
      <c r="P1417" s="19" t="s">
        <v>5187</v>
      </c>
      <c r="Q1417" s="204"/>
    </row>
    <row r="1418" spans="1:17" ht="49" customHeight="1">
      <c r="A1418" s="188">
        <v>381</v>
      </c>
      <c r="B1418" s="40" t="s">
        <v>9147</v>
      </c>
      <c r="C1418" s="11" t="s">
        <v>9148</v>
      </c>
      <c r="D1418" s="204" t="s">
        <v>2398</v>
      </c>
      <c r="E1418" s="204" t="s">
        <v>4847</v>
      </c>
      <c r="F1418" s="11" t="s">
        <v>2276</v>
      </c>
      <c r="G1418" s="11" t="s">
        <v>2276</v>
      </c>
      <c r="H1418" s="11" t="s">
        <v>9122</v>
      </c>
      <c r="I1418" s="21">
        <f>AVERAGE(-17, -56)</f>
        <v>-36.5</v>
      </c>
      <c r="J1418" s="21">
        <v>-73</v>
      </c>
      <c r="K1418" s="21">
        <v>756102</v>
      </c>
      <c r="L1418" s="11">
        <v>1963</v>
      </c>
      <c r="M1418" s="11">
        <v>1990</v>
      </c>
      <c r="N1418" s="21" t="s">
        <v>2276</v>
      </c>
      <c r="O1418" s="19" t="s">
        <v>67</v>
      </c>
      <c r="P1418" s="19" t="s">
        <v>5187</v>
      </c>
      <c r="Q1418" s="204"/>
    </row>
    <row r="1419" spans="1:17" ht="43" customHeight="1">
      <c r="A1419" s="188">
        <v>381</v>
      </c>
      <c r="B1419" s="40" t="s">
        <v>9182</v>
      </c>
      <c r="C1419" s="11" t="s">
        <v>9164</v>
      </c>
      <c r="D1419" s="204" t="s">
        <v>2398</v>
      </c>
      <c r="E1419" s="204" t="s">
        <v>4847</v>
      </c>
      <c r="F1419" s="11" t="s">
        <v>2276</v>
      </c>
      <c r="G1419" s="204" t="s">
        <v>9149</v>
      </c>
      <c r="H1419" s="11" t="s">
        <v>9122</v>
      </c>
      <c r="I1419" s="21">
        <v>-18</v>
      </c>
      <c r="J1419" s="21">
        <v>-69.5</v>
      </c>
      <c r="K1419" s="21">
        <v>16873.3</v>
      </c>
      <c r="L1419" s="11">
        <v>1977</v>
      </c>
      <c r="M1419" s="11">
        <v>2000</v>
      </c>
      <c r="N1419" s="204">
        <v>5</v>
      </c>
      <c r="O1419" s="19" t="s">
        <v>67</v>
      </c>
      <c r="P1419" s="19" t="s">
        <v>5187</v>
      </c>
      <c r="Q1419" s="41" t="s">
        <v>9183</v>
      </c>
    </row>
    <row r="1420" spans="1:17" ht="43" customHeight="1">
      <c r="A1420" s="188">
        <v>381</v>
      </c>
      <c r="B1420" s="40" t="s">
        <v>9182</v>
      </c>
      <c r="C1420" s="11" t="s">
        <v>9165</v>
      </c>
      <c r="D1420" s="204" t="s">
        <v>2398</v>
      </c>
      <c r="E1420" s="204" t="s">
        <v>4847</v>
      </c>
      <c r="F1420" s="11" t="s">
        <v>2276</v>
      </c>
      <c r="G1420" s="204" t="s">
        <v>9150</v>
      </c>
      <c r="H1420" s="11" t="s">
        <v>9122</v>
      </c>
      <c r="I1420" s="21">
        <v>-20</v>
      </c>
      <c r="J1420" s="21">
        <v>-69.5</v>
      </c>
      <c r="K1420" s="21">
        <v>41799.5</v>
      </c>
      <c r="L1420" s="11">
        <v>1977</v>
      </c>
      <c r="M1420" s="11">
        <v>2000</v>
      </c>
      <c r="N1420" s="204">
        <v>5</v>
      </c>
      <c r="O1420" s="19" t="s">
        <v>67</v>
      </c>
      <c r="P1420" s="19" t="s">
        <v>5187</v>
      </c>
      <c r="Q1420" s="41" t="s">
        <v>9183</v>
      </c>
    </row>
    <row r="1421" spans="1:17" ht="43" customHeight="1">
      <c r="A1421" s="188">
        <v>381</v>
      </c>
      <c r="B1421" s="40" t="s">
        <v>9182</v>
      </c>
      <c r="C1421" s="11" t="s">
        <v>9166</v>
      </c>
      <c r="D1421" s="204" t="s">
        <v>2398</v>
      </c>
      <c r="E1421" s="204" t="s">
        <v>4847</v>
      </c>
      <c r="F1421" s="11" t="s">
        <v>2276</v>
      </c>
      <c r="G1421" s="204" t="s">
        <v>9151</v>
      </c>
      <c r="H1421" s="11" t="s">
        <v>9122</v>
      </c>
      <c r="I1421" s="21">
        <v>-24</v>
      </c>
      <c r="J1421" s="21">
        <v>-69.5</v>
      </c>
      <c r="K1421" s="21">
        <v>126049.1</v>
      </c>
      <c r="L1421" s="11">
        <v>1977</v>
      </c>
      <c r="M1421" s="11">
        <v>2000</v>
      </c>
      <c r="N1421" s="204">
        <v>5</v>
      </c>
      <c r="O1421" s="19" t="s">
        <v>67</v>
      </c>
      <c r="P1421" s="19" t="s">
        <v>5187</v>
      </c>
      <c r="Q1421" s="41" t="s">
        <v>9183</v>
      </c>
    </row>
    <row r="1422" spans="1:17" ht="43" customHeight="1">
      <c r="A1422" s="188">
        <v>381</v>
      </c>
      <c r="B1422" s="40" t="s">
        <v>9182</v>
      </c>
      <c r="C1422" s="11" t="s">
        <v>9167</v>
      </c>
      <c r="D1422" s="204" t="s">
        <v>2398</v>
      </c>
      <c r="E1422" s="204" t="s">
        <v>4847</v>
      </c>
      <c r="F1422" s="11" t="s">
        <v>2276</v>
      </c>
      <c r="G1422" s="204" t="s">
        <v>9152</v>
      </c>
      <c r="H1422" s="11" t="s">
        <v>9122</v>
      </c>
      <c r="I1422" s="21">
        <v>-27</v>
      </c>
      <c r="J1422" s="21">
        <v>-70.5</v>
      </c>
      <c r="K1422" s="21">
        <v>75176.2</v>
      </c>
      <c r="L1422" s="11">
        <v>1977</v>
      </c>
      <c r="M1422" s="11">
        <v>2000</v>
      </c>
      <c r="N1422" s="204">
        <v>5</v>
      </c>
      <c r="O1422" s="19" t="s">
        <v>67</v>
      </c>
      <c r="P1422" s="19" t="s">
        <v>5187</v>
      </c>
      <c r="Q1422" s="41" t="s">
        <v>9183</v>
      </c>
    </row>
    <row r="1423" spans="1:17" ht="43" customHeight="1">
      <c r="A1423" s="188">
        <v>381</v>
      </c>
      <c r="B1423" s="40" t="s">
        <v>9182</v>
      </c>
      <c r="C1423" s="11" t="s">
        <v>9168</v>
      </c>
      <c r="D1423" s="204" t="s">
        <v>2398</v>
      </c>
      <c r="E1423" s="204" t="s">
        <v>4847</v>
      </c>
      <c r="F1423" s="11" t="s">
        <v>2276</v>
      </c>
      <c r="G1423" s="204" t="s">
        <v>9163</v>
      </c>
      <c r="H1423" s="11" t="s">
        <v>9122</v>
      </c>
      <c r="I1423" s="21">
        <v>-31</v>
      </c>
      <c r="J1423" s="21">
        <v>-71</v>
      </c>
      <c r="K1423" s="21">
        <v>40579.9</v>
      </c>
      <c r="L1423" s="11">
        <v>1977</v>
      </c>
      <c r="M1423" s="11">
        <v>2000</v>
      </c>
      <c r="N1423" s="204">
        <v>20</v>
      </c>
      <c r="O1423" s="19" t="s">
        <v>67</v>
      </c>
      <c r="P1423" s="19" t="s">
        <v>5187</v>
      </c>
      <c r="Q1423" s="41" t="s">
        <v>9183</v>
      </c>
    </row>
    <row r="1424" spans="1:17" ht="43" customHeight="1">
      <c r="A1424" s="188">
        <v>381</v>
      </c>
      <c r="B1424" s="40" t="s">
        <v>9182</v>
      </c>
      <c r="C1424" s="11" t="s">
        <v>9169</v>
      </c>
      <c r="D1424" s="204" t="s">
        <v>2398</v>
      </c>
      <c r="E1424" s="204" t="s">
        <v>4847</v>
      </c>
      <c r="F1424" s="11" t="s">
        <v>2276</v>
      </c>
      <c r="G1424" s="204" t="s">
        <v>9153</v>
      </c>
      <c r="H1424" s="11" t="s">
        <v>9122</v>
      </c>
      <c r="I1424" s="21">
        <v>-32.5</v>
      </c>
      <c r="J1424" s="21">
        <v>-71</v>
      </c>
      <c r="K1424" s="21">
        <v>16396.099999999999</v>
      </c>
      <c r="L1424" s="11">
        <v>1977</v>
      </c>
      <c r="M1424" s="11">
        <v>2000</v>
      </c>
      <c r="N1424" s="204">
        <v>100</v>
      </c>
      <c r="O1424" s="19" t="s">
        <v>67</v>
      </c>
      <c r="P1424" s="19" t="s">
        <v>5187</v>
      </c>
      <c r="Q1424" s="41" t="s">
        <v>9183</v>
      </c>
    </row>
    <row r="1425" spans="1:17" s="203" customFormat="1" ht="43" customHeight="1">
      <c r="A1425" s="188">
        <v>381</v>
      </c>
      <c r="B1425" s="40" t="s">
        <v>9182</v>
      </c>
      <c r="C1425" s="11" t="s">
        <v>9170</v>
      </c>
      <c r="D1425" s="204" t="s">
        <v>2398</v>
      </c>
      <c r="E1425" s="204" t="s">
        <v>4847</v>
      </c>
      <c r="F1425" s="11" t="s">
        <v>2276</v>
      </c>
      <c r="G1425" s="204" t="s">
        <v>9234</v>
      </c>
      <c r="H1425" s="11" t="s">
        <v>9122</v>
      </c>
      <c r="I1425" s="21">
        <v>-33.850357799999998</v>
      </c>
      <c r="J1425" s="21">
        <v>-70.604239199999995</v>
      </c>
      <c r="K1425" s="21">
        <v>15403</v>
      </c>
      <c r="L1425" s="11">
        <v>1977</v>
      </c>
      <c r="M1425" s="11">
        <v>2000</v>
      </c>
      <c r="N1425" s="21" t="s">
        <v>2276</v>
      </c>
      <c r="O1425" s="19" t="s">
        <v>67</v>
      </c>
      <c r="P1425" s="19" t="s">
        <v>5187</v>
      </c>
      <c r="Q1425" s="41" t="s">
        <v>9183</v>
      </c>
    </row>
    <row r="1426" spans="1:17" ht="43" customHeight="1">
      <c r="A1426" s="188">
        <v>381</v>
      </c>
      <c r="B1426" s="40" t="s">
        <v>9182</v>
      </c>
      <c r="C1426" s="11" t="s">
        <v>9171</v>
      </c>
      <c r="D1426" s="204" t="s">
        <v>2398</v>
      </c>
      <c r="E1426" s="204" t="s">
        <v>4847</v>
      </c>
      <c r="F1426" s="11" t="s">
        <v>2276</v>
      </c>
      <c r="G1426" s="4" t="s">
        <v>9154</v>
      </c>
      <c r="H1426" s="11" t="s">
        <v>9122</v>
      </c>
      <c r="I1426" s="21">
        <v>-34</v>
      </c>
      <c r="J1426" s="21">
        <v>-72</v>
      </c>
      <c r="K1426" s="21">
        <v>16387</v>
      </c>
      <c r="L1426" s="11">
        <v>1977</v>
      </c>
      <c r="M1426" s="11">
        <v>2000</v>
      </c>
      <c r="N1426" s="204">
        <v>50</v>
      </c>
      <c r="O1426" s="19" t="s">
        <v>67</v>
      </c>
      <c r="P1426" s="19" t="s">
        <v>5187</v>
      </c>
      <c r="Q1426" s="41" t="s">
        <v>9183</v>
      </c>
    </row>
    <row r="1427" spans="1:17" ht="43" customHeight="1">
      <c r="A1427" s="188">
        <v>381</v>
      </c>
      <c r="B1427" s="40" t="s">
        <v>9182</v>
      </c>
      <c r="C1427" s="11" t="s">
        <v>9172</v>
      </c>
      <c r="D1427" s="204" t="s">
        <v>2398</v>
      </c>
      <c r="E1427" s="204" t="s">
        <v>4847</v>
      </c>
      <c r="F1427" s="11" t="s">
        <v>2276</v>
      </c>
      <c r="G1427" s="204" t="s">
        <v>9155</v>
      </c>
      <c r="H1427" s="11" t="s">
        <v>9122</v>
      </c>
      <c r="I1427" s="21">
        <v>-36</v>
      </c>
      <c r="J1427" s="21">
        <v>-72.5</v>
      </c>
      <c r="K1427" s="21">
        <v>30296.1</v>
      </c>
      <c r="L1427" s="11">
        <v>1977</v>
      </c>
      <c r="M1427" s="11">
        <v>2000</v>
      </c>
      <c r="N1427" s="204">
        <v>50</v>
      </c>
      <c r="O1427" s="19" t="s">
        <v>67</v>
      </c>
      <c r="P1427" s="19" t="s">
        <v>5187</v>
      </c>
      <c r="Q1427" s="41" t="s">
        <v>9183</v>
      </c>
    </row>
    <row r="1428" spans="1:17" ht="43" customHeight="1">
      <c r="A1428" s="188">
        <v>381</v>
      </c>
      <c r="B1428" s="40" t="s">
        <v>9182</v>
      </c>
      <c r="C1428" s="11" t="s">
        <v>9173</v>
      </c>
      <c r="D1428" s="204" t="s">
        <v>2398</v>
      </c>
      <c r="E1428" s="204" t="s">
        <v>4847</v>
      </c>
      <c r="F1428" s="11" t="s">
        <v>2276</v>
      </c>
      <c r="G1428" s="204" t="s">
        <v>9156</v>
      </c>
      <c r="H1428" s="11" t="s">
        <v>9122</v>
      </c>
      <c r="I1428" s="21">
        <v>-33</v>
      </c>
      <c r="J1428" s="21">
        <v>-70.5</v>
      </c>
      <c r="K1428" s="21">
        <v>13178.5</v>
      </c>
      <c r="L1428" s="11">
        <v>1977</v>
      </c>
      <c r="M1428" s="11">
        <v>2000</v>
      </c>
      <c r="N1428" s="204">
        <v>5</v>
      </c>
      <c r="O1428" s="19" t="s">
        <v>67</v>
      </c>
      <c r="P1428" s="19" t="s">
        <v>5187</v>
      </c>
      <c r="Q1428" s="41" t="s">
        <v>9183</v>
      </c>
    </row>
    <row r="1429" spans="1:17" ht="42" customHeight="1">
      <c r="A1429" s="188">
        <v>381</v>
      </c>
      <c r="B1429" s="40" t="s">
        <v>9182</v>
      </c>
      <c r="C1429" s="11" t="s">
        <v>9174</v>
      </c>
      <c r="D1429" s="204" t="s">
        <v>2398</v>
      </c>
      <c r="E1429" s="204" t="s">
        <v>4847</v>
      </c>
      <c r="F1429" s="11" t="s">
        <v>2276</v>
      </c>
      <c r="G1429" s="204" t="s">
        <v>9157</v>
      </c>
      <c r="H1429" s="11" t="s">
        <v>9122</v>
      </c>
      <c r="I1429" s="21">
        <v>-37</v>
      </c>
      <c r="J1429" s="21">
        <v>-72.5</v>
      </c>
      <c r="K1429" s="21">
        <v>23890.2</v>
      </c>
      <c r="L1429" s="11">
        <v>1977</v>
      </c>
      <c r="M1429" s="11">
        <v>2000</v>
      </c>
      <c r="N1429" s="204">
        <v>50</v>
      </c>
      <c r="O1429" s="19" t="s">
        <v>67</v>
      </c>
      <c r="P1429" s="19" t="s">
        <v>5187</v>
      </c>
      <c r="Q1429" s="41" t="s">
        <v>9183</v>
      </c>
    </row>
    <row r="1430" spans="1:17" ht="42" customHeight="1">
      <c r="A1430" s="188">
        <v>381</v>
      </c>
      <c r="B1430" s="40" t="s">
        <v>9182</v>
      </c>
      <c r="C1430" s="11" t="s">
        <v>9175</v>
      </c>
      <c r="D1430" s="204" t="s">
        <v>2398</v>
      </c>
      <c r="E1430" s="204" t="s">
        <v>4847</v>
      </c>
      <c r="F1430" s="11" t="s">
        <v>2276</v>
      </c>
      <c r="G1430" s="204" t="s">
        <v>9158</v>
      </c>
      <c r="H1430" s="11" t="s">
        <v>9122</v>
      </c>
      <c r="I1430" s="21">
        <v>-38</v>
      </c>
      <c r="J1430" s="21">
        <v>-72.5</v>
      </c>
      <c r="K1430" s="21">
        <v>31842.3</v>
      </c>
      <c r="L1430" s="11">
        <v>1977</v>
      </c>
      <c r="M1430" s="11">
        <v>2000</v>
      </c>
      <c r="N1430" s="204">
        <v>30</v>
      </c>
      <c r="O1430" s="19" t="s">
        <v>67</v>
      </c>
      <c r="P1430" s="19" t="s">
        <v>5187</v>
      </c>
      <c r="Q1430" s="41" t="s">
        <v>9183</v>
      </c>
    </row>
    <row r="1431" spans="1:17" ht="42" customHeight="1">
      <c r="A1431" s="188">
        <v>381</v>
      </c>
      <c r="B1431" s="40" t="s">
        <v>9182</v>
      </c>
      <c r="C1431" s="11" t="s">
        <v>9176</v>
      </c>
      <c r="D1431" s="204" t="s">
        <v>2398</v>
      </c>
      <c r="E1431" s="204" t="s">
        <v>4847</v>
      </c>
      <c r="F1431" s="11" t="s">
        <v>2276</v>
      </c>
      <c r="G1431" s="204" t="s">
        <v>9159</v>
      </c>
      <c r="H1431" s="11" t="s">
        <v>9122</v>
      </c>
      <c r="I1431" s="21">
        <v>-40</v>
      </c>
      <c r="J1431" s="21">
        <v>-72.5</v>
      </c>
      <c r="K1431" s="21">
        <v>18429.5</v>
      </c>
      <c r="L1431" s="11">
        <v>1977</v>
      </c>
      <c r="M1431" s="11">
        <v>2000</v>
      </c>
      <c r="N1431" s="204">
        <v>25</v>
      </c>
      <c r="O1431" s="19" t="s">
        <v>67</v>
      </c>
      <c r="P1431" s="19" t="s">
        <v>5187</v>
      </c>
      <c r="Q1431" s="41" t="s">
        <v>9183</v>
      </c>
    </row>
    <row r="1432" spans="1:17" ht="42" customHeight="1">
      <c r="A1432" s="188">
        <v>381</v>
      </c>
      <c r="B1432" s="40" t="s">
        <v>9182</v>
      </c>
      <c r="C1432" s="11" t="s">
        <v>9177</v>
      </c>
      <c r="D1432" s="204" t="s">
        <v>2398</v>
      </c>
      <c r="E1432" s="204" t="s">
        <v>4847</v>
      </c>
      <c r="F1432" s="11" t="s">
        <v>2276</v>
      </c>
      <c r="G1432" s="204" t="s">
        <v>9160</v>
      </c>
      <c r="H1432" s="11" t="s">
        <v>9122</v>
      </c>
      <c r="I1432" s="21">
        <v>-41</v>
      </c>
      <c r="J1432" s="21">
        <v>-72.5</v>
      </c>
      <c r="K1432" s="21">
        <v>48583.6</v>
      </c>
      <c r="L1432" s="11">
        <v>1977</v>
      </c>
      <c r="M1432" s="11">
        <v>2000</v>
      </c>
      <c r="N1432" s="204">
        <v>20</v>
      </c>
      <c r="O1432" s="19" t="s">
        <v>67</v>
      </c>
      <c r="P1432" s="19" t="s">
        <v>5187</v>
      </c>
      <c r="Q1432" s="41" t="s">
        <v>9183</v>
      </c>
    </row>
    <row r="1433" spans="1:17" ht="42" customHeight="1">
      <c r="A1433" s="188">
        <v>381</v>
      </c>
      <c r="B1433" s="40" t="s">
        <v>9182</v>
      </c>
      <c r="C1433" s="11" t="s">
        <v>9178</v>
      </c>
      <c r="D1433" s="204" t="s">
        <v>2398</v>
      </c>
      <c r="E1433" s="204" t="s">
        <v>4847</v>
      </c>
      <c r="F1433" s="11" t="s">
        <v>2276</v>
      </c>
      <c r="G1433" s="204" t="s">
        <v>9161</v>
      </c>
      <c r="H1433" s="11" t="s">
        <v>9122</v>
      </c>
      <c r="I1433" s="21">
        <v>-45</v>
      </c>
      <c r="J1433" s="21">
        <v>-71</v>
      </c>
      <c r="K1433" s="21">
        <v>108494.39999999999</v>
      </c>
      <c r="L1433" s="11">
        <v>1977</v>
      </c>
      <c r="M1433" s="11">
        <v>2000</v>
      </c>
      <c r="N1433" s="204">
        <v>5</v>
      </c>
      <c r="O1433" s="19" t="s">
        <v>67</v>
      </c>
      <c r="P1433" s="19" t="s">
        <v>5187</v>
      </c>
      <c r="Q1433" s="41" t="s">
        <v>9183</v>
      </c>
    </row>
    <row r="1434" spans="1:17" ht="42" customHeight="1">
      <c r="A1434" s="188">
        <v>381</v>
      </c>
      <c r="B1434" s="40" t="s">
        <v>9182</v>
      </c>
      <c r="C1434" s="11" t="s">
        <v>9179</v>
      </c>
      <c r="D1434" s="204" t="s">
        <v>2398</v>
      </c>
      <c r="E1434" s="204" t="s">
        <v>4847</v>
      </c>
      <c r="F1434" s="11" t="s">
        <v>2276</v>
      </c>
      <c r="G1434" s="4" t="s">
        <v>9162</v>
      </c>
      <c r="H1434" s="11" t="s">
        <v>9122</v>
      </c>
      <c r="I1434" s="21">
        <v>-55</v>
      </c>
      <c r="J1434" s="21">
        <v>-70</v>
      </c>
      <c r="K1434" s="21">
        <v>132291.1</v>
      </c>
      <c r="L1434" s="11">
        <v>1977</v>
      </c>
      <c r="M1434" s="11">
        <v>2000</v>
      </c>
      <c r="N1434" s="204">
        <v>5</v>
      </c>
      <c r="O1434" s="19" t="s">
        <v>67</v>
      </c>
      <c r="P1434" s="19" t="s">
        <v>5187</v>
      </c>
      <c r="Q1434" s="41" t="s">
        <v>9183</v>
      </c>
    </row>
    <row r="1435" spans="1:17" ht="44.5" customHeight="1">
      <c r="A1435" s="188">
        <v>381</v>
      </c>
      <c r="B1435" s="40" t="s">
        <v>9182</v>
      </c>
      <c r="C1435" s="11" t="s">
        <v>9185</v>
      </c>
      <c r="D1435" s="204" t="s">
        <v>2398</v>
      </c>
      <c r="E1435" s="204" t="s">
        <v>4847</v>
      </c>
      <c r="F1435" s="11" t="s">
        <v>2276</v>
      </c>
      <c r="G1435" s="11" t="s">
        <v>2276</v>
      </c>
      <c r="H1435" s="11" t="s">
        <v>9122</v>
      </c>
      <c r="I1435" s="21">
        <f t="shared" ref="I1435:I1436" si="19">AVERAGE(-17, -56)</f>
        <v>-36.5</v>
      </c>
      <c r="J1435" s="21">
        <v>-73</v>
      </c>
      <c r="K1435" s="21">
        <v>756102</v>
      </c>
      <c r="L1435" s="11">
        <v>1991</v>
      </c>
      <c r="M1435" s="11">
        <v>2005</v>
      </c>
      <c r="N1435" s="204" t="s">
        <v>2276</v>
      </c>
      <c r="O1435" s="19" t="s">
        <v>67</v>
      </c>
      <c r="P1435" s="19" t="s">
        <v>5187</v>
      </c>
      <c r="Q1435" s="41" t="s">
        <v>9183</v>
      </c>
    </row>
    <row r="1436" spans="1:17" ht="44.5" customHeight="1">
      <c r="A1436" s="188">
        <v>381</v>
      </c>
      <c r="B1436" s="40" t="s">
        <v>9182</v>
      </c>
      <c r="C1436" s="11" t="s">
        <v>9186</v>
      </c>
      <c r="D1436" s="204" t="s">
        <v>2398</v>
      </c>
      <c r="E1436" s="204" t="s">
        <v>4847</v>
      </c>
      <c r="F1436" s="11" t="s">
        <v>2276</v>
      </c>
      <c r="G1436" s="11" t="s">
        <v>2276</v>
      </c>
      <c r="H1436" s="11" t="s">
        <v>9122</v>
      </c>
      <c r="I1436" s="21">
        <f t="shared" si="19"/>
        <v>-36.5</v>
      </c>
      <c r="J1436" s="21">
        <v>-73</v>
      </c>
      <c r="K1436" s="21">
        <v>756102</v>
      </c>
      <c r="L1436" s="11">
        <v>2006</v>
      </c>
      <c r="M1436" s="11">
        <v>2020</v>
      </c>
      <c r="N1436" s="21">
        <v>23.57</v>
      </c>
      <c r="O1436" s="19" t="s">
        <v>67</v>
      </c>
      <c r="P1436" s="19" t="s">
        <v>5187</v>
      </c>
      <c r="Q1436" s="41" t="s">
        <v>9183</v>
      </c>
    </row>
    <row r="1437" spans="1:17" ht="43.5">
      <c r="A1437" s="188">
        <v>381</v>
      </c>
      <c r="B1437" s="40" t="s">
        <v>9182</v>
      </c>
      <c r="C1437" s="11" t="s">
        <v>9189</v>
      </c>
      <c r="D1437" s="204" t="s">
        <v>2398</v>
      </c>
      <c r="E1437" s="204" t="s">
        <v>4847</v>
      </c>
      <c r="F1437" s="11" t="s">
        <v>2276</v>
      </c>
      <c r="G1437" s="204" t="s">
        <v>9149</v>
      </c>
      <c r="H1437" s="11" t="s">
        <v>9122</v>
      </c>
      <c r="I1437" s="21">
        <v>-18</v>
      </c>
      <c r="J1437" s="21">
        <v>-69.5</v>
      </c>
      <c r="K1437" s="21">
        <v>16873.3</v>
      </c>
      <c r="L1437" s="11">
        <v>2001</v>
      </c>
      <c r="M1437" s="11">
        <v>2020</v>
      </c>
      <c r="N1437" s="204">
        <v>5</v>
      </c>
      <c r="O1437" s="19" t="s">
        <v>67</v>
      </c>
      <c r="P1437" s="19" t="s">
        <v>5187</v>
      </c>
      <c r="Q1437" s="41" t="s">
        <v>9183</v>
      </c>
    </row>
    <row r="1438" spans="1:17" ht="43.5">
      <c r="A1438" s="188">
        <v>381</v>
      </c>
      <c r="B1438" s="40" t="s">
        <v>9182</v>
      </c>
      <c r="C1438" s="11" t="s">
        <v>9190</v>
      </c>
      <c r="D1438" s="204" t="s">
        <v>2398</v>
      </c>
      <c r="E1438" s="204" t="s">
        <v>4847</v>
      </c>
      <c r="F1438" s="11" t="s">
        <v>2276</v>
      </c>
      <c r="G1438" s="204" t="s">
        <v>9150</v>
      </c>
      <c r="H1438" s="11" t="s">
        <v>9122</v>
      </c>
      <c r="I1438" s="21">
        <v>-20</v>
      </c>
      <c r="J1438" s="21">
        <v>-69.5</v>
      </c>
      <c r="K1438" s="21">
        <v>41799.5</v>
      </c>
      <c r="L1438" s="11">
        <v>2001</v>
      </c>
      <c r="M1438" s="11">
        <v>2020</v>
      </c>
      <c r="N1438" s="204">
        <v>5</v>
      </c>
      <c r="O1438" s="19" t="s">
        <v>67</v>
      </c>
      <c r="P1438" s="19" t="s">
        <v>5187</v>
      </c>
      <c r="Q1438" s="41" t="s">
        <v>9183</v>
      </c>
    </row>
    <row r="1439" spans="1:17" ht="43.5">
      <c r="A1439" s="188">
        <v>381</v>
      </c>
      <c r="B1439" s="40" t="s">
        <v>9182</v>
      </c>
      <c r="C1439" s="11" t="s">
        <v>9191</v>
      </c>
      <c r="D1439" s="204" t="s">
        <v>2398</v>
      </c>
      <c r="E1439" s="204" t="s">
        <v>4847</v>
      </c>
      <c r="F1439" s="11" t="s">
        <v>2276</v>
      </c>
      <c r="G1439" s="204" t="s">
        <v>9151</v>
      </c>
      <c r="H1439" s="11" t="s">
        <v>9122</v>
      </c>
      <c r="I1439" s="21">
        <v>-24</v>
      </c>
      <c r="J1439" s="21">
        <v>-69.5</v>
      </c>
      <c r="K1439" s="21">
        <v>126049.1</v>
      </c>
      <c r="L1439" s="11">
        <v>2001</v>
      </c>
      <c r="M1439" s="11">
        <v>2020</v>
      </c>
      <c r="N1439" s="204">
        <v>5</v>
      </c>
      <c r="O1439" s="19" t="s">
        <v>67</v>
      </c>
      <c r="P1439" s="19" t="s">
        <v>5187</v>
      </c>
      <c r="Q1439" s="41" t="s">
        <v>9183</v>
      </c>
    </row>
    <row r="1440" spans="1:17" ht="43.5">
      <c r="A1440" s="188">
        <v>381</v>
      </c>
      <c r="B1440" s="40" t="s">
        <v>9182</v>
      </c>
      <c r="C1440" s="11" t="s">
        <v>9192</v>
      </c>
      <c r="D1440" s="204" t="s">
        <v>2398</v>
      </c>
      <c r="E1440" s="204" t="s">
        <v>4847</v>
      </c>
      <c r="F1440" s="11" t="s">
        <v>2276</v>
      </c>
      <c r="G1440" s="204" t="s">
        <v>9152</v>
      </c>
      <c r="H1440" s="11" t="s">
        <v>9122</v>
      </c>
      <c r="I1440" s="21">
        <v>-27</v>
      </c>
      <c r="J1440" s="21">
        <v>-70.5</v>
      </c>
      <c r="K1440" s="21">
        <v>75176.2</v>
      </c>
      <c r="L1440" s="11">
        <v>2001</v>
      </c>
      <c r="M1440" s="11">
        <v>2020</v>
      </c>
      <c r="N1440" s="204">
        <v>5</v>
      </c>
      <c r="O1440" s="19" t="s">
        <v>67</v>
      </c>
      <c r="P1440" s="19" t="s">
        <v>5187</v>
      </c>
      <c r="Q1440" s="41" t="s">
        <v>9183</v>
      </c>
    </row>
    <row r="1441" spans="1:17" ht="43.5">
      <c r="A1441" s="188">
        <v>381</v>
      </c>
      <c r="B1441" s="40" t="s">
        <v>9182</v>
      </c>
      <c r="C1441" s="11" t="s">
        <v>9193</v>
      </c>
      <c r="D1441" s="204" t="s">
        <v>2398</v>
      </c>
      <c r="E1441" s="204" t="s">
        <v>4847</v>
      </c>
      <c r="F1441" s="11" t="s">
        <v>2276</v>
      </c>
      <c r="G1441" s="204" t="s">
        <v>9163</v>
      </c>
      <c r="H1441" s="11" t="s">
        <v>9122</v>
      </c>
      <c r="I1441" s="21">
        <v>-31</v>
      </c>
      <c r="J1441" s="21">
        <v>-71</v>
      </c>
      <c r="K1441" s="21">
        <v>40579.9</v>
      </c>
      <c r="L1441" s="11">
        <v>2001</v>
      </c>
      <c r="M1441" s="11">
        <v>2020</v>
      </c>
      <c r="N1441" s="204">
        <v>20</v>
      </c>
      <c r="O1441" s="19" t="s">
        <v>67</v>
      </c>
      <c r="P1441" s="19" t="s">
        <v>5187</v>
      </c>
      <c r="Q1441" s="41" t="s">
        <v>9183</v>
      </c>
    </row>
    <row r="1442" spans="1:17" ht="43.5">
      <c r="A1442" s="188">
        <v>381</v>
      </c>
      <c r="B1442" s="40" t="s">
        <v>9182</v>
      </c>
      <c r="C1442" s="11" t="s">
        <v>9194</v>
      </c>
      <c r="D1442" s="204" t="s">
        <v>2398</v>
      </c>
      <c r="E1442" s="204" t="s">
        <v>4847</v>
      </c>
      <c r="F1442" s="11" t="s">
        <v>2276</v>
      </c>
      <c r="G1442" s="204" t="s">
        <v>9153</v>
      </c>
      <c r="H1442" s="11" t="s">
        <v>9122</v>
      </c>
      <c r="I1442" s="21">
        <v>-32.5</v>
      </c>
      <c r="J1442" s="21">
        <v>-71</v>
      </c>
      <c r="K1442" s="21">
        <v>16396.099999999999</v>
      </c>
      <c r="L1442" s="11">
        <v>2001</v>
      </c>
      <c r="M1442" s="11">
        <v>2020</v>
      </c>
      <c r="N1442" s="204">
        <v>100</v>
      </c>
      <c r="O1442" s="19" t="s">
        <v>67</v>
      </c>
      <c r="P1442" s="19" t="s">
        <v>5187</v>
      </c>
      <c r="Q1442" s="41" t="s">
        <v>9183</v>
      </c>
    </row>
    <row r="1443" spans="1:17" ht="45.5" customHeight="1">
      <c r="A1443" s="188">
        <v>381</v>
      </c>
      <c r="B1443" s="40" t="s">
        <v>9182</v>
      </c>
      <c r="C1443" s="11" t="s">
        <v>9195</v>
      </c>
      <c r="D1443" s="204" t="s">
        <v>2398</v>
      </c>
      <c r="E1443" s="204" t="s">
        <v>4847</v>
      </c>
      <c r="F1443" s="11" t="s">
        <v>2276</v>
      </c>
      <c r="G1443" s="204" t="s">
        <v>9234</v>
      </c>
      <c r="H1443" s="11" t="s">
        <v>9122</v>
      </c>
      <c r="I1443" s="21">
        <v>-33.850357799999998</v>
      </c>
      <c r="J1443" s="21">
        <v>-70.604239199999995</v>
      </c>
      <c r="K1443" s="21">
        <v>15403</v>
      </c>
      <c r="L1443" s="11">
        <v>1977</v>
      </c>
      <c r="M1443" s="11">
        <v>2000</v>
      </c>
      <c r="N1443" s="21">
        <f>6160040/K1443</f>
        <v>399.92468999545542</v>
      </c>
      <c r="O1443" s="19" t="s">
        <v>67</v>
      </c>
      <c r="P1443" s="19" t="s">
        <v>5187</v>
      </c>
      <c r="Q1443" s="41" t="s">
        <v>9183</v>
      </c>
    </row>
    <row r="1444" spans="1:17" ht="43.5">
      <c r="A1444" s="188">
        <v>381</v>
      </c>
      <c r="B1444" s="40" t="s">
        <v>9182</v>
      </c>
      <c r="C1444" s="11" t="s">
        <v>9196</v>
      </c>
      <c r="D1444" s="204" t="s">
        <v>2398</v>
      </c>
      <c r="E1444" s="204" t="s">
        <v>4847</v>
      </c>
      <c r="F1444" s="11" t="s">
        <v>2276</v>
      </c>
      <c r="G1444" s="4" t="s">
        <v>9154</v>
      </c>
      <c r="H1444" s="11" t="s">
        <v>9122</v>
      </c>
      <c r="I1444" s="21">
        <v>-34</v>
      </c>
      <c r="J1444" s="21">
        <v>-72</v>
      </c>
      <c r="K1444" s="21">
        <v>16387</v>
      </c>
      <c r="L1444" s="11">
        <v>2001</v>
      </c>
      <c r="M1444" s="11">
        <v>2020</v>
      </c>
      <c r="N1444" s="204">
        <v>50</v>
      </c>
      <c r="O1444" s="19" t="s">
        <v>67</v>
      </c>
      <c r="P1444" s="19" t="s">
        <v>5187</v>
      </c>
      <c r="Q1444" s="41" t="s">
        <v>9183</v>
      </c>
    </row>
    <row r="1445" spans="1:17" ht="43.5">
      <c r="A1445" s="188">
        <v>381</v>
      </c>
      <c r="B1445" s="40" t="s">
        <v>9182</v>
      </c>
      <c r="C1445" s="11" t="s">
        <v>9197</v>
      </c>
      <c r="D1445" s="204" t="s">
        <v>2398</v>
      </c>
      <c r="E1445" s="204" t="s">
        <v>4847</v>
      </c>
      <c r="F1445" s="11" t="s">
        <v>2276</v>
      </c>
      <c r="G1445" s="204" t="s">
        <v>9155</v>
      </c>
      <c r="H1445" s="11" t="s">
        <v>9122</v>
      </c>
      <c r="I1445" s="21">
        <v>-36</v>
      </c>
      <c r="J1445" s="21">
        <v>-72.5</v>
      </c>
      <c r="K1445" s="21">
        <v>30296.1</v>
      </c>
      <c r="L1445" s="11">
        <v>2001</v>
      </c>
      <c r="M1445" s="11">
        <v>2020</v>
      </c>
      <c r="N1445" s="204">
        <v>50</v>
      </c>
      <c r="O1445" s="19" t="s">
        <v>67</v>
      </c>
      <c r="P1445" s="19" t="s">
        <v>5187</v>
      </c>
      <c r="Q1445" s="41" t="s">
        <v>9183</v>
      </c>
    </row>
    <row r="1446" spans="1:17" ht="43.5">
      <c r="A1446" s="188">
        <v>381</v>
      </c>
      <c r="B1446" s="40" t="s">
        <v>9182</v>
      </c>
      <c r="C1446" s="11" t="s">
        <v>9198</v>
      </c>
      <c r="D1446" s="204" t="s">
        <v>2398</v>
      </c>
      <c r="E1446" s="204" t="s">
        <v>4847</v>
      </c>
      <c r="F1446" s="11" t="s">
        <v>2276</v>
      </c>
      <c r="G1446" s="204" t="s">
        <v>9156</v>
      </c>
      <c r="H1446" s="11" t="s">
        <v>9122</v>
      </c>
      <c r="I1446" s="21">
        <v>-33</v>
      </c>
      <c r="J1446" s="21">
        <v>-70.5</v>
      </c>
      <c r="K1446" s="21">
        <v>13178.5</v>
      </c>
      <c r="L1446" s="11">
        <v>2001</v>
      </c>
      <c r="M1446" s="11">
        <v>2020</v>
      </c>
      <c r="N1446" s="204">
        <v>5</v>
      </c>
      <c r="O1446" s="19" t="s">
        <v>67</v>
      </c>
      <c r="P1446" s="19" t="s">
        <v>5187</v>
      </c>
      <c r="Q1446" s="41" t="s">
        <v>9183</v>
      </c>
    </row>
    <row r="1447" spans="1:17" ht="43.5">
      <c r="A1447" s="188">
        <v>381</v>
      </c>
      <c r="B1447" s="40" t="s">
        <v>9182</v>
      </c>
      <c r="C1447" s="11" t="s">
        <v>9199</v>
      </c>
      <c r="D1447" s="204" t="s">
        <v>2398</v>
      </c>
      <c r="E1447" s="204" t="s">
        <v>4847</v>
      </c>
      <c r="F1447" s="11" t="s">
        <v>2276</v>
      </c>
      <c r="G1447" s="204" t="s">
        <v>9157</v>
      </c>
      <c r="H1447" s="11" t="s">
        <v>9122</v>
      </c>
      <c r="I1447" s="21">
        <v>-37</v>
      </c>
      <c r="J1447" s="21">
        <v>-72.5</v>
      </c>
      <c r="K1447" s="21">
        <v>23890.2</v>
      </c>
      <c r="L1447" s="11">
        <v>2001</v>
      </c>
      <c r="M1447" s="11">
        <v>2020</v>
      </c>
      <c r="N1447" s="204">
        <v>50</v>
      </c>
      <c r="O1447" s="19" t="s">
        <v>67</v>
      </c>
      <c r="P1447" s="19" t="s">
        <v>5187</v>
      </c>
      <c r="Q1447" s="41" t="s">
        <v>9183</v>
      </c>
    </row>
    <row r="1448" spans="1:17" ht="43.5">
      <c r="A1448" s="188">
        <v>381</v>
      </c>
      <c r="B1448" s="40" t="s">
        <v>9182</v>
      </c>
      <c r="C1448" s="11" t="s">
        <v>9200</v>
      </c>
      <c r="D1448" s="204" t="s">
        <v>2398</v>
      </c>
      <c r="E1448" s="204" t="s">
        <v>4847</v>
      </c>
      <c r="F1448" s="11" t="s">
        <v>2276</v>
      </c>
      <c r="G1448" s="204" t="s">
        <v>9158</v>
      </c>
      <c r="H1448" s="11" t="s">
        <v>9122</v>
      </c>
      <c r="I1448" s="21">
        <v>-38</v>
      </c>
      <c r="J1448" s="21">
        <v>-72.5</v>
      </c>
      <c r="K1448" s="21">
        <v>31842.3</v>
      </c>
      <c r="L1448" s="11">
        <v>2001</v>
      </c>
      <c r="M1448" s="11">
        <v>2020</v>
      </c>
      <c r="N1448" s="204">
        <v>30</v>
      </c>
      <c r="O1448" s="19" t="s">
        <v>67</v>
      </c>
      <c r="P1448" s="19" t="s">
        <v>5187</v>
      </c>
      <c r="Q1448" s="41" t="s">
        <v>9183</v>
      </c>
    </row>
    <row r="1449" spans="1:17" ht="43.5">
      <c r="A1449" s="188">
        <v>381</v>
      </c>
      <c r="B1449" s="40" t="s">
        <v>9182</v>
      </c>
      <c r="C1449" s="11" t="s">
        <v>9201</v>
      </c>
      <c r="D1449" s="204" t="s">
        <v>2398</v>
      </c>
      <c r="E1449" s="204" t="s">
        <v>4847</v>
      </c>
      <c r="F1449" s="11" t="s">
        <v>2276</v>
      </c>
      <c r="G1449" s="204" t="s">
        <v>9159</v>
      </c>
      <c r="H1449" s="11" t="s">
        <v>9122</v>
      </c>
      <c r="I1449" s="21">
        <v>-40</v>
      </c>
      <c r="J1449" s="21">
        <v>-72.5</v>
      </c>
      <c r="K1449" s="21">
        <v>18429.5</v>
      </c>
      <c r="L1449" s="11">
        <v>2001</v>
      </c>
      <c r="M1449" s="11">
        <v>2020</v>
      </c>
      <c r="N1449" s="204">
        <v>25</v>
      </c>
      <c r="O1449" s="19" t="s">
        <v>67</v>
      </c>
      <c r="P1449" s="19" t="s">
        <v>5187</v>
      </c>
      <c r="Q1449" s="41" t="s">
        <v>9183</v>
      </c>
    </row>
    <row r="1450" spans="1:17" ht="43.5">
      <c r="A1450" s="188">
        <v>381</v>
      </c>
      <c r="B1450" s="40" t="s">
        <v>9182</v>
      </c>
      <c r="C1450" s="11" t="s">
        <v>9202</v>
      </c>
      <c r="D1450" s="204" t="s">
        <v>2398</v>
      </c>
      <c r="E1450" s="204" t="s">
        <v>4847</v>
      </c>
      <c r="F1450" s="11" t="s">
        <v>2276</v>
      </c>
      <c r="G1450" s="204" t="s">
        <v>9160</v>
      </c>
      <c r="H1450" s="11" t="s">
        <v>9122</v>
      </c>
      <c r="I1450" s="21">
        <v>-41</v>
      </c>
      <c r="J1450" s="21">
        <v>-72.5</v>
      </c>
      <c r="K1450" s="21">
        <v>48583.6</v>
      </c>
      <c r="L1450" s="11">
        <v>2001</v>
      </c>
      <c r="M1450" s="11">
        <v>2020</v>
      </c>
      <c r="N1450" s="204">
        <v>20</v>
      </c>
      <c r="O1450" s="19" t="s">
        <v>67</v>
      </c>
      <c r="P1450" s="19" t="s">
        <v>5187</v>
      </c>
      <c r="Q1450" s="41" t="s">
        <v>9183</v>
      </c>
    </row>
    <row r="1451" spans="1:17" ht="43.5">
      <c r="A1451" s="188">
        <v>381</v>
      </c>
      <c r="B1451" s="40" t="s">
        <v>9182</v>
      </c>
      <c r="C1451" s="11" t="s">
        <v>9203</v>
      </c>
      <c r="D1451" s="204" t="s">
        <v>2398</v>
      </c>
      <c r="E1451" s="204" t="s">
        <v>4847</v>
      </c>
      <c r="F1451" s="11" t="s">
        <v>2276</v>
      </c>
      <c r="G1451" s="204" t="s">
        <v>9161</v>
      </c>
      <c r="H1451" s="11" t="s">
        <v>9122</v>
      </c>
      <c r="I1451" s="21">
        <v>-45</v>
      </c>
      <c r="J1451" s="21">
        <v>-71</v>
      </c>
      <c r="K1451" s="21">
        <v>108494.39999999999</v>
      </c>
      <c r="L1451" s="11">
        <v>2001</v>
      </c>
      <c r="M1451" s="11">
        <v>2020</v>
      </c>
      <c r="N1451" s="204">
        <v>5</v>
      </c>
      <c r="O1451" s="19" t="s">
        <v>67</v>
      </c>
      <c r="P1451" s="19" t="s">
        <v>5187</v>
      </c>
      <c r="Q1451" s="41" t="s">
        <v>9183</v>
      </c>
    </row>
    <row r="1452" spans="1:17" ht="60" customHeight="1">
      <c r="A1452" s="188">
        <v>381</v>
      </c>
      <c r="B1452" s="40" t="s">
        <v>9182</v>
      </c>
      <c r="C1452" s="11" t="s">
        <v>9235</v>
      </c>
      <c r="D1452" s="204" t="s">
        <v>2398</v>
      </c>
      <c r="E1452" s="204" t="s">
        <v>4847</v>
      </c>
      <c r="F1452" s="11" t="s">
        <v>2276</v>
      </c>
      <c r="G1452" s="4" t="s">
        <v>9162</v>
      </c>
      <c r="H1452" s="11" t="s">
        <v>9122</v>
      </c>
      <c r="I1452" s="21">
        <v>-55</v>
      </c>
      <c r="J1452" s="21">
        <v>-70</v>
      </c>
      <c r="K1452" s="21">
        <v>132291.1</v>
      </c>
      <c r="L1452" s="11">
        <v>2001</v>
      </c>
      <c r="M1452" s="11">
        <v>2020</v>
      </c>
      <c r="N1452" s="204">
        <v>5</v>
      </c>
      <c r="O1452" s="19" t="s">
        <v>67</v>
      </c>
      <c r="P1452" s="19" t="s">
        <v>5187</v>
      </c>
      <c r="Q1452" s="41" t="s">
        <v>9183</v>
      </c>
    </row>
    <row r="1453" spans="1:17" ht="49" customHeight="1">
      <c r="A1453" s="188">
        <v>382</v>
      </c>
      <c r="B1453" s="40" t="s">
        <v>9256</v>
      </c>
      <c r="C1453" s="11" t="s">
        <v>9257</v>
      </c>
      <c r="D1453" s="204" t="s">
        <v>2398</v>
      </c>
      <c r="E1453" s="204" t="s">
        <v>2399</v>
      </c>
      <c r="F1453" s="11" t="s">
        <v>9259</v>
      </c>
      <c r="G1453" s="11" t="s">
        <v>9260</v>
      </c>
      <c r="H1453" s="11" t="s">
        <v>9122</v>
      </c>
      <c r="I1453" s="21">
        <f>-38 - 12/60</f>
        <v>-38.200000000000003</v>
      </c>
      <c r="J1453" s="21">
        <f>-71-5/6</f>
        <v>-71.833333333333329</v>
      </c>
      <c r="K1453" s="21" t="s">
        <v>2276</v>
      </c>
      <c r="L1453" s="11">
        <v>2005</v>
      </c>
      <c r="M1453" s="11">
        <v>2005</v>
      </c>
      <c r="N1453" s="21" t="s">
        <v>2276</v>
      </c>
      <c r="O1453" s="19" t="s">
        <v>67</v>
      </c>
      <c r="P1453" s="19" t="s">
        <v>5187</v>
      </c>
      <c r="Q1453" s="204"/>
    </row>
    <row r="1454" spans="1:17" ht="50.5" customHeight="1">
      <c r="A1454" s="188">
        <v>382</v>
      </c>
      <c r="B1454" s="40" t="s">
        <v>9256</v>
      </c>
      <c r="C1454" s="11" t="s">
        <v>9258</v>
      </c>
      <c r="D1454" s="204" t="s">
        <v>2398</v>
      </c>
      <c r="E1454" s="204" t="s">
        <v>2399</v>
      </c>
      <c r="F1454" s="64" t="s">
        <v>9262</v>
      </c>
      <c r="G1454" s="204" t="s">
        <v>9261</v>
      </c>
      <c r="H1454" s="11" t="s">
        <v>9122</v>
      </c>
      <c r="I1454" s="21">
        <f>-36-0.866666666666667</f>
        <v>-36.866666666666667</v>
      </c>
      <c r="J1454" s="21">
        <f>-71-56/60</f>
        <v>-71.933333333333337</v>
      </c>
      <c r="K1454" s="21">
        <v>0.03</v>
      </c>
      <c r="L1454" s="11">
        <v>2005</v>
      </c>
      <c r="M1454" s="11">
        <v>2006</v>
      </c>
      <c r="N1454" s="21" t="s">
        <v>2276</v>
      </c>
      <c r="O1454" s="19" t="s">
        <v>67</v>
      </c>
      <c r="P1454" s="19" t="s">
        <v>5187</v>
      </c>
      <c r="Q1454" s="204"/>
    </row>
    <row r="1455" spans="1:17" ht="48" customHeight="1">
      <c r="A1455" s="188">
        <v>383</v>
      </c>
      <c r="B1455" s="40" t="s">
        <v>9268</v>
      </c>
      <c r="C1455" s="11" t="s">
        <v>9265</v>
      </c>
      <c r="D1455" s="204" t="s">
        <v>2398</v>
      </c>
      <c r="E1455" s="204" t="s">
        <v>2422</v>
      </c>
      <c r="F1455" s="11" t="s">
        <v>9267</v>
      </c>
      <c r="G1455" s="11" t="s">
        <v>9266</v>
      </c>
      <c r="H1455" s="11" t="s">
        <v>3414</v>
      </c>
      <c r="I1455" s="21">
        <f>-37-8/60</f>
        <v>-37.133333333333333</v>
      </c>
      <c r="J1455" s="21">
        <f>140 + 8/60</f>
        <v>140.13333333333333</v>
      </c>
      <c r="K1455" s="21">
        <f>298000/100</f>
        <v>2980</v>
      </c>
      <c r="L1455" s="11">
        <v>1976</v>
      </c>
      <c r="M1455" s="11">
        <v>2010</v>
      </c>
      <c r="N1455" s="21" t="s">
        <v>2276</v>
      </c>
      <c r="O1455" s="19" t="s">
        <v>67</v>
      </c>
      <c r="P1455" s="19" t="s">
        <v>5187</v>
      </c>
      <c r="Q1455" s="204"/>
    </row>
    <row r="1456" spans="1:17" ht="47" customHeight="1">
      <c r="A1456" s="188">
        <v>384</v>
      </c>
      <c r="B1456" s="40" t="s">
        <v>9275</v>
      </c>
      <c r="C1456" s="11" t="s">
        <v>9276</v>
      </c>
      <c r="D1456" s="204" t="s">
        <v>2398</v>
      </c>
      <c r="E1456" s="204" t="s">
        <v>4847</v>
      </c>
      <c r="F1456" s="11" t="s">
        <v>2276</v>
      </c>
      <c r="G1456" s="11" t="s">
        <v>2276</v>
      </c>
      <c r="H1456" s="204" t="s">
        <v>6112</v>
      </c>
      <c r="I1456" s="21">
        <v>40</v>
      </c>
      <c r="J1456" s="21">
        <v>-8</v>
      </c>
      <c r="K1456" s="21">
        <f>(885000+740000)/100</f>
        <v>16250</v>
      </c>
      <c r="L1456" s="204">
        <v>1996</v>
      </c>
      <c r="M1456" s="204">
        <v>2006</v>
      </c>
      <c r="N1456" s="21" t="s">
        <v>2276</v>
      </c>
      <c r="O1456" s="19" t="s">
        <v>67</v>
      </c>
      <c r="P1456" s="19" t="s">
        <v>5187</v>
      </c>
      <c r="Q1456" s="204"/>
    </row>
    <row r="1457" spans="1:17" ht="54.5" customHeight="1">
      <c r="A1457" s="188">
        <v>385</v>
      </c>
      <c r="B1457" s="40" t="s">
        <v>9281</v>
      </c>
      <c r="C1457" s="11" t="s">
        <v>9279</v>
      </c>
      <c r="D1457" s="204" t="s">
        <v>2398</v>
      </c>
      <c r="E1457" s="204" t="s">
        <v>4847</v>
      </c>
      <c r="F1457" s="11" t="s">
        <v>2276</v>
      </c>
      <c r="G1457" s="64" t="s">
        <v>9282</v>
      </c>
      <c r="H1457" s="11" t="s">
        <v>9122</v>
      </c>
      <c r="I1457" s="21">
        <v>-35</v>
      </c>
      <c r="J1457" s="21">
        <v>-71.5</v>
      </c>
      <c r="K1457" s="21">
        <v>90000</v>
      </c>
      <c r="L1457" s="11">
        <v>1985</v>
      </c>
      <c r="M1457" s="11">
        <v>2017</v>
      </c>
      <c r="N1457" s="21" t="s">
        <v>2276</v>
      </c>
      <c r="O1457" s="19" t="s">
        <v>67</v>
      </c>
      <c r="P1457" s="19" t="s">
        <v>5187</v>
      </c>
      <c r="Q1457" s="204"/>
    </row>
    <row r="1458" spans="1:17" ht="65.5" customHeight="1">
      <c r="A1458" s="188">
        <v>385</v>
      </c>
      <c r="B1458" s="41" t="s">
        <v>9289</v>
      </c>
      <c r="C1458" s="11" t="s">
        <v>9288</v>
      </c>
      <c r="D1458" s="204" t="s">
        <v>2398</v>
      </c>
      <c r="E1458" s="204" t="s">
        <v>2636</v>
      </c>
      <c r="F1458" s="11" t="s">
        <v>2276</v>
      </c>
      <c r="G1458" s="204" t="s">
        <v>9155</v>
      </c>
      <c r="H1458" s="11" t="s">
        <v>9122</v>
      </c>
      <c r="I1458" s="21">
        <v>-36</v>
      </c>
      <c r="J1458" s="21">
        <v>-72.5</v>
      </c>
      <c r="K1458" s="21">
        <v>30296.1</v>
      </c>
      <c r="L1458" s="11">
        <v>2016</v>
      </c>
      <c r="M1458" s="11">
        <v>2016</v>
      </c>
      <c r="N1458" s="21" t="s">
        <v>2276</v>
      </c>
      <c r="O1458" s="19" t="s">
        <v>67</v>
      </c>
      <c r="P1458" s="19" t="s">
        <v>5187</v>
      </c>
      <c r="Q1458" s="204"/>
    </row>
    <row r="1459" spans="1:17" ht="45" customHeight="1">
      <c r="A1459" s="188">
        <v>386</v>
      </c>
      <c r="B1459" s="40" t="s">
        <v>9294</v>
      </c>
      <c r="C1459" s="11" t="s">
        <v>9293</v>
      </c>
      <c r="D1459" s="204" t="s">
        <v>2398</v>
      </c>
      <c r="E1459" s="204" t="s">
        <v>6801</v>
      </c>
      <c r="F1459" s="11" t="s">
        <v>2276</v>
      </c>
      <c r="G1459" s="11" t="s">
        <v>9295</v>
      </c>
      <c r="H1459" s="11" t="s">
        <v>3414</v>
      </c>
      <c r="I1459" s="21">
        <v>-36</v>
      </c>
      <c r="J1459" s="21">
        <v>147.75</v>
      </c>
      <c r="K1459" s="21">
        <f>801150+227444</f>
        <v>1028594</v>
      </c>
      <c r="L1459" s="11">
        <v>2000</v>
      </c>
      <c r="M1459" s="11">
        <v>2019</v>
      </c>
      <c r="N1459" s="21" t="s">
        <v>2276</v>
      </c>
      <c r="O1459" s="19" t="s">
        <v>67</v>
      </c>
      <c r="P1459" s="19" t="s">
        <v>5187</v>
      </c>
      <c r="Q1459" s="204"/>
    </row>
    <row r="1460" spans="1:17" ht="46.5" customHeight="1">
      <c r="A1460" s="188">
        <v>387</v>
      </c>
      <c r="B1460" s="40" t="s">
        <v>9309</v>
      </c>
      <c r="C1460" s="204" t="s">
        <v>9302</v>
      </c>
      <c r="D1460" s="204" t="s">
        <v>2398</v>
      </c>
      <c r="E1460" s="204" t="s">
        <v>4847</v>
      </c>
      <c r="F1460" s="11" t="s">
        <v>9301</v>
      </c>
      <c r="G1460" s="11" t="s">
        <v>5663</v>
      </c>
      <c r="H1460" s="11" t="s">
        <v>3414</v>
      </c>
      <c r="I1460" s="21">
        <f>-37-21/60</f>
        <v>-37.35</v>
      </c>
      <c r="J1460" s="21">
        <f>145+32/60</f>
        <v>145.53333333333333</v>
      </c>
      <c r="K1460" s="21" t="s">
        <v>2276</v>
      </c>
      <c r="L1460" s="11">
        <v>2009</v>
      </c>
      <c r="M1460" s="11">
        <v>2009</v>
      </c>
      <c r="N1460" s="21" t="s">
        <v>2276</v>
      </c>
      <c r="O1460" s="19" t="s">
        <v>67</v>
      </c>
      <c r="P1460" s="19" t="s">
        <v>5187</v>
      </c>
      <c r="Q1460" s="204"/>
    </row>
    <row r="1461" spans="1:17" ht="42" customHeight="1">
      <c r="A1461" s="188">
        <v>387</v>
      </c>
      <c r="B1461" s="40" t="s">
        <v>9309</v>
      </c>
      <c r="C1461" s="204" t="s">
        <v>9303</v>
      </c>
      <c r="D1461" s="204" t="s">
        <v>2398</v>
      </c>
      <c r="E1461" s="204" t="s">
        <v>4847</v>
      </c>
      <c r="F1461" s="11" t="s">
        <v>9308</v>
      </c>
      <c r="G1461" s="11" t="s">
        <v>5663</v>
      </c>
      <c r="H1461" s="11" t="s">
        <v>3414</v>
      </c>
      <c r="I1461" s="21">
        <f>-37-23/60</f>
        <v>-37.383333333333333</v>
      </c>
      <c r="J1461" s="21">
        <f>145+11/60</f>
        <v>145.18333333333334</v>
      </c>
      <c r="K1461" s="21" t="s">
        <v>2276</v>
      </c>
      <c r="L1461" s="11">
        <v>2009</v>
      </c>
      <c r="M1461" s="11">
        <v>2009</v>
      </c>
      <c r="N1461" s="21" t="s">
        <v>2276</v>
      </c>
      <c r="O1461" s="19" t="s">
        <v>67</v>
      </c>
      <c r="P1461" s="19" t="s">
        <v>5187</v>
      </c>
      <c r="Q1461" s="204"/>
    </row>
    <row r="1462" spans="1:17" ht="39" customHeight="1">
      <c r="A1462" s="188">
        <v>388</v>
      </c>
      <c r="B1462" s="40" t="s">
        <v>9300</v>
      </c>
      <c r="C1462" s="11" t="s">
        <v>9314</v>
      </c>
      <c r="D1462" s="204" t="s">
        <v>2398</v>
      </c>
      <c r="E1462" s="204" t="s">
        <v>2636</v>
      </c>
      <c r="F1462" s="11" t="s">
        <v>2276</v>
      </c>
      <c r="G1462" s="11" t="s">
        <v>5663</v>
      </c>
      <c r="H1462" s="11" t="s">
        <v>3414</v>
      </c>
      <c r="I1462" s="21">
        <f>-37-11/60</f>
        <v>-37.18333333333333</v>
      </c>
      <c r="J1462" s="21">
        <f>146+38/60</f>
        <v>146.63333333333333</v>
      </c>
      <c r="K1462" s="21">
        <f>4235*20</f>
        <v>84700</v>
      </c>
      <c r="L1462" s="11">
        <v>2009</v>
      </c>
      <c r="M1462" s="11">
        <v>2009</v>
      </c>
      <c r="N1462" s="21" t="s">
        <v>2276</v>
      </c>
      <c r="O1462" s="19" t="s">
        <v>67</v>
      </c>
      <c r="P1462" s="19" t="s">
        <v>5187</v>
      </c>
      <c r="Q1462" s="4" t="s">
        <v>9315</v>
      </c>
    </row>
    <row r="1463" spans="1:17" ht="42.5" customHeight="1">
      <c r="A1463" s="188">
        <v>389</v>
      </c>
      <c r="B1463" s="40" t="s">
        <v>9321</v>
      </c>
      <c r="C1463" s="11" t="s">
        <v>9322</v>
      </c>
      <c r="D1463" s="204" t="s">
        <v>2398</v>
      </c>
      <c r="E1463" s="204" t="s">
        <v>4847</v>
      </c>
      <c r="F1463" s="11" t="s">
        <v>2276</v>
      </c>
      <c r="G1463" s="11" t="s">
        <v>9323</v>
      </c>
      <c r="H1463" s="11" t="s">
        <v>4112</v>
      </c>
      <c r="I1463" s="21">
        <v>41.75</v>
      </c>
      <c r="J1463" s="21">
        <v>-116.5</v>
      </c>
      <c r="K1463" s="21">
        <v>3101174</v>
      </c>
      <c r="L1463" s="204">
        <v>2004</v>
      </c>
      <c r="M1463" s="204">
        <v>2008</v>
      </c>
      <c r="N1463" s="21" t="s">
        <v>2276</v>
      </c>
      <c r="O1463" s="19" t="s">
        <v>67</v>
      </c>
      <c r="P1463" s="19" t="s">
        <v>5187</v>
      </c>
      <c r="Q1463" s="204"/>
    </row>
    <row r="1464" spans="1:17" ht="55.5" customHeight="1">
      <c r="A1464" s="188">
        <v>389</v>
      </c>
      <c r="B1464" s="40" t="s">
        <v>9321</v>
      </c>
      <c r="C1464" s="11" t="s">
        <v>9345</v>
      </c>
      <c r="D1464" s="204" t="s">
        <v>2398</v>
      </c>
      <c r="E1464" s="204" t="s">
        <v>4847</v>
      </c>
      <c r="F1464" s="11" t="s">
        <v>9356</v>
      </c>
      <c r="G1464" s="11" t="s">
        <v>9341</v>
      </c>
      <c r="H1464" s="11" t="s">
        <v>4112</v>
      </c>
      <c r="I1464" s="21">
        <v>33.5</v>
      </c>
      <c r="J1464" s="21">
        <v>-112</v>
      </c>
      <c r="K1464" s="21">
        <v>295254</v>
      </c>
      <c r="L1464" s="204">
        <v>2004</v>
      </c>
      <c r="M1464" s="204">
        <v>2008</v>
      </c>
      <c r="N1464" s="21" t="s">
        <v>2276</v>
      </c>
      <c r="O1464" s="19" t="s">
        <v>67</v>
      </c>
      <c r="P1464" s="19" t="s">
        <v>5187</v>
      </c>
      <c r="Q1464" s="204"/>
    </row>
    <row r="1465" spans="1:17" ht="55.5" customHeight="1">
      <c r="A1465" s="188">
        <v>389</v>
      </c>
      <c r="B1465" s="40" t="s">
        <v>9321</v>
      </c>
      <c r="C1465" s="11" t="s">
        <v>9346</v>
      </c>
      <c r="D1465" s="204" t="s">
        <v>2398</v>
      </c>
      <c r="E1465" s="204" t="s">
        <v>4847</v>
      </c>
      <c r="F1465" s="64" t="s">
        <v>9356</v>
      </c>
      <c r="G1465" s="11" t="s">
        <v>4132</v>
      </c>
      <c r="H1465" s="11" t="s">
        <v>4112</v>
      </c>
      <c r="I1465" s="21">
        <v>38</v>
      </c>
      <c r="J1465" s="21">
        <v>-121.25</v>
      </c>
      <c r="K1465" s="21">
        <v>423970</v>
      </c>
      <c r="L1465" s="204">
        <v>2004</v>
      </c>
      <c r="M1465" s="204">
        <v>2008</v>
      </c>
      <c r="N1465" s="21" t="s">
        <v>2276</v>
      </c>
      <c r="O1465" s="19" t="s">
        <v>67</v>
      </c>
      <c r="P1465" s="19" t="s">
        <v>5187</v>
      </c>
      <c r="Q1465" s="4" t="s">
        <v>9357</v>
      </c>
    </row>
    <row r="1466" spans="1:17" ht="55.5" customHeight="1">
      <c r="A1466" s="188">
        <v>389</v>
      </c>
      <c r="B1466" s="40" t="s">
        <v>9321</v>
      </c>
      <c r="C1466" s="11" t="s">
        <v>9347</v>
      </c>
      <c r="D1466" s="204" t="s">
        <v>2398</v>
      </c>
      <c r="E1466" s="204" t="s">
        <v>4847</v>
      </c>
      <c r="F1466" s="64" t="s">
        <v>9356</v>
      </c>
      <c r="G1466" s="11" t="s">
        <v>7025</v>
      </c>
      <c r="H1466" s="11" t="s">
        <v>4112</v>
      </c>
      <c r="I1466" s="21">
        <v>39.75</v>
      </c>
      <c r="J1466" s="21">
        <v>-105</v>
      </c>
      <c r="K1466" s="21">
        <v>269837</v>
      </c>
      <c r="L1466" s="204">
        <v>2004</v>
      </c>
      <c r="M1466" s="204">
        <v>2008</v>
      </c>
      <c r="N1466" s="21" t="s">
        <v>2276</v>
      </c>
      <c r="O1466" s="19" t="s">
        <v>67</v>
      </c>
      <c r="P1466" s="19" t="s">
        <v>5187</v>
      </c>
      <c r="Q1466" s="4" t="s">
        <v>9357</v>
      </c>
    </row>
    <row r="1467" spans="1:17" ht="55.5" customHeight="1">
      <c r="A1467" s="188">
        <v>389</v>
      </c>
      <c r="B1467" s="40" t="s">
        <v>9321</v>
      </c>
      <c r="C1467" s="11" t="s">
        <v>9348</v>
      </c>
      <c r="D1467" s="204" t="s">
        <v>2398</v>
      </c>
      <c r="E1467" s="204" t="s">
        <v>4847</v>
      </c>
      <c r="F1467" s="64" t="s">
        <v>9356</v>
      </c>
      <c r="G1467" s="11" t="s">
        <v>7041</v>
      </c>
      <c r="H1467" s="11" t="s">
        <v>4112</v>
      </c>
      <c r="I1467" s="21">
        <v>43.75</v>
      </c>
      <c r="J1467" s="21">
        <v>-114</v>
      </c>
      <c r="K1467" s="21">
        <v>216632</v>
      </c>
      <c r="L1467" s="204">
        <v>2004</v>
      </c>
      <c r="M1467" s="204">
        <v>2008</v>
      </c>
      <c r="N1467" s="21" t="s">
        <v>2276</v>
      </c>
      <c r="O1467" s="19" t="s">
        <v>67</v>
      </c>
      <c r="P1467" s="19" t="s">
        <v>5187</v>
      </c>
      <c r="Q1467" s="4" t="s">
        <v>9357</v>
      </c>
    </row>
    <row r="1468" spans="1:17" ht="55.5" customHeight="1">
      <c r="A1468" s="188">
        <v>389</v>
      </c>
      <c r="B1468" s="40" t="s">
        <v>9321</v>
      </c>
      <c r="C1468" s="11" t="s">
        <v>9349</v>
      </c>
      <c r="D1468" s="204" t="s">
        <v>2398</v>
      </c>
      <c r="E1468" s="204" t="s">
        <v>4847</v>
      </c>
      <c r="F1468" s="64" t="s">
        <v>9356</v>
      </c>
      <c r="G1468" s="11" t="s">
        <v>9342</v>
      </c>
      <c r="H1468" s="11" t="s">
        <v>4112</v>
      </c>
      <c r="I1468" s="21">
        <v>46</v>
      </c>
      <c r="J1468" s="21">
        <v>-112.5</v>
      </c>
      <c r="K1468" s="21">
        <v>380832</v>
      </c>
      <c r="L1468" s="204">
        <v>2004</v>
      </c>
      <c r="M1468" s="204">
        <v>2008</v>
      </c>
      <c r="N1468" s="21" t="s">
        <v>2276</v>
      </c>
      <c r="O1468" s="19" t="s">
        <v>67</v>
      </c>
      <c r="P1468" s="19" t="s">
        <v>5187</v>
      </c>
      <c r="Q1468" s="4" t="s">
        <v>9357</v>
      </c>
    </row>
    <row r="1469" spans="1:17" ht="55.5" customHeight="1">
      <c r="A1469" s="188">
        <v>389</v>
      </c>
      <c r="B1469" s="40" t="s">
        <v>9321</v>
      </c>
      <c r="C1469" s="11" t="s">
        <v>9350</v>
      </c>
      <c r="D1469" s="204" t="s">
        <v>2398</v>
      </c>
      <c r="E1469" s="204" t="s">
        <v>4847</v>
      </c>
      <c r="F1469" s="64" t="s">
        <v>9356</v>
      </c>
      <c r="G1469" s="11" t="s">
        <v>9344</v>
      </c>
      <c r="H1469" s="11" t="s">
        <v>4112</v>
      </c>
      <c r="I1469" s="21">
        <v>35</v>
      </c>
      <c r="J1469" s="21">
        <v>-106.75</v>
      </c>
      <c r="K1469" s="21">
        <v>315194</v>
      </c>
      <c r="L1469" s="204">
        <v>2004</v>
      </c>
      <c r="M1469" s="204">
        <v>2008</v>
      </c>
      <c r="N1469" s="21" t="s">
        <v>2276</v>
      </c>
      <c r="O1469" s="19" t="s">
        <v>67</v>
      </c>
      <c r="P1469" s="19" t="s">
        <v>5187</v>
      </c>
      <c r="Q1469" s="4" t="s">
        <v>9357</v>
      </c>
    </row>
    <row r="1470" spans="1:17" ht="55.5" customHeight="1">
      <c r="A1470" s="188">
        <v>389</v>
      </c>
      <c r="B1470" s="40" t="s">
        <v>9321</v>
      </c>
      <c r="C1470" s="11" t="s">
        <v>9351</v>
      </c>
      <c r="D1470" s="204" t="s">
        <v>2398</v>
      </c>
      <c r="E1470" s="204" t="s">
        <v>4847</v>
      </c>
      <c r="F1470" s="64" t="s">
        <v>9356</v>
      </c>
      <c r="G1470" s="11" t="s">
        <v>8002</v>
      </c>
      <c r="H1470" s="11" t="s">
        <v>4112</v>
      </c>
      <c r="I1470" s="21">
        <v>36</v>
      </c>
      <c r="J1470" s="21">
        <v>-115</v>
      </c>
      <c r="K1470" s="21">
        <v>286367</v>
      </c>
      <c r="L1470" s="204">
        <v>2004</v>
      </c>
      <c r="M1470" s="204">
        <v>2008</v>
      </c>
      <c r="N1470" s="21" t="s">
        <v>2276</v>
      </c>
      <c r="O1470" s="19" t="s">
        <v>67</v>
      </c>
      <c r="P1470" s="19" t="s">
        <v>5187</v>
      </c>
      <c r="Q1470" s="4" t="s">
        <v>9357</v>
      </c>
    </row>
    <row r="1471" spans="1:17" ht="55.5" customHeight="1">
      <c r="A1471" s="188">
        <v>389</v>
      </c>
      <c r="B1471" s="40" t="s">
        <v>9321</v>
      </c>
      <c r="C1471" s="11" t="s">
        <v>9352</v>
      </c>
      <c r="D1471" s="204" t="s">
        <v>2398</v>
      </c>
      <c r="E1471" s="204" t="s">
        <v>4847</v>
      </c>
      <c r="F1471" s="64" t="s">
        <v>9356</v>
      </c>
      <c r="G1471" s="11" t="s">
        <v>6382</v>
      </c>
      <c r="H1471" s="11" t="s">
        <v>4112</v>
      </c>
      <c r="I1471" s="21">
        <v>44</v>
      </c>
      <c r="J1471" s="21">
        <v>-122</v>
      </c>
      <c r="K1471" s="21">
        <v>255026</v>
      </c>
      <c r="L1471" s="204">
        <v>2004</v>
      </c>
      <c r="M1471" s="204">
        <v>2008</v>
      </c>
      <c r="N1471" s="21" t="s">
        <v>2276</v>
      </c>
      <c r="O1471" s="19" t="s">
        <v>67</v>
      </c>
      <c r="P1471" s="19" t="s">
        <v>5187</v>
      </c>
      <c r="Q1471" s="4" t="s">
        <v>9357</v>
      </c>
    </row>
    <row r="1472" spans="1:17" ht="55.5" customHeight="1">
      <c r="A1472" s="188">
        <v>389</v>
      </c>
      <c r="B1472" s="40" t="s">
        <v>9321</v>
      </c>
      <c r="C1472" s="11" t="s">
        <v>9353</v>
      </c>
      <c r="D1472" s="204" t="s">
        <v>2398</v>
      </c>
      <c r="E1472" s="204" t="s">
        <v>4847</v>
      </c>
      <c r="F1472" s="64" t="s">
        <v>9356</v>
      </c>
      <c r="G1472" s="11" t="s">
        <v>8003</v>
      </c>
      <c r="H1472" s="11" t="s">
        <v>4112</v>
      </c>
      <c r="I1472" s="21">
        <v>42.75</v>
      </c>
      <c r="J1472" s="21">
        <v>112</v>
      </c>
      <c r="K1472" s="21">
        <v>219887</v>
      </c>
      <c r="L1472" s="204">
        <v>2004</v>
      </c>
      <c r="M1472" s="204">
        <v>2008</v>
      </c>
      <c r="N1472" s="21" t="s">
        <v>2276</v>
      </c>
      <c r="O1472" s="19" t="s">
        <v>67</v>
      </c>
      <c r="P1472" s="19" t="s">
        <v>5187</v>
      </c>
      <c r="Q1472" s="4" t="s">
        <v>9357</v>
      </c>
    </row>
    <row r="1473" spans="1:17" ht="55.5" customHeight="1">
      <c r="A1473" s="188">
        <v>389</v>
      </c>
      <c r="B1473" s="40" t="s">
        <v>9321</v>
      </c>
      <c r="C1473" s="11" t="s">
        <v>9354</v>
      </c>
      <c r="D1473" s="204" t="s">
        <v>2398</v>
      </c>
      <c r="E1473" s="204" t="s">
        <v>4847</v>
      </c>
      <c r="F1473" s="64" t="s">
        <v>9356</v>
      </c>
      <c r="G1473" s="11" t="s">
        <v>5677</v>
      </c>
      <c r="H1473" s="11" t="s">
        <v>4112</v>
      </c>
      <c r="I1473" s="21">
        <v>47</v>
      </c>
      <c r="J1473" s="21">
        <v>121</v>
      </c>
      <c r="K1473" s="21">
        <v>184827</v>
      </c>
      <c r="L1473" s="204">
        <v>2004</v>
      </c>
      <c r="M1473" s="204">
        <v>2008</v>
      </c>
      <c r="N1473" s="21" t="s">
        <v>2276</v>
      </c>
      <c r="O1473" s="19" t="s">
        <v>67</v>
      </c>
      <c r="P1473" s="19" t="s">
        <v>5187</v>
      </c>
      <c r="Q1473" s="4" t="s">
        <v>9357</v>
      </c>
    </row>
    <row r="1474" spans="1:17" ht="55.5" customHeight="1">
      <c r="A1474" s="188">
        <v>389</v>
      </c>
      <c r="B1474" s="40" t="s">
        <v>9321</v>
      </c>
      <c r="C1474" s="11" t="s">
        <v>9355</v>
      </c>
      <c r="D1474" s="204" t="s">
        <v>2398</v>
      </c>
      <c r="E1474" s="204" t="s">
        <v>4847</v>
      </c>
      <c r="F1474" s="64" t="s">
        <v>9356</v>
      </c>
      <c r="G1474" s="11" t="s">
        <v>9343</v>
      </c>
      <c r="H1474" s="11" t="s">
        <v>4112</v>
      </c>
      <c r="I1474" s="21">
        <v>42.75</v>
      </c>
      <c r="J1474" s="21">
        <v>-106.25</v>
      </c>
      <c r="K1474" s="21">
        <v>253348</v>
      </c>
      <c r="L1474" s="204">
        <v>2004</v>
      </c>
      <c r="M1474" s="204">
        <v>2008</v>
      </c>
      <c r="N1474" s="21" t="s">
        <v>2276</v>
      </c>
      <c r="O1474" s="19" t="s">
        <v>67</v>
      </c>
      <c r="P1474" s="19" t="s">
        <v>5187</v>
      </c>
      <c r="Q1474" s="4" t="s">
        <v>9357</v>
      </c>
    </row>
    <row r="1475" spans="1:17" ht="42.5" customHeight="1">
      <c r="A1475" s="188">
        <v>390</v>
      </c>
      <c r="B1475" s="40" t="s">
        <v>9370</v>
      </c>
      <c r="C1475" s="11" t="s">
        <v>9371</v>
      </c>
      <c r="D1475" s="204" t="s">
        <v>2398</v>
      </c>
      <c r="E1475" s="204" t="s">
        <v>6801</v>
      </c>
      <c r="F1475" s="11" t="s">
        <v>2276</v>
      </c>
      <c r="G1475" s="11" t="s">
        <v>9372</v>
      </c>
      <c r="H1475" s="11" t="s">
        <v>6324</v>
      </c>
      <c r="I1475" s="21">
        <v>65</v>
      </c>
      <c r="J1475" s="21">
        <v>79</v>
      </c>
      <c r="K1475" s="21">
        <f>(1118)*10000</f>
        <v>11180000</v>
      </c>
      <c r="L1475" s="11">
        <v>2003</v>
      </c>
      <c r="M1475" s="11">
        <v>2004</v>
      </c>
      <c r="N1475" s="21" t="s">
        <v>2276</v>
      </c>
      <c r="O1475" s="19" t="s">
        <v>67</v>
      </c>
      <c r="P1475" s="19" t="s">
        <v>5187</v>
      </c>
      <c r="Q1475" s="204"/>
    </row>
    <row r="1476" spans="1:17" ht="45.5" customHeight="1">
      <c r="A1476" s="188">
        <v>390</v>
      </c>
      <c r="B1476" s="41" t="s">
        <v>9380</v>
      </c>
      <c r="C1476" s="11" t="s">
        <v>9381</v>
      </c>
      <c r="D1476" s="204" t="s">
        <v>2398</v>
      </c>
      <c r="E1476" s="204" t="s">
        <v>4847</v>
      </c>
      <c r="F1476" s="11" t="s">
        <v>2276</v>
      </c>
      <c r="G1476" s="11" t="s">
        <v>2276</v>
      </c>
      <c r="H1476" s="11" t="s">
        <v>6324</v>
      </c>
      <c r="I1476" s="21">
        <v>61.5</v>
      </c>
      <c r="J1476" s="21">
        <v>76</v>
      </c>
      <c r="K1476" s="21">
        <v>17100000</v>
      </c>
      <c r="L1476" s="11">
        <v>2003</v>
      </c>
      <c r="M1476" s="11">
        <v>2004</v>
      </c>
      <c r="N1476" s="21" t="s">
        <v>2276</v>
      </c>
      <c r="O1476" s="19" t="s">
        <v>67</v>
      </c>
      <c r="P1476" s="19" t="s">
        <v>5187</v>
      </c>
      <c r="Q1476" s="204"/>
    </row>
    <row r="1477" spans="1:17" ht="45.5" customHeight="1">
      <c r="A1477" s="188">
        <v>391</v>
      </c>
      <c r="B1477" s="40" t="s">
        <v>9388</v>
      </c>
      <c r="C1477" s="11" t="s">
        <v>9382</v>
      </c>
      <c r="D1477" s="204" t="s">
        <v>2398</v>
      </c>
      <c r="E1477" s="204" t="s">
        <v>2399</v>
      </c>
      <c r="F1477" s="204" t="s">
        <v>9385</v>
      </c>
      <c r="G1477" s="204" t="s">
        <v>9386</v>
      </c>
      <c r="H1477" s="204" t="s">
        <v>88</v>
      </c>
      <c r="I1477" s="21">
        <f>10+7.5/60</f>
        <v>10.125</v>
      </c>
      <c r="J1477" s="21">
        <f>AVERAGE(77+46/60, 77+51/60)</f>
        <v>77.808333333333337</v>
      </c>
      <c r="K1477" s="21">
        <f>13330/296</f>
        <v>45.033783783783782</v>
      </c>
      <c r="L1477" s="204">
        <v>1999</v>
      </c>
      <c r="M1477" s="204">
        <v>2001</v>
      </c>
      <c r="N1477" s="21">
        <f>296</f>
        <v>296</v>
      </c>
      <c r="O1477" s="19" t="s">
        <v>67</v>
      </c>
      <c r="P1477" s="19" t="s">
        <v>5187</v>
      </c>
      <c r="Q1477" s="204"/>
    </row>
    <row r="1478" spans="1:17" ht="41" customHeight="1">
      <c r="A1478" s="188">
        <v>392</v>
      </c>
      <c r="B1478" s="40" t="s">
        <v>9404</v>
      </c>
      <c r="C1478" s="11" t="s">
        <v>9405</v>
      </c>
      <c r="D1478" s="204" t="s">
        <v>2398</v>
      </c>
      <c r="E1478" s="204" t="s">
        <v>2400</v>
      </c>
      <c r="F1478" s="204" t="s">
        <v>9406</v>
      </c>
      <c r="G1478" s="204" t="s">
        <v>1168</v>
      </c>
      <c r="H1478" s="204" t="s">
        <v>895</v>
      </c>
      <c r="I1478" s="21">
        <v>0.5</v>
      </c>
      <c r="J1478" s="21">
        <v>101</v>
      </c>
      <c r="K1478" s="21">
        <f>174994/100</f>
        <v>1749.94</v>
      </c>
      <c r="L1478" s="204">
        <v>1992</v>
      </c>
      <c r="M1478" s="204">
        <v>2000</v>
      </c>
      <c r="N1478" s="21" t="s">
        <v>2276</v>
      </c>
      <c r="O1478" s="19" t="s">
        <v>67</v>
      </c>
      <c r="P1478" s="19" t="s">
        <v>5187</v>
      </c>
      <c r="Q1478" s="204"/>
    </row>
    <row r="1479" spans="1:17" ht="48" customHeight="1">
      <c r="A1479" s="188">
        <v>392</v>
      </c>
      <c r="B1479" s="40" t="s">
        <v>9404</v>
      </c>
      <c r="C1479" s="11" t="s">
        <v>9414</v>
      </c>
      <c r="D1479" s="204" t="s">
        <v>2398</v>
      </c>
      <c r="E1479" s="204" t="s">
        <v>2400</v>
      </c>
      <c r="F1479" s="11" t="s">
        <v>9415</v>
      </c>
      <c r="G1479" s="11" t="s">
        <v>1168</v>
      </c>
      <c r="H1479" s="204" t="s">
        <v>895</v>
      </c>
      <c r="I1479" s="21">
        <v>0.5</v>
      </c>
      <c r="J1479" s="21">
        <v>101.75</v>
      </c>
      <c r="K1479" s="21">
        <v>87024</v>
      </c>
      <c r="L1479" s="204">
        <v>1997</v>
      </c>
      <c r="M1479" s="204">
        <v>1998</v>
      </c>
      <c r="N1479" s="21" t="s">
        <v>2276</v>
      </c>
      <c r="O1479" s="19" t="s">
        <v>67</v>
      </c>
      <c r="P1479" s="19" t="s">
        <v>5187</v>
      </c>
      <c r="Q1479" s="204"/>
    </row>
    <row r="1480" spans="1:17" ht="45.5" customHeight="1">
      <c r="A1480" s="188">
        <v>393</v>
      </c>
      <c r="B1480" s="40" t="s">
        <v>9425</v>
      </c>
      <c r="C1480" s="11" t="s">
        <v>9426</v>
      </c>
      <c r="D1480" s="204" t="s">
        <v>2398</v>
      </c>
      <c r="E1480" s="204" t="s">
        <v>2399</v>
      </c>
      <c r="F1480" s="11" t="s">
        <v>2276</v>
      </c>
      <c r="G1480" s="11" t="s">
        <v>9427</v>
      </c>
      <c r="H1480" s="11" t="s">
        <v>9436</v>
      </c>
      <c r="I1480" s="21">
        <f>12+9/60</f>
        <v>12.15</v>
      </c>
      <c r="J1480" s="21">
        <v>-14.1</v>
      </c>
      <c r="K1480" s="74">
        <f>220000/N1480</f>
        <v>9322.0338983050842</v>
      </c>
      <c r="L1480" s="11">
        <v>2011</v>
      </c>
      <c r="M1480" s="11">
        <v>2013</v>
      </c>
      <c r="N1480" s="21">
        <f>23.6</f>
        <v>23.6</v>
      </c>
      <c r="O1480" s="19" t="s">
        <v>67</v>
      </c>
      <c r="P1480" s="19" t="s">
        <v>5187</v>
      </c>
      <c r="Q1480" s="204"/>
    </row>
    <row r="1481" spans="1:17" ht="45.5" customHeight="1">
      <c r="A1481" s="188">
        <v>393</v>
      </c>
      <c r="B1481" s="40" t="s">
        <v>9425</v>
      </c>
      <c r="C1481" s="11" t="s">
        <v>9432</v>
      </c>
      <c r="D1481" s="204" t="s">
        <v>2398</v>
      </c>
      <c r="E1481" s="204" t="s">
        <v>2399</v>
      </c>
      <c r="F1481" s="11" t="s">
        <v>2276</v>
      </c>
      <c r="G1481" s="11" t="s">
        <v>9428</v>
      </c>
      <c r="H1481" s="11" t="s">
        <v>9436</v>
      </c>
      <c r="I1481" s="21">
        <f>12+9/60</f>
        <v>12.15</v>
      </c>
      <c r="J1481" s="21">
        <f>-14-42/60</f>
        <v>-14.7</v>
      </c>
      <c r="K1481" s="74">
        <f>215000/N1481</f>
        <v>6125.3561253561247</v>
      </c>
      <c r="L1481" s="11">
        <v>2011</v>
      </c>
      <c r="M1481" s="11">
        <v>2013</v>
      </c>
      <c r="N1481" s="21">
        <f>35.1</f>
        <v>35.1</v>
      </c>
      <c r="O1481" s="19" t="s">
        <v>67</v>
      </c>
      <c r="P1481" s="19" t="s">
        <v>5187</v>
      </c>
      <c r="Q1481" s="204"/>
    </row>
    <row r="1482" spans="1:17" ht="45.5" customHeight="1">
      <c r="A1482" s="188">
        <v>393</v>
      </c>
      <c r="B1482" s="40" t="s">
        <v>9425</v>
      </c>
      <c r="C1482" s="11" t="s">
        <v>9433</v>
      </c>
      <c r="D1482" s="204" t="s">
        <v>2398</v>
      </c>
      <c r="E1482" s="204" t="s">
        <v>2399</v>
      </c>
      <c r="F1482" s="11" t="s">
        <v>2276</v>
      </c>
      <c r="G1482" s="11" t="s">
        <v>9429</v>
      </c>
      <c r="H1482" s="11" t="s">
        <v>9436</v>
      </c>
      <c r="I1482" s="21">
        <f>12+16.5/60</f>
        <v>12.275</v>
      </c>
      <c r="J1482" s="21">
        <f>-15-1/3</f>
        <v>-15.333333333333334</v>
      </c>
      <c r="K1482" s="74">
        <f>230000/N1482</f>
        <v>5528.8461538461534</v>
      </c>
      <c r="L1482" s="11">
        <v>2011</v>
      </c>
      <c r="M1482" s="11">
        <v>2013</v>
      </c>
      <c r="N1482" s="21">
        <f>41.6</f>
        <v>41.6</v>
      </c>
      <c r="O1482" s="19" t="s">
        <v>67</v>
      </c>
      <c r="P1482" s="19" t="s">
        <v>5187</v>
      </c>
      <c r="Q1482" s="204"/>
    </row>
    <row r="1483" spans="1:17" ht="45.5" customHeight="1">
      <c r="A1483" s="188">
        <v>393</v>
      </c>
      <c r="B1483" s="40" t="s">
        <v>9425</v>
      </c>
      <c r="C1483" s="11" t="s">
        <v>9434</v>
      </c>
      <c r="D1483" s="204" t="s">
        <v>2398</v>
      </c>
      <c r="E1483" s="204" t="s">
        <v>2399</v>
      </c>
      <c r="F1483" s="11" t="s">
        <v>2276</v>
      </c>
      <c r="G1483" s="11" t="s">
        <v>9430</v>
      </c>
      <c r="H1483" s="11" t="s">
        <v>9436</v>
      </c>
      <c r="I1483" s="21">
        <f>11+19/60</f>
        <v>11.316666666666666</v>
      </c>
      <c r="J1483" s="21">
        <f>-15</f>
        <v>-15</v>
      </c>
      <c r="K1483" s="74">
        <f>100000/N1483</f>
        <v>3937.0078740157483</v>
      </c>
      <c r="L1483" s="11">
        <v>2011</v>
      </c>
      <c r="M1483" s="11">
        <v>2013</v>
      </c>
      <c r="N1483" s="21">
        <f>25.4</f>
        <v>25.4</v>
      </c>
      <c r="O1483" s="19" t="s">
        <v>67</v>
      </c>
      <c r="P1483" s="19" t="s">
        <v>5187</v>
      </c>
      <c r="Q1483" s="204"/>
    </row>
    <row r="1484" spans="1:17" ht="39" customHeight="1">
      <c r="A1484" s="188">
        <v>393</v>
      </c>
      <c r="B1484" s="40" t="s">
        <v>9425</v>
      </c>
      <c r="C1484" s="11" t="s">
        <v>9431</v>
      </c>
      <c r="D1484" s="204" t="s">
        <v>2398</v>
      </c>
      <c r="E1484" s="204" t="s">
        <v>2399</v>
      </c>
      <c r="F1484" s="11" t="s">
        <v>2276</v>
      </c>
      <c r="G1484" s="11" t="s">
        <v>9435</v>
      </c>
      <c r="H1484" s="11" t="s">
        <v>9436</v>
      </c>
      <c r="I1484" s="21">
        <f>11+48/60</f>
        <v>11.8</v>
      </c>
      <c r="J1484" s="21">
        <f>-15-1/6</f>
        <v>-15.166666666666666</v>
      </c>
      <c r="K1484" s="74">
        <f>60000/N1484</f>
        <v>2955.6650246305417</v>
      </c>
      <c r="L1484" s="11">
        <v>2011</v>
      </c>
      <c r="M1484" s="11">
        <v>2013</v>
      </c>
      <c r="N1484" s="21">
        <f>20.3</f>
        <v>20.3</v>
      </c>
      <c r="O1484" s="19" t="s">
        <v>67</v>
      </c>
      <c r="P1484" s="19" t="s">
        <v>5187</v>
      </c>
      <c r="Q1484" s="204"/>
    </row>
    <row r="1485" spans="1:17" ht="44.5" customHeight="1">
      <c r="A1485" s="188">
        <v>394</v>
      </c>
      <c r="B1485" s="40" t="s">
        <v>9465</v>
      </c>
      <c r="C1485" s="11" t="s">
        <v>9466</v>
      </c>
      <c r="D1485" s="204" t="s">
        <v>2398</v>
      </c>
      <c r="E1485" s="204" t="s">
        <v>4847</v>
      </c>
      <c r="F1485" s="11" t="s">
        <v>2276</v>
      </c>
      <c r="G1485" s="11" t="s">
        <v>2276</v>
      </c>
      <c r="H1485" s="11" t="s">
        <v>4032</v>
      </c>
      <c r="I1485" s="21">
        <v>47</v>
      </c>
      <c r="J1485" s="21">
        <v>104</v>
      </c>
      <c r="K1485" s="21">
        <v>1560000</v>
      </c>
      <c r="L1485" s="11">
        <v>1990</v>
      </c>
      <c r="M1485" s="11">
        <v>2009</v>
      </c>
      <c r="N1485" s="21" t="s">
        <v>2276</v>
      </c>
      <c r="O1485" s="19" t="s">
        <v>67</v>
      </c>
      <c r="P1485" s="19" t="s">
        <v>5187</v>
      </c>
      <c r="Q1485" s="204"/>
    </row>
    <row r="1486" spans="1:17" ht="53" customHeight="1">
      <c r="A1486" s="188">
        <v>394</v>
      </c>
      <c r="B1486" s="40" t="s">
        <v>9465</v>
      </c>
      <c r="C1486" s="11" t="s">
        <v>9467</v>
      </c>
      <c r="D1486" s="204" t="s">
        <v>2398</v>
      </c>
      <c r="E1486" s="204" t="s">
        <v>2399</v>
      </c>
      <c r="F1486" s="144" t="s">
        <v>9472</v>
      </c>
      <c r="G1486" s="204" t="s">
        <v>9471</v>
      </c>
      <c r="H1486" s="11" t="s">
        <v>4032</v>
      </c>
      <c r="I1486" s="21">
        <f>49+AVERAGE(10/60, 10.5/60)</f>
        <v>49.170833333333334</v>
      </c>
      <c r="J1486" s="21">
        <f>107+19/60</f>
        <v>107.31666666666666</v>
      </c>
      <c r="K1486" s="21">
        <f>0.0016*10</f>
        <v>1.6E-2</v>
      </c>
      <c r="L1486" s="204">
        <v>1753</v>
      </c>
      <c r="M1486" s="204">
        <v>2009</v>
      </c>
      <c r="N1486" s="204">
        <v>0</v>
      </c>
      <c r="O1486" s="19" t="s">
        <v>67</v>
      </c>
      <c r="P1486" s="19" t="s">
        <v>5187</v>
      </c>
      <c r="Q1486" s="4" t="s">
        <v>8100</v>
      </c>
    </row>
    <row r="1487" spans="1:17" ht="53" customHeight="1">
      <c r="A1487" s="188">
        <v>394</v>
      </c>
      <c r="B1487" s="40" t="s">
        <v>9465</v>
      </c>
      <c r="C1487" s="11" t="s">
        <v>9468</v>
      </c>
      <c r="D1487" s="204" t="s">
        <v>2398</v>
      </c>
      <c r="E1487" s="204" t="s">
        <v>2399</v>
      </c>
      <c r="F1487" s="64" t="s">
        <v>9473</v>
      </c>
      <c r="G1487" s="204" t="s">
        <v>9471</v>
      </c>
      <c r="H1487" s="11" t="s">
        <v>4032</v>
      </c>
      <c r="I1487" s="21">
        <f>49+AVERAGE(10/60, 10.5/60)</f>
        <v>49.170833333333334</v>
      </c>
      <c r="J1487" s="21">
        <f>107+19/60</f>
        <v>107.31666666666666</v>
      </c>
      <c r="K1487" s="21">
        <f t="shared" ref="K1487:K1489" si="20">0.0016*10</f>
        <v>1.6E-2</v>
      </c>
      <c r="L1487" s="204">
        <v>1753</v>
      </c>
      <c r="M1487" s="204">
        <v>2009</v>
      </c>
      <c r="N1487" s="204">
        <v>0</v>
      </c>
      <c r="O1487" s="19" t="s">
        <v>67</v>
      </c>
      <c r="P1487" s="19" t="s">
        <v>5187</v>
      </c>
      <c r="Q1487" s="4" t="s">
        <v>8100</v>
      </c>
    </row>
    <row r="1488" spans="1:17" ht="53" customHeight="1">
      <c r="A1488" s="188">
        <v>394</v>
      </c>
      <c r="B1488" s="40" t="s">
        <v>9465</v>
      </c>
      <c r="C1488" s="11" t="s">
        <v>9469</v>
      </c>
      <c r="D1488" s="204" t="s">
        <v>2398</v>
      </c>
      <c r="E1488" s="204" t="s">
        <v>2399</v>
      </c>
      <c r="F1488" s="64" t="s">
        <v>9475</v>
      </c>
      <c r="G1488" s="204" t="s">
        <v>9471</v>
      </c>
      <c r="H1488" s="11" t="s">
        <v>4032</v>
      </c>
      <c r="I1488" s="21">
        <f>49 + 5/60</f>
        <v>49.083333333333336</v>
      </c>
      <c r="J1488" s="21">
        <f>107 + 17/60</f>
        <v>107.28333333333333</v>
      </c>
      <c r="K1488" s="21">
        <f t="shared" si="20"/>
        <v>1.6E-2</v>
      </c>
      <c r="L1488" s="204">
        <v>1752</v>
      </c>
      <c r="M1488" s="204">
        <v>2009</v>
      </c>
      <c r="N1488" s="204">
        <v>0</v>
      </c>
      <c r="O1488" s="19" t="s">
        <v>67</v>
      </c>
      <c r="P1488" s="19" t="s">
        <v>5187</v>
      </c>
      <c r="Q1488" s="4" t="s">
        <v>8100</v>
      </c>
    </row>
    <row r="1489" spans="1:17" ht="53" customHeight="1">
      <c r="A1489" s="188">
        <v>394</v>
      </c>
      <c r="B1489" s="40" t="s">
        <v>9465</v>
      </c>
      <c r="C1489" s="11" t="s">
        <v>9470</v>
      </c>
      <c r="D1489" s="204" t="s">
        <v>2398</v>
      </c>
      <c r="E1489" s="204" t="s">
        <v>2399</v>
      </c>
      <c r="F1489" s="64" t="s">
        <v>9474</v>
      </c>
      <c r="G1489" s="204" t="s">
        <v>9471</v>
      </c>
      <c r="H1489" s="11" t="s">
        <v>4032</v>
      </c>
      <c r="I1489" s="21">
        <f>49 + 5/60</f>
        <v>49.083333333333336</v>
      </c>
      <c r="J1489" s="21">
        <f>107 + 17/60</f>
        <v>107.28333333333333</v>
      </c>
      <c r="K1489" s="21">
        <f t="shared" si="20"/>
        <v>1.6E-2</v>
      </c>
      <c r="L1489" s="204">
        <v>1798</v>
      </c>
      <c r="M1489" s="204">
        <v>2009</v>
      </c>
      <c r="N1489" s="204">
        <v>0</v>
      </c>
      <c r="O1489" s="19" t="s">
        <v>67</v>
      </c>
      <c r="P1489" s="19" t="s">
        <v>5187</v>
      </c>
      <c r="Q1489" s="4" t="s">
        <v>8100</v>
      </c>
    </row>
    <row r="1490" spans="1:17" ht="42.5" customHeight="1">
      <c r="A1490" s="188">
        <v>395</v>
      </c>
      <c r="B1490" s="40" t="s">
        <v>9486</v>
      </c>
      <c r="C1490" s="11" t="s">
        <v>9487</v>
      </c>
      <c r="D1490" s="204" t="s">
        <v>2416</v>
      </c>
      <c r="E1490" s="204" t="s">
        <v>2399</v>
      </c>
      <c r="F1490" s="11" t="s">
        <v>2276</v>
      </c>
      <c r="G1490" s="23" t="s">
        <v>9488</v>
      </c>
      <c r="H1490" s="11" t="s">
        <v>6324</v>
      </c>
      <c r="I1490" s="21">
        <f>53+19/60</f>
        <v>53.31666666666667</v>
      </c>
      <c r="J1490" s="21">
        <f>110.75</f>
        <v>110.75</v>
      </c>
      <c r="K1490" s="21">
        <v>351000</v>
      </c>
      <c r="L1490" s="11">
        <v>2019</v>
      </c>
      <c r="M1490" s="11">
        <v>2019</v>
      </c>
      <c r="N1490" s="21" t="s">
        <v>2276</v>
      </c>
      <c r="O1490" s="19" t="s">
        <v>67</v>
      </c>
      <c r="P1490" s="19" t="s">
        <v>5187</v>
      </c>
      <c r="Q1490" s="204"/>
    </row>
    <row r="1491" spans="1:17" ht="41.5" customHeight="1">
      <c r="A1491" s="188">
        <v>396</v>
      </c>
      <c r="B1491" s="40" t="s">
        <v>9491</v>
      </c>
      <c r="C1491" s="11" t="s">
        <v>9492</v>
      </c>
      <c r="D1491" s="204" t="s">
        <v>2398</v>
      </c>
      <c r="E1491" s="204" t="s">
        <v>2636</v>
      </c>
      <c r="F1491" s="11" t="s">
        <v>2276</v>
      </c>
      <c r="G1491" s="11" t="s">
        <v>2276</v>
      </c>
      <c r="H1491" s="11" t="s">
        <v>6086</v>
      </c>
      <c r="I1491" s="21">
        <v>8</v>
      </c>
      <c r="J1491" s="21">
        <v>-5</v>
      </c>
      <c r="K1491" s="21">
        <f>2000000/100</f>
        <v>20000</v>
      </c>
      <c r="L1491" s="11">
        <v>1985</v>
      </c>
      <c r="M1491" s="11">
        <v>2012</v>
      </c>
      <c r="N1491" s="21" t="s">
        <v>2276</v>
      </c>
      <c r="O1491" s="19" t="s">
        <v>67</v>
      </c>
      <c r="P1491" s="19" t="s">
        <v>5187</v>
      </c>
      <c r="Q1491" s="204" t="s">
        <v>9494</v>
      </c>
    </row>
    <row r="1492" spans="1:17" ht="51" customHeight="1">
      <c r="A1492" s="188">
        <v>396</v>
      </c>
      <c r="B1492" s="40" t="s">
        <v>9491</v>
      </c>
      <c r="C1492" s="11" t="s">
        <v>9493</v>
      </c>
      <c r="D1492" s="204" t="s">
        <v>2398</v>
      </c>
      <c r="E1492" s="204" t="s">
        <v>2636</v>
      </c>
      <c r="F1492" s="11" t="s">
        <v>2276</v>
      </c>
      <c r="G1492" s="11" t="s">
        <v>2276</v>
      </c>
      <c r="H1492" s="11" t="s">
        <v>6086</v>
      </c>
      <c r="I1492" s="21">
        <v>8</v>
      </c>
      <c r="J1492" s="21">
        <v>-5</v>
      </c>
      <c r="K1492" s="21">
        <v>5000</v>
      </c>
      <c r="L1492" s="11">
        <v>1961</v>
      </c>
      <c r="M1492" s="11">
        <v>1985</v>
      </c>
      <c r="N1492" s="21" t="s">
        <v>2276</v>
      </c>
      <c r="O1492" s="19" t="s">
        <v>67</v>
      </c>
      <c r="P1492" s="19" t="s">
        <v>5187</v>
      </c>
      <c r="Q1492" s="204" t="s">
        <v>9494</v>
      </c>
    </row>
    <row r="1493" spans="1:17" ht="46.5" customHeight="1">
      <c r="A1493" s="188">
        <v>397</v>
      </c>
      <c r="B1493" s="40" t="s">
        <v>9503</v>
      </c>
      <c r="C1493" s="11" t="s">
        <v>9504</v>
      </c>
      <c r="D1493" s="204" t="s">
        <v>2398</v>
      </c>
      <c r="E1493" s="204" t="s">
        <v>6801</v>
      </c>
      <c r="F1493" s="11" t="s">
        <v>2276</v>
      </c>
      <c r="G1493" s="11" t="s">
        <v>9505</v>
      </c>
      <c r="H1493" s="11" t="s">
        <v>779</v>
      </c>
      <c r="I1493" s="21">
        <f>12+35/60</f>
        <v>12.583333333333334</v>
      </c>
      <c r="J1493" s="21">
        <f>108+5/60</f>
        <v>108.08333333333333</v>
      </c>
      <c r="K1493" s="21">
        <f>7478</f>
        <v>7478</v>
      </c>
      <c r="L1493" s="11">
        <v>1999</v>
      </c>
      <c r="M1493" s="11">
        <v>2009</v>
      </c>
      <c r="N1493" s="21" t="s">
        <v>2276</v>
      </c>
      <c r="O1493" s="19" t="s">
        <v>149</v>
      </c>
      <c r="P1493" s="19" t="s">
        <v>5187</v>
      </c>
      <c r="Q1493" s="204"/>
    </row>
    <row r="1494" spans="1:17" ht="45.5" customHeight="1">
      <c r="A1494" s="188">
        <v>397</v>
      </c>
      <c r="B1494" s="40" t="s">
        <v>9503</v>
      </c>
      <c r="C1494" s="11" t="s">
        <v>9506</v>
      </c>
      <c r="D1494" s="204" t="s">
        <v>2398</v>
      </c>
      <c r="E1494" s="204" t="s">
        <v>6801</v>
      </c>
      <c r="F1494" s="11" t="s">
        <v>2276</v>
      </c>
      <c r="G1494" s="11" t="s">
        <v>9505</v>
      </c>
      <c r="H1494" s="11" t="s">
        <v>779</v>
      </c>
      <c r="I1494" s="21">
        <f>12+35/60</f>
        <v>12.583333333333334</v>
      </c>
      <c r="J1494" s="21">
        <f>108+5/60</f>
        <v>108.08333333333333</v>
      </c>
      <c r="K1494" s="21">
        <f>7478</f>
        <v>7478</v>
      </c>
      <c r="L1494" s="11">
        <v>1985</v>
      </c>
      <c r="M1494" s="11">
        <v>1998</v>
      </c>
      <c r="N1494" s="21" t="s">
        <v>2276</v>
      </c>
      <c r="O1494" s="19" t="s">
        <v>149</v>
      </c>
      <c r="P1494" s="19" t="s">
        <v>5187</v>
      </c>
      <c r="Q1494" s="204"/>
    </row>
    <row r="1495" spans="1:17" ht="63.5" customHeight="1">
      <c r="A1495" s="188">
        <v>398</v>
      </c>
      <c r="B1495" s="40" t="s">
        <v>9516</v>
      </c>
      <c r="C1495" s="11" t="s">
        <v>9517</v>
      </c>
      <c r="D1495" s="204" t="s">
        <v>2398</v>
      </c>
      <c r="E1495" s="204" t="s">
        <v>4847</v>
      </c>
      <c r="F1495" s="11" t="s">
        <v>2276</v>
      </c>
      <c r="G1495" s="11" t="s">
        <v>9518</v>
      </c>
      <c r="H1495" s="11" t="s">
        <v>6353</v>
      </c>
      <c r="I1495" s="21">
        <v>-13.03888888888889</v>
      </c>
      <c r="J1495" s="21">
        <v>35.144444444444439</v>
      </c>
      <c r="K1495" s="21">
        <v>25249</v>
      </c>
      <c r="L1495" s="11">
        <v>2010</v>
      </c>
      <c r="M1495" s="11">
        <v>2011</v>
      </c>
      <c r="N1495" s="21">
        <v>10.633333333333333</v>
      </c>
      <c r="O1495" s="19" t="s">
        <v>67</v>
      </c>
      <c r="P1495" s="19" t="s">
        <v>5187</v>
      </c>
      <c r="Q1495" s="4" t="s">
        <v>9519</v>
      </c>
    </row>
    <row r="1496" spans="1:17" ht="63.5" customHeight="1">
      <c r="A1496" s="188">
        <v>399</v>
      </c>
      <c r="B1496" s="40" t="s">
        <v>9531</v>
      </c>
      <c r="C1496" s="11" t="s">
        <v>9532</v>
      </c>
      <c r="D1496" s="204" t="s">
        <v>2398</v>
      </c>
      <c r="E1496" s="204" t="s">
        <v>6801</v>
      </c>
      <c r="F1496" s="11" t="s">
        <v>9415</v>
      </c>
      <c r="G1496" s="11" t="s">
        <v>1168</v>
      </c>
      <c r="H1496" s="11" t="s">
        <v>895</v>
      </c>
      <c r="I1496" s="21">
        <v>1.25</v>
      </c>
      <c r="J1496" s="21">
        <v>101.5</v>
      </c>
      <c r="K1496" s="21">
        <f>4107077/100</f>
        <v>41070.769999999997</v>
      </c>
      <c r="L1496" s="11">
        <v>2013</v>
      </c>
      <c r="M1496" s="11">
        <v>2014</v>
      </c>
      <c r="N1496" s="21" t="s">
        <v>2276</v>
      </c>
      <c r="O1496" s="19" t="s">
        <v>67</v>
      </c>
      <c r="P1496" s="19" t="s">
        <v>5187</v>
      </c>
      <c r="Q1496" s="204" t="s">
        <v>9533</v>
      </c>
    </row>
    <row r="1497" spans="1:17" ht="57" customHeight="1">
      <c r="A1497" s="188">
        <v>400</v>
      </c>
      <c r="B1497" s="40" t="s">
        <v>9548</v>
      </c>
      <c r="C1497" s="11" t="s">
        <v>9549</v>
      </c>
      <c r="D1497" s="204" t="s">
        <v>2398</v>
      </c>
      <c r="E1497" s="204" t="s">
        <v>4847</v>
      </c>
      <c r="F1497" s="11" t="s">
        <v>2276</v>
      </c>
      <c r="G1497" s="11" t="s">
        <v>1172</v>
      </c>
      <c r="H1497" s="11" t="s">
        <v>895</v>
      </c>
      <c r="I1497" s="21">
        <v>-0.25</v>
      </c>
      <c r="J1497" s="21">
        <v>114.75</v>
      </c>
      <c r="K1497" s="21">
        <v>743330</v>
      </c>
      <c r="L1497" s="11">
        <v>1982</v>
      </c>
      <c r="M1497" s="11">
        <v>1998</v>
      </c>
      <c r="N1497" s="21" t="s">
        <v>2276</v>
      </c>
      <c r="O1497" s="19" t="s">
        <v>67</v>
      </c>
      <c r="P1497" s="19" t="s">
        <v>5187</v>
      </c>
      <c r="Q1497" s="204"/>
    </row>
    <row r="1498" spans="1:17" ht="57" customHeight="1">
      <c r="A1498" s="188">
        <v>400</v>
      </c>
      <c r="B1498" s="40" t="s">
        <v>9548</v>
      </c>
      <c r="C1498" s="11" t="s">
        <v>9553</v>
      </c>
      <c r="D1498" s="204" t="s">
        <v>2398</v>
      </c>
      <c r="E1498" s="204" t="s">
        <v>4847</v>
      </c>
      <c r="F1498" s="11" t="s">
        <v>2276</v>
      </c>
      <c r="G1498" s="11" t="s">
        <v>1168</v>
      </c>
      <c r="H1498" s="11" t="s">
        <v>895</v>
      </c>
      <c r="I1498" s="21">
        <v>-0.75</v>
      </c>
      <c r="J1498" s="21">
        <v>102.25</v>
      </c>
      <c r="K1498" s="21">
        <v>473481</v>
      </c>
      <c r="L1498" s="11">
        <v>1982</v>
      </c>
      <c r="M1498" s="11">
        <v>1998</v>
      </c>
      <c r="N1498" s="21" t="s">
        <v>2276</v>
      </c>
      <c r="O1498" s="19" t="s">
        <v>67</v>
      </c>
      <c r="P1498" s="19" t="s">
        <v>5187</v>
      </c>
      <c r="Q1498" s="204"/>
    </row>
    <row r="1499" spans="1:17" ht="57" customHeight="1">
      <c r="A1499" s="188">
        <v>400</v>
      </c>
      <c r="B1499" s="40" t="s">
        <v>9548</v>
      </c>
      <c r="C1499" s="11" t="s">
        <v>9554</v>
      </c>
      <c r="D1499" s="204" t="s">
        <v>2398</v>
      </c>
      <c r="E1499" s="204" t="s">
        <v>4847</v>
      </c>
      <c r="F1499" s="11" t="s">
        <v>2276</v>
      </c>
      <c r="G1499" s="11" t="s">
        <v>9550</v>
      </c>
      <c r="H1499" s="11" t="s">
        <v>895</v>
      </c>
      <c r="I1499" s="21">
        <v>-7.5</v>
      </c>
      <c r="J1499" s="21">
        <v>110.25</v>
      </c>
      <c r="K1499" s="21">
        <v>128297</v>
      </c>
      <c r="L1499" s="11">
        <v>1982</v>
      </c>
      <c r="M1499" s="11">
        <v>1998</v>
      </c>
      <c r="N1499" s="21" t="s">
        <v>2276</v>
      </c>
      <c r="O1499" s="19" t="s">
        <v>67</v>
      </c>
      <c r="P1499" s="19" t="s">
        <v>5187</v>
      </c>
      <c r="Q1499" s="204"/>
    </row>
    <row r="1500" spans="1:17" ht="57" customHeight="1">
      <c r="A1500" s="188">
        <v>400</v>
      </c>
      <c r="B1500" s="40" t="s">
        <v>9548</v>
      </c>
      <c r="C1500" s="11" t="s">
        <v>9555</v>
      </c>
      <c r="D1500" s="204" t="s">
        <v>2398</v>
      </c>
      <c r="E1500" s="204" t="s">
        <v>4847</v>
      </c>
      <c r="F1500" s="11" t="s">
        <v>2276</v>
      </c>
      <c r="G1500" s="11" t="s">
        <v>9551</v>
      </c>
      <c r="H1500" s="11" t="s">
        <v>895</v>
      </c>
      <c r="I1500" s="21">
        <v>-2.25</v>
      </c>
      <c r="J1500" s="21">
        <v>120.5</v>
      </c>
      <c r="K1500" s="21">
        <v>174600</v>
      </c>
      <c r="L1500" s="11">
        <v>1982</v>
      </c>
      <c r="M1500" s="11">
        <v>1998</v>
      </c>
      <c r="N1500" s="21" t="s">
        <v>2276</v>
      </c>
      <c r="O1500" s="19" t="s">
        <v>67</v>
      </c>
      <c r="P1500" s="19" t="s">
        <v>5187</v>
      </c>
      <c r="Q1500" s="204"/>
    </row>
    <row r="1501" spans="1:17" ht="57" customHeight="1">
      <c r="A1501" s="188">
        <v>400</v>
      </c>
      <c r="B1501" s="40" t="s">
        <v>9548</v>
      </c>
      <c r="C1501" s="11" t="s">
        <v>9556</v>
      </c>
      <c r="D1501" s="204" t="s">
        <v>2398</v>
      </c>
      <c r="E1501" s="204" t="s">
        <v>4847</v>
      </c>
      <c r="F1501" s="11" t="s">
        <v>2276</v>
      </c>
      <c r="G1501" s="11" t="s">
        <v>9552</v>
      </c>
      <c r="H1501" s="11" t="s">
        <v>895</v>
      </c>
      <c r="I1501" s="21">
        <v>-1.75</v>
      </c>
      <c r="J1501" s="21">
        <v>133.5</v>
      </c>
      <c r="K1501" s="21">
        <v>140376</v>
      </c>
      <c r="L1501" s="11">
        <v>1982</v>
      </c>
      <c r="M1501" s="11">
        <v>1998</v>
      </c>
      <c r="N1501" s="21" t="s">
        <v>2276</v>
      </c>
      <c r="O1501" s="19" t="s">
        <v>67</v>
      </c>
      <c r="P1501" s="19" t="s">
        <v>5187</v>
      </c>
      <c r="Q1501" s="204"/>
    </row>
    <row r="1502" spans="1:17" ht="58.5" customHeight="1">
      <c r="A1502" s="188">
        <v>400</v>
      </c>
      <c r="B1502" s="40" t="s">
        <v>9548</v>
      </c>
      <c r="C1502" s="11" t="s">
        <v>9557</v>
      </c>
      <c r="D1502" s="204" t="s">
        <v>2398</v>
      </c>
      <c r="E1502" s="204" t="s">
        <v>4847</v>
      </c>
      <c r="F1502" s="11" t="s">
        <v>2276</v>
      </c>
      <c r="G1502" s="11" t="s">
        <v>9558</v>
      </c>
      <c r="H1502" s="11" t="s">
        <v>895</v>
      </c>
      <c r="I1502" s="21">
        <v>1</v>
      </c>
      <c r="J1502" s="21">
        <v>116.5</v>
      </c>
      <c r="K1502" s="21">
        <v>125337</v>
      </c>
      <c r="L1502" s="11">
        <v>1982</v>
      </c>
      <c r="M1502" s="11">
        <v>1998</v>
      </c>
      <c r="N1502" s="21" t="s">
        <v>2276</v>
      </c>
      <c r="O1502" s="19" t="s">
        <v>67</v>
      </c>
      <c r="P1502" s="19" t="s">
        <v>5187</v>
      </c>
      <c r="Q1502" s="204"/>
    </row>
    <row r="1503" spans="1:17" ht="61" customHeight="1">
      <c r="A1503" s="188">
        <v>401</v>
      </c>
      <c r="B1503" s="40" t="s">
        <v>9594</v>
      </c>
      <c r="C1503" s="11" t="s">
        <v>9595</v>
      </c>
      <c r="D1503" s="204" t="s">
        <v>2398</v>
      </c>
      <c r="E1503" s="204" t="s">
        <v>4847</v>
      </c>
      <c r="F1503" s="204" t="s">
        <v>2276</v>
      </c>
      <c r="G1503" s="204" t="s">
        <v>166</v>
      </c>
      <c r="H1503" s="204" t="s">
        <v>9596</v>
      </c>
      <c r="I1503" s="21">
        <v>-5</v>
      </c>
      <c r="J1503" s="21">
        <v>-52</v>
      </c>
      <c r="K1503" s="21">
        <v>1250000</v>
      </c>
      <c r="L1503" s="204">
        <v>2009</v>
      </c>
      <c r="M1503" s="204">
        <v>2012</v>
      </c>
      <c r="N1503" s="21" t="s">
        <v>2276</v>
      </c>
      <c r="O1503" s="19" t="s">
        <v>67</v>
      </c>
      <c r="P1503" s="19" t="s">
        <v>5187</v>
      </c>
      <c r="Q1503" s="204"/>
    </row>
    <row r="1504" spans="1:17" ht="52" customHeight="1">
      <c r="A1504" s="188">
        <v>402</v>
      </c>
      <c r="B1504" s="40" t="s">
        <v>9598</v>
      </c>
      <c r="C1504" s="11" t="s">
        <v>9599</v>
      </c>
      <c r="D1504" s="204" t="s">
        <v>2398</v>
      </c>
      <c r="E1504" s="204" t="s">
        <v>2399</v>
      </c>
      <c r="F1504" s="11" t="s">
        <v>9600</v>
      </c>
      <c r="G1504" s="11" t="s">
        <v>1168</v>
      </c>
      <c r="H1504" s="11" t="s">
        <v>895</v>
      </c>
      <c r="I1504" s="21">
        <v>-1.5</v>
      </c>
      <c r="J1504" s="21">
        <f>101+5/6</f>
        <v>101.83333333333333</v>
      </c>
      <c r="K1504" s="77" t="s">
        <v>2276</v>
      </c>
      <c r="L1504" s="11">
        <v>1997</v>
      </c>
      <c r="M1504" s="11">
        <v>1999</v>
      </c>
      <c r="N1504" s="21" t="s">
        <v>2276</v>
      </c>
      <c r="O1504" s="19" t="s">
        <v>67</v>
      </c>
      <c r="P1504" s="19" t="s">
        <v>5187</v>
      </c>
      <c r="Q1504" s="204"/>
    </row>
    <row r="1505" spans="1:17" ht="58" customHeight="1">
      <c r="A1505" s="188">
        <v>402</v>
      </c>
      <c r="B1505" s="40" t="s">
        <v>9598</v>
      </c>
      <c r="C1505" s="11" t="s">
        <v>9603</v>
      </c>
      <c r="D1505" s="204" t="s">
        <v>2398</v>
      </c>
      <c r="E1505" s="204" t="s">
        <v>2399</v>
      </c>
      <c r="F1505" s="11" t="s">
        <v>9608</v>
      </c>
      <c r="G1505" s="11" t="s">
        <v>1168</v>
      </c>
      <c r="H1505" s="11" t="s">
        <v>895</v>
      </c>
      <c r="I1505" s="21">
        <v>-5</v>
      </c>
      <c r="J1505" s="21">
        <f>105+2/6</f>
        <v>105.33333333333333</v>
      </c>
      <c r="K1505" s="77" t="s">
        <v>2276</v>
      </c>
      <c r="L1505" s="11">
        <v>1997</v>
      </c>
      <c r="M1505" s="11">
        <v>1999</v>
      </c>
      <c r="N1505" s="21" t="s">
        <v>2276</v>
      </c>
      <c r="O1505" s="19" t="s">
        <v>67</v>
      </c>
      <c r="P1505" s="19" t="s">
        <v>5187</v>
      </c>
      <c r="Q1505" s="204"/>
    </row>
    <row r="1506" spans="1:17" ht="44.5" customHeight="1">
      <c r="A1506" s="188">
        <v>402</v>
      </c>
      <c r="B1506" s="40" t="s">
        <v>9598</v>
      </c>
      <c r="C1506" s="11" t="s">
        <v>9609</v>
      </c>
      <c r="D1506" s="204" t="s">
        <v>2398</v>
      </c>
      <c r="E1506" s="204" t="s">
        <v>2399</v>
      </c>
      <c r="F1506" s="11" t="s">
        <v>9610</v>
      </c>
      <c r="G1506" s="11" t="s">
        <v>1168</v>
      </c>
      <c r="H1506" s="11" t="s">
        <v>895</v>
      </c>
      <c r="I1506" s="21">
        <f>-5-1/6</f>
        <v>-5.166666666666667</v>
      </c>
      <c r="J1506" s="21">
        <f>105+8/60</f>
        <v>105.13333333333334</v>
      </c>
      <c r="K1506" s="77">
        <v>31.3</v>
      </c>
      <c r="L1506" s="11">
        <v>1983</v>
      </c>
      <c r="M1506" s="11">
        <v>2000</v>
      </c>
      <c r="N1506" s="21" t="s">
        <v>2276</v>
      </c>
      <c r="O1506" s="19" t="s">
        <v>67</v>
      </c>
      <c r="P1506" s="19" t="s">
        <v>5187</v>
      </c>
      <c r="Q1506" s="204"/>
    </row>
    <row r="1507" spans="1:17" ht="42.5" customHeight="1">
      <c r="A1507" s="188">
        <v>402</v>
      </c>
      <c r="B1507" s="40" t="s">
        <v>9598</v>
      </c>
      <c r="C1507" s="11" t="s">
        <v>9621</v>
      </c>
      <c r="D1507" s="204" t="s">
        <v>2398</v>
      </c>
      <c r="E1507" s="204" t="s">
        <v>2399</v>
      </c>
      <c r="F1507" s="11" t="s">
        <v>9620</v>
      </c>
      <c r="G1507" s="11" t="s">
        <v>1168</v>
      </c>
      <c r="H1507" s="11" t="s">
        <v>895</v>
      </c>
      <c r="I1507" s="21">
        <v>-5</v>
      </c>
      <c r="J1507" s="21">
        <v>104.25</v>
      </c>
      <c r="K1507" s="77" t="s">
        <v>2276</v>
      </c>
      <c r="L1507" s="204">
        <v>1998</v>
      </c>
      <c r="M1507" s="204">
        <v>1999</v>
      </c>
      <c r="N1507" s="21" t="s">
        <v>2276</v>
      </c>
      <c r="O1507" s="19" t="s">
        <v>67</v>
      </c>
      <c r="P1507" s="19" t="s">
        <v>5187</v>
      </c>
      <c r="Q1507" s="204"/>
    </row>
    <row r="1508" spans="1:17" ht="42.5" customHeight="1">
      <c r="A1508" s="188">
        <v>403</v>
      </c>
      <c r="B1508" s="40" t="s">
        <v>9626</v>
      </c>
      <c r="C1508" s="11" t="s">
        <v>9625</v>
      </c>
      <c r="D1508" s="204" t="s">
        <v>2398</v>
      </c>
      <c r="E1508" s="204" t="s">
        <v>4847</v>
      </c>
      <c r="F1508" s="204" t="s">
        <v>2276</v>
      </c>
      <c r="G1508" s="204" t="s">
        <v>9639</v>
      </c>
      <c r="H1508" s="204" t="s">
        <v>88</v>
      </c>
      <c r="I1508" s="21">
        <v>26.5</v>
      </c>
      <c r="J1508" s="21">
        <v>93</v>
      </c>
      <c r="K1508" s="21">
        <v>78438</v>
      </c>
      <c r="L1508" s="204">
        <v>2003</v>
      </c>
      <c r="M1508" s="204">
        <v>2009</v>
      </c>
      <c r="N1508" s="21" t="s">
        <v>2276</v>
      </c>
      <c r="O1508" s="19" t="s">
        <v>67</v>
      </c>
      <c r="P1508" s="19" t="s">
        <v>5187</v>
      </c>
      <c r="Q1508" s="204"/>
    </row>
    <row r="1509" spans="1:17" ht="42.5" customHeight="1">
      <c r="A1509" s="188">
        <v>403</v>
      </c>
      <c r="B1509" s="40" t="s">
        <v>9626</v>
      </c>
      <c r="C1509" s="11" t="s">
        <v>9627</v>
      </c>
      <c r="D1509" s="204" t="s">
        <v>2398</v>
      </c>
      <c r="E1509" s="204" t="s">
        <v>4847</v>
      </c>
      <c r="F1509" s="204" t="s">
        <v>2276</v>
      </c>
      <c r="G1509" s="204" t="s">
        <v>9634</v>
      </c>
      <c r="H1509" s="204" t="s">
        <v>88</v>
      </c>
      <c r="I1509" s="21">
        <v>28</v>
      </c>
      <c r="J1509" s="21">
        <v>94</v>
      </c>
      <c r="K1509" s="21">
        <v>83743</v>
      </c>
      <c r="L1509" s="204">
        <v>2003</v>
      </c>
      <c r="M1509" s="204">
        <v>2009</v>
      </c>
      <c r="N1509" s="21" t="s">
        <v>2276</v>
      </c>
      <c r="O1509" s="19" t="s">
        <v>67</v>
      </c>
      <c r="P1509" s="19" t="s">
        <v>5187</v>
      </c>
      <c r="Q1509" s="204"/>
    </row>
    <row r="1510" spans="1:17" ht="42.5" customHeight="1">
      <c r="A1510" s="188">
        <v>403</v>
      </c>
      <c r="B1510" s="40" t="s">
        <v>9626</v>
      </c>
      <c r="C1510" s="11" t="s">
        <v>9628</v>
      </c>
      <c r="D1510" s="204" t="s">
        <v>2398</v>
      </c>
      <c r="E1510" s="204" t="s">
        <v>4847</v>
      </c>
      <c r="F1510" s="204" t="s">
        <v>2276</v>
      </c>
      <c r="G1510" s="204" t="s">
        <v>9635</v>
      </c>
      <c r="H1510" s="204" t="s">
        <v>88</v>
      </c>
      <c r="I1510" s="21">
        <v>25</v>
      </c>
      <c r="J1510" s="21">
        <v>93.5</v>
      </c>
      <c r="K1510" s="21">
        <v>22327</v>
      </c>
      <c r="L1510" s="204">
        <v>2003</v>
      </c>
      <c r="M1510" s="204">
        <v>2009</v>
      </c>
      <c r="N1510" s="21" t="s">
        <v>2276</v>
      </c>
      <c r="O1510" s="19" t="s">
        <v>67</v>
      </c>
      <c r="P1510" s="19" t="s">
        <v>5187</v>
      </c>
      <c r="Q1510" s="204"/>
    </row>
    <row r="1511" spans="1:17" ht="42.5" customHeight="1">
      <c r="A1511" s="188">
        <v>403</v>
      </c>
      <c r="B1511" s="40" t="s">
        <v>9626</v>
      </c>
      <c r="C1511" s="11" t="s">
        <v>9629</v>
      </c>
      <c r="D1511" s="204" t="s">
        <v>2398</v>
      </c>
      <c r="E1511" s="204" t="s">
        <v>4847</v>
      </c>
      <c r="F1511" s="204" t="s">
        <v>2276</v>
      </c>
      <c r="G1511" s="204" t="s">
        <v>2552</v>
      </c>
      <c r="H1511" s="204" t="s">
        <v>88</v>
      </c>
      <c r="I1511" s="21">
        <v>25.5</v>
      </c>
      <c r="J1511" s="21">
        <v>91.75</v>
      </c>
      <c r="K1511" s="21">
        <v>22429</v>
      </c>
      <c r="L1511" s="204">
        <v>2003</v>
      </c>
      <c r="M1511" s="204">
        <v>2009</v>
      </c>
      <c r="N1511" s="21" t="s">
        <v>2276</v>
      </c>
      <c r="O1511" s="19" t="s">
        <v>67</v>
      </c>
      <c r="P1511" s="19" t="s">
        <v>5187</v>
      </c>
      <c r="Q1511" s="204"/>
    </row>
    <row r="1512" spans="1:17" ht="42.5" customHeight="1">
      <c r="A1512" s="188">
        <v>403</v>
      </c>
      <c r="B1512" s="40" t="s">
        <v>9626</v>
      </c>
      <c r="C1512" s="11" t="s">
        <v>9630</v>
      </c>
      <c r="D1512" s="204" t="s">
        <v>2398</v>
      </c>
      <c r="E1512" s="204" t="s">
        <v>4847</v>
      </c>
      <c r="F1512" s="204" t="s">
        <v>2276</v>
      </c>
      <c r="G1512" s="204" t="s">
        <v>2448</v>
      </c>
      <c r="H1512" s="204" t="s">
        <v>88</v>
      </c>
      <c r="I1512" s="21">
        <v>24</v>
      </c>
      <c r="J1512" s="21">
        <v>92.75</v>
      </c>
      <c r="K1512" s="21">
        <v>21081</v>
      </c>
      <c r="L1512" s="204">
        <v>2003</v>
      </c>
      <c r="M1512" s="204">
        <v>2009</v>
      </c>
      <c r="N1512" s="21" t="s">
        <v>2276</v>
      </c>
      <c r="O1512" s="19" t="s">
        <v>67</v>
      </c>
      <c r="P1512" s="19" t="s">
        <v>5187</v>
      </c>
      <c r="Q1512" s="204"/>
    </row>
    <row r="1513" spans="1:17" ht="42.5" customHeight="1">
      <c r="A1513" s="188">
        <v>403</v>
      </c>
      <c r="B1513" s="40" t="s">
        <v>9626</v>
      </c>
      <c r="C1513" s="11" t="s">
        <v>9631</v>
      </c>
      <c r="D1513" s="204" t="s">
        <v>2398</v>
      </c>
      <c r="E1513" s="204" t="s">
        <v>4847</v>
      </c>
      <c r="F1513" s="204" t="s">
        <v>2276</v>
      </c>
      <c r="G1513" s="204" t="s">
        <v>9636</v>
      </c>
      <c r="H1513" s="204" t="s">
        <v>88</v>
      </c>
      <c r="I1513" s="21">
        <v>26.25</v>
      </c>
      <c r="J1513" s="21">
        <v>94.25</v>
      </c>
      <c r="K1513" s="21">
        <v>16579</v>
      </c>
      <c r="L1513" s="204">
        <v>2003</v>
      </c>
      <c r="M1513" s="204">
        <v>2009</v>
      </c>
      <c r="N1513" s="21" t="s">
        <v>2276</v>
      </c>
      <c r="O1513" s="19" t="s">
        <v>67</v>
      </c>
      <c r="P1513" s="19" t="s">
        <v>5187</v>
      </c>
      <c r="Q1513" s="204"/>
    </row>
    <row r="1514" spans="1:17" ht="42.5" customHeight="1">
      <c r="A1514" s="188">
        <v>403</v>
      </c>
      <c r="B1514" s="40" t="s">
        <v>9626</v>
      </c>
      <c r="C1514" s="11" t="s">
        <v>9632</v>
      </c>
      <c r="D1514" s="204" t="s">
        <v>2398</v>
      </c>
      <c r="E1514" s="204" t="s">
        <v>4847</v>
      </c>
      <c r="F1514" s="204" t="s">
        <v>2276</v>
      </c>
      <c r="G1514" s="204" t="s">
        <v>9637</v>
      </c>
      <c r="H1514" s="204" t="s">
        <v>88</v>
      </c>
      <c r="I1514" s="21">
        <v>24</v>
      </c>
      <c r="J1514" s="21">
        <v>92</v>
      </c>
      <c r="K1514" s="21">
        <v>10486</v>
      </c>
      <c r="L1514" s="204">
        <v>2003</v>
      </c>
      <c r="M1514" s="204">
        <v>2009</v>
      </c>
      <c r="N1514" s="21" t="s">
        <v>2276</v>
      </c>
      <c r="O1514" s="19" t="s">
        <v>67</v>
      </c>
      <c r="P1514" s="19" t="s">
        <v>5187</v>
      </c>
      <c r="Q1514" s="204"/>
    </row>
    <row r="1515" spans="1:17" ht="42.5" customHeight="1">
      <c r="A1515" s="188">
        <v>403</v>
      </c>
      <c r="B1515" s="40" t="s">
        <v>9626</v>
      </c>
      <c r="C1515" s="11" t="s">
        <v>9633</v>
      </c>
      <c r="D1515" s="204" t="s">
        <v>2398</v>
      </c>
      <c r="E1515" s="204" t="s">
        <v>4847</v>
      </c>
      <c r="F1515" s="204" t="s">
        <v>2276</v>
      </c>
      <c r="G1515" s="204" t="s">
        <v>9638</v>
      </c>
      <c r="H1515" s="204" t="s">
        <v>88</v>
      </c>
      <c r="I1515" s="21">
        <v>27.25</v>
      </c>
      <c r="J1515" s="21">
        <v>88.5</v>
      </c>
      <c r="K1515" s="21">
        <v>7096</v>
      </c>
      <c r="L1515" s="204">
        <v>2003</v>
      </c>
      <c r="M1515" s="204">
        <v>2009</v>
      </c>
      <c r="N1515" s="21" t="s">
        <v>2276</v>
      </c>
      <c r="O1515" s="19" t="s">
        <v>67</v>
      </c>
      <c r="P1515" s="19" t="s">
        <v>5187</v>
      </c>
      <c r="Q1515" s="204"/>
    </row>
    <row r="1516" spans="1:17" ht="64.5" customHeight="1">
      <c r="A1516" s="188">
        <v>403</v>
      </c>
      <c r="B1516" s="40" t="s">
        <v>9656</v>
      </c>
      <c r="C1516" s="11" t="s">
        <v>9655</v>
      </c>
      <c r="D1516" s="204" t="s">
        <v>2398</v>
      </c>
      <c r="E1516" s="204" t="s">
        <v>4847</v>
      </c>
      <c r="F1516" s="204" t="s">
        <v>2276</v>
      </c>
      <c r="G1516" s="204" t="s">
        <v>9657</v>
      </c>
      <c r="H1516" s="204" t="s">
        <v>88</v>
      </c>
      <c r="I1516" s="21">
        <f>AVERAGE(28+43/60, 37+5/60)</f>
        <v>32.9</v>
      </c>
      <c r="J1516" s="21">
        <f>AVERAGE(72+4/6, 81 + 2/60)</f>
        <v>76.849999999999994</v>
      </c>
      <c r="K1516" s="21">
        <f>330000</f>
        <v>330000</v>
      </c>
      <c r="L1516" s="204">
        <v>2007</v>
      </c>
      <c r="M1516" s="204">
        <v>2007</v>
      </c>
      <c r="N1516" s="21" t="s">
        <v>2276</v>
      </c>
      <c r="O1516" s="19" t="s">
        <v>67</v>
      </c>
      <c r="P1516" s="19" t="s">
        <v>5187</v>
      </c>
      <c r="Q1516" s="204"/>
    </row>
    <row r="1517" spans="1:17" ht="58" customHeight="1">
      <c r="A1517" s="188">
        <v>404</v>
      </c>
      <c r="B1517" s="40" t="s">
        <v>9658</v>
      </c>
      <c r="C1517" s="11" t="s">
        <v>9659</v>
      </c>
      <c r="D1517" s="204" t="s">
        <v>2398</v>
      </c>
      <c r="E1517" s="204" t="s">
        <v>2405</v>
      </c>
      <c r="F1517" s="204" t="s">
        <v>2276</v>
      </c>
      <c r="G1517" s="204" t="s">
        <v>9662</v>
      </c>
      <c r="H1517" s="11" t="s">
        <v>9660</v>
      </c>
      <c r="I1517" s="21">
        <v>0.75</v>
      </c>
      <c r="J1517" s="21">
        <v>15.6</v>
      </c>
      <c r="K1517" s="72" t="s">
        <v>2276</v>
      </c>
      <c r="L1517" s="204">
        <v>2000</v>
      </c>
      <c r="M1517" s="204">
        <v>2016</v>
      </c>
      <c r="N1517" s="21">
        <v>1</v>
      </c>
      <c r="O1517" s="19" t="s">
        <v>67</v>
      </c>
      <c r="P1517" s="19" t="s">
        <v>5187</v>
      </c>
      <c r="Q1517" s="4" t="s">
        <v>9661</v>
      </c>
    </row>
    <row r="1518" spans="1:17" ht="63" customHeight="1">
      <c r="A1518" s="188">
        <v>405</v>
      </c>
      <c r="B1518" s="40" t="s">
        <v>9671</v>
      </c>
      <c r="C1518" s="11" t="s">
        <v>9672</v>
      </c>
      <c r="D1518" s="204" t="s">
        <v>2398</v>
      </c>
      <c r="E1518" s="204" t="s">
        <v>2405</v>
      </c>
      <c r="F1518" s="204" t="s">
        <v>2276</v>
      </c>
      <c r="G1518" s="204" t="s">
        <v>2276</v>
      </c>
      <c r="H1518" s="19" t="s">
        <v>9678</v>
      </c>
      <c r="I1518" s="21">
        <v>-1.5</v>
      </c>
      <c r="J1518" s="21">
        <v>23.5</v>
      </c>
      <c r="K1518" s="21">
        <v>2345000</v>
      </c>
      <c r="L1518" s="11">
        <v>2000</v>
      </c>
      <c r="M1518" s="11">
        <v>2014</v>
      </c>
      <c r="N1518" s="21" t="s">
        <v>2276</v>
      </c>
      <c r="O1518" s="19" t="s">
        <v>67</v>
      </c>
      <c r="P1518" s="19" t="s">
        <v>5187</v>
      </c>
      <c r="Q1518" s="4" t="s">
        <v>9682</v>
      </c>
    </row>
    <row r="1519" spans="1:17" ht="63" customHeight="1">
      <c r="A1519" s="188">
        <v>405</v>
      </c>
      <c r="B1519" s="40" t="s">
        <v>9671</v>
      </c>
      <c r="C1519" s="11" t="s">
        <v>9673</v>
      </c>
      <c r="D1519" s="204" t="s">
        <v>2398</v>
      </c>
      <c r="E1519" s="204" t="s">
        <v>2405</v>
      </c>
      <c r="F1519" s="204" t="s">
        <v>2276</v>
      </c>
      <c r="G1519" s="204" t="s">
        <v>2276</v>
      </c>
      <c r="H1519" s="19" t="s">
        <v>181</v>
      </c>
      <c r="I1519" s="21">
        <v>4</v>
      </c>
      <c r="J1519" s="21">
        <v>12.5</v>
      </c>
      <c r="K1519" s="21">
        <v>475442</v>
      </c>
      <c r="L1519" s="11">
        <v>2000</v>
      </c>
      <c r="M1519" s="11">
        <v>2014</v>
      </c>
      <c r="N1519" s="21" t="s">
        <v>2276</v>
      </c>
      <c r="O1519" s="19" t="s">
        <v>67</v>
      </c>
      <c r="P1519" s="19" t="s">
        <v>5187</v>
      </c>
      <c r="Q1519" s="4" t="s">
        <v>9682</v>
      </c>
    </row>
    <row r="1520" spans="1:17" ht="63" customHeight="1">
      <c r="A1520" s="188">
        <v>405</v>
      </c>
      <c r="B1520" s="40" t="s">
        <v>9671</v>
      </c>
      <c r="C1520" s="11" t="s">
        <v>9674</v>
      </c>
      <c r="D1520" s="204" t="s">
        <v>2398</v>
      </c>
      <c r="E1520" s="204" t="s">
        <v>2405</v>
      </c>
      <c r="F1520" s="204" t="s">
        <v>2276</v>
      </c>
      <c r="G1520" s="204" t="s">
        <v>2276</v>
      </c>
      <c r="H1520" s="19" t="s">
        <v>9679</v>
      </c>
      <c r="I1520" s="21">
        <v>5.5</v>
      </c>
      <c r="J1520" s="21">
        <v>21</v>
      </c>
      <c r="K1520" s="21">
        <v>622984</v>
      </c>
      <c r="L1520" s="11">
        <v>2000</v>
      </c>
      <c r="M1520" s="11">
        <v>2014</v>
      </c>
      <c r="N1520" s="21" t="s">
        <v>2276</v>
      </c>
      <c r="O1520" s="19" t="s">
        <v>67</v>
      </c>
      <c r="P1520" s="19" t="s">
        <v>5187</v>
      </c>
      <c r="Q1520" s="4" t="s">
        <v>9682</v>
      </c>
    </row>
    <row r="1521" spans="1:17" ht="63" customHeight="1">
      <c r="A1521" s="188">
        <v>405</v>
      </c>
      <c r="B1521" s="40" t="s">
        <v>9671</v>
      </c>
      <c r="C1521" s="11" t="s">
        <v>9675</v>
      </c>
      <c r="D1521" s="204" t="s">
        <v>2398</v>
      </c>
      <c r="E1521" s="204" t="s">
        <v>2405</v>
      </c>
      <c r="F1521" s="204" t="s">
        <v>2276</v>
      </c>
      <c r="G1521" s="204" t="s">
        <v>2276</v>
      </c>
      <c r="H1521" s="19" t="s">
        <v>9680</v>
      </c>
      <c r="I1521" s="21">
        <v>-0.25</v>
      </c>
      <c r="J1521" s="21">
        <v>11.75</v>
      </c>
      <c r="K1521" s="21">
        <v>267667</v>
      </c>
      <c r="L1521" s="11">
        <v>2000</v>
      </c>
      <c r="M1521" s="11">
        <v>2014</v>
      </c>
      <c r="N1521" s="21" t="s">
        <v>2276</v>
      </c>
      <c r="O1521" s="19" t="s">
        <v>67</v>
      </c>
      <c r="P1521" s="19" t="s">
        <v>5187</v>
      </c>
      <c r="Q1521" s="4" t="s">
        <v>9682</v>
      </c>
    </row>
    <row r="1522" spans="1:17" ht="63" customHeight="1">
      <c r="A1522" s="188">
        <v>405</v>
      </c>
      <c r="B1522" s="40" t="s">
        <v>9671</v>
      </c>
      <c r="C1522" s="11" t="s">
        <v>9676</v>
      </c>
      <c r="D1522" s="204" t="s">
        <v>2398</v>
      </c>
      <c r="E1522" s="204" t="s">
        <v>2405</v>
      </c>
      <c r="F1522" s="204" t="s">
        <v>2276</v>
      </c>
      <c r="G1522" s="204" t="s">
        <v>2276</v>
      </c>
      <c r="H1522" s="19" t="s">
        <v>9681</v>
      </c>
      <c r="I1522" s="21">
        <v>1.5</v>
      </c>
      <c r="J1522" s="21">
        <v>10.5</v>
      </c>
      <c r="K1522" s="21">
        <v>28050</v>
      </c>
      <c r="L1522" s="11">
        <v>2000</v>
      </c>
      <c r="M1522" s="11">
        <v>2014</v>
      </c>
      <c r="N1522" s="21" t="s">
        <v>2276</v>
      </c>
      <c r="O1522" s="19" t="s">
        <v>67</v>
      </c>
      <c r="P1522" s="19" t="s">
        <v>5187</v>
      </c>
      <c r="Q1522" s="4" t="s">
        <v>9682</v>
      </c>
    </row>
    <row r="1523" spans="1:17" ht="63" customHeight="1">
      <c r="A1523" s="188">
        <v>405</v>
      </c>
      <c r="B1523" s="40" t="s">
        <v>9671</v>
      </c>
      <c r="C1523" s="11" t="s">
        <v>9677</v>
      </c>
      <c r="D1523" s="204" t="s">
        <v>2398</v>
      </c>
      <c r="E1523" s="204" t="s">
        <v>2405</v>
      </c>
      <c r="F1523" s="204" t="s">
        <v>2276</v>
      </c>
      <c r="G1523" s="204" t="s">
        <v>2276</v>
      </c>
      <c r="H1523" s="19" t="s">
        <v>9660</v>
      </c>
      <c r="I1523" s="21">
        <v>0</v>
      </c>
      <c r="J1523" s="21">
        <v>16</v>
      </c>
      <c r="K1523" s="21">
        <v>342000</v>
      </c>
      <c r="L1523" s="11">
        <v>2000</v>
      </c>
      <c r="M1523" s="11">
        <v>2014</v>
      </c>
      <c r="N1523" s="21" t="s">
        <v>2276</v>
      </c>
      <c r="O1523" s="19" t="s">
        <v>67</v>
      </c>
      <c r="P1523" s="19" t="s">
        <v>5187</v>
      </c>
      <c r="Q1523" s="4" t="s">
        <v>9682</v>
      </c>
    </row>
    <row r="1524" spans="1:17" ht="54.5" customHeight="1">
      <c r="A1524" s="188">
        <v>406</v>
      </c>
      <c r="B1524" s="40" t="s">
        <v>9730</v>
      </c>
      <c r="C1524" s="11" t="s">
        <v>9731</v>
      </c>
      <c r="D1524" s="204" t="s">
        <v>2398</v>
      </c>
      <c r="E1524" s="204" t="s">
        <v>2399</v>
      </c>
      <c r="F1524" s="11" t="s">
        <v>9732</v>
      </c>
      <c r="G1524" s="11" t="s">
        <v>644</v>
      </c>
      <c r="H1524" s="19" t="s">
        <v>895</v>
      </c>
      <c r="I1524" s="21">
        <v>-1</v>
      </c>
      <c r="J1524" s="21">
        <v>110</v>
      </c>
      <c r="K1524" s="21">
        <f>900</f>
        <v>900</v>
      </c>
      <c r="L1524" s="204">
        <v>1997</v>
      </c>
      <c r="M1524" s="204">
        <v>2001</v>
      </c>
      <c r="N1524" s="21" t="s">
        <v>2276</v>
      </c>
      <c r="O1524" s="19" t="s">
        <v>67</v>
      </c>
      <c r="P1524" s="19" t="s">
        <v>5187</v>
      </c>
      <c r="Q1524" s="204"/>
    </row>
    <row r="1525" spans="1:17" ht="54.5" customHeight="1">
      <c r="A1525" s="188">
        <v>407</v>
      </c>
      <c r="B1525" s="40" t="s">
        <v>9739</v>
      </c>
      <c r="C1525" s="11" t="s">
        <v>9740</v>
      </c>
      <c r="D1525" s="204" t="s">
        <v>2398</v>
      </c>
      <c r="E1525" s="204" t="s">
        <v>2400</v>
      </c>
      <c r="F1525" s="204" t="s">
        <v>2276</v>
      </c>
      <c r="G1525" s="204" t="s">
        <v>9741</v>
      </c>
      <c r="H1525" s="204" t="s">
        <v>1951</v>
      </c>
      <c r="I1525" s="21">
        <f>-1 - 52/60</f>
        <v>-1.8666666666666667</v>
      </c>
      <c r="J1525" s="21">
        <f>38.5</f>
        <v>38.5</v>
      </c>
      <c r="K1525" s="21">
        <v>442.33332999999999</v>
      </c>
      <c r="L1525" s="204">
        <v>1999</v>
      </c>
      <c r="M1525" s="204">
        <v>2014</v>
      </c>
      <c r="N1525" s="21">
        <v>27</v>
      </c>
      <c r="O1525" s="19" t="s">
        <v>67</v>
      </c>
      <c r="P1525" s="19" t="s">
        <v>5187</v>
      </c>
      <c r="Q1525" s="204"/>
    </row>
    <row r="1526" spans="1:17" ht="53.5" customHeight="1">
      <c r="A1526" s="188">
        <v>407</v>
      </c>
      <c r="B1526" s="40" t="s">
        <v>9739</v>
      </c>
      <c r="C1526" s="11" t="s">
        <v>9744</v>
      </c>
      <c r="D1526" s="204" t="s">
        <v>2398</v>
      </c>
      <c r="E1526" s="204" t="s">
        <v>2400</v>
      </c>
      <c r="F1526" s="204" t="s">
        <v>2276</v>
      </c>
      <c r="G1526" s="204" t="s">
        <v>9741</v>
      </c>
      <c r="H1526" s="204" t="s">
        <v>1951</v>
      </c>
      <c r="I1526" s="21">
        <f>-1 - 52/60</f>
        <v>-1.8666666666666667</v>
      </c>
      <c r="J1526" s="21">
        <f>38.5</f>
        <v>38.5</v>
      </c>
      <c r="K1526" s="21">
        <v>442.33332999999999</v>
      </c>
      <c r="L1526" s="204">
        <v>1986</v>
      </c>
      <c r="M1526" s="204">
        <v>1999</v>
      </c>
      <c r="N1526" s="21" t="s">
        <v>2276</v>
      </c>
      <c r="O1526" s="19" t="s">
        <v>67</v>
      </c>
      <c r="P1526" s="19" t="s">
        <v>5187</v>
      </c>
      <c r="Q1526" s="204"/>
    </row>
    <row r="1527" spans="1:17" ht="43.5" customHeight="1">
      <c r="A1527" s="188">
        <v>408</v>
      </c>
      <c r="B1527" s="40" t="s">
        <v>9764</v>
      </c>
      <c r="C1527" s="204" t="s">
        <v>9765</v>
      </c>
      <c r="D1527" s="204" t="s">
        <v>2398</v>
      </c>
      <c r="E1527" s="204" t="s">
        <v>2405</v>
      </c>
      <c r="F1527" s="144" t="s">
        <v>9784</v>
      </c>
      <c r="G1527" s="11" t="s">
        <v>9762</v>
      </c>
      <c r="H1527" s="19" t="s">
        <v>2842</v>
      </c>
      <c r="I1527" s="21">
        <v>-6.3747429999999996</v>
      </c>
      <c r="J1527" s="21">
        <v>143.65458949999999</v>
      </c>
      <c r="K1527" s="21">
        <v>21262</v>
      </c>
      <c r="L1527" s="19">
        <v>1972</v>
      </c>
      <c r="M1527" s="19">
        <v>2002</v>
      </c>
      <c r="N1527" s="75" t="s">
        <v>2276</v>
      </c>
      <c r="O1527" s="19" t="s">
        <v>67</v>
      </c>
      <c r="P1527" s="19" t="s">
        <v>5187</v>
      </c>
      <c r="Q1527" s="4" t="s">
        <v>9785</v>
      </c>
    </row>
    <row r="1528" spans="1:17" ht="43.5" customHeight="1">
      <c r="A1528" s="188">
        <v>408</v>
      </c>
      <c r="B1528" s="40" t="s">
        <v>9764</v>
      </c>
      <c r="C1528" s="204" t="s">
        <v>9766</v>
      </c>
      <c r="D1528" s="204" t="s">
        <v>2398</v>
      </c>
      <c r="E1528" s="204" t="s">
        <v>2405</v>
      </c>
      <c r="F1528" s="144" t="s">
        <v>9784</v>
      </c>
      <c r="G1528" s="11" t="s">
        <v>9761</v>
      </c>
      <c r="H1528" s="19" t="s">
        <v>2842</v>
      </c>
      <c r="I1528" s="21">
        <v>-5.4869439</v>
      </c>
      <c r="J1528" s="21">
        <v>143.49676909999999</v>
      </c>
      <c r="K1528" s="21">
        <v>9293.2000000000007</v>
      </c>
      <c r="L1528" s="19">
        <v>1972</v>
      </c>
      <c r="M1528" s="19">
        <v>2002</v>
      </c>
      <c r="N1528" s="75" t="s">
        <v>2276</v>
      </c>
      <c r="O1528" s="19" t="s">
        <v>67</v>
      </c>
      <c r="P1528" s="19" t="s">
        <v>5187</v>
      </c>
      <c r="Q1528" s="4" t="s">
        <v>9785</v>
      </c>
    </row>
    <row r="1529" spans="1:17" ht="43.5" customHeight="1">
      <c r="A1529" s="188">
        <v>408</v>
      </c>
      <c r="B1529" s="40" t="s">
        <v>9764</v>
      </c>
      <c r="C1529" s="204" t="s">
        <v>9767</v>
      </c>
      <c r="D1529" s="204" t="s">
        <v>2398</v>
      </c>
      <c r="E1529" s="204" t="s">
        <v>2405</v>
      </c>
      <c r="F1529" s="144" t="s">
        <v>9784</v>
      </c>
      <c r="G1529" s="11" t="s">
        <v>9763</v>
      </c>
      <c r="H1529" s="19" t="s">
        <v>2842</v>
      </c>
      <c r="I1529" s="21">
        <v>-5.7887408999999996</v>
      </c>
      <c r="J1529" s="21">
        <v>144.18528610000001</v>
      </c>
      <c r="K1529" s="21">
        <v>5834.5</v>
      </c>
      <c r="L1529" s="19">
        <v>1972</v>
      </c>
      <c r="M1529" s="19">
        <v>2002</v>
      </c>
      <c r="N1529" s="75" t="s">
        <v>2276</v>
      </c>
      <c r="O1529" s="19" t="s">
        <v>67</v>
      </c>
      <c r="P1529" s="19" t="s">
        <v>5187</v>
      </c>
      <c r="Q1529" s="4" t="s">
        <v>9785</v>
      </c>
    </row>
    <row r="1530" spans="1:17" ht="43.5" customHeight="1">
      <c r="A1530" s="188">
        <v>408</v>
      </c>
      <c r="B1530" s="40" t="s">
        <v>9764</v>
      </c>
      <c r="C1530" s="204" t="s">
        <v>9768</v>
      </c>
      <c r="D1530" s="204" t="s">
        <v>2398</v>
      </c>
      <c r="E1530" s="204" t="s">
        <v>2405</v>
      </c>
      <c r="F1530" s="144" t="s">
        <v>9784</v>
      </c>
      <c r="G1530" s="204" t="s">
        <v>9746</v>
      </c>
      <c r="H1530" s="19" t="s">
        <v>2842</v>
      </c>
      <c r="I1530" s="21">
        <v>-6.3355981000000003</v>
      </c>
      <c r="J1530" s="21">
        <v>144.88414599999999</v>
      </c>
      <c r="K1530" s="21">
        <v>4359.1000000000004</v>
      </c>
      <c r="L1530" s="19">
        <v>1972</v>
      </c>
      <c r="M1530" s="19">
        <v>2002</v>
      </c>
      <c r="N1530" s="75" t="s">
        <v>2276</v>
      </c>
      <c r="O1530" s="19" t="s">
        <v>67</v>
      </c>
      <c r="P1530" s="19" t="s">
        <v>5187</v>
      </c>
      <c r="Q1530" s="4" t="s">
        <v>9785</v>
      </c>
    </row>
    <row r="1531" spans="1:17" ht="43.5" customHeight="1">
      <c r="A1531" s="188">
        <v>408</v>
      </c>
      <c r="B1531" s="40" t="s">
        <v>9764</v>
      </c>
      <c r="C1531" s="204" t="s">
        <v>9769</v>
      </c>
      <c r="D1531" s="204" t="s">
        <v>2398</v>
      </c>
      <c r="E1531" s="204" t="s">
        <v>2405</v>
      </c>
      <c r="F1531" s="144" t="s">
        <v>9784</v>
      </c>
      <c r="G1531" s="204" t="s">
        <v>9747</v>
      </c>
      <c r="H1531" s="19" t="s">
        <v>2842</v>
      </c>
      <c r="I1531" s="21">
        <v>-6.5053016000000001</v>
      </c>
      <c r="J1531" s="21">
        <v>145.56762800000001</v>
      </c>
      <c r="K1531" s="21">
        <v>7016.6</v>
      </c>
      <c r="L1531" s="19">
        <v>1972</v>
      </c>
      <c r="M1531" s="19">
        <v>2002</v>
      </c>
      <c r="N1531" s="75" t="s">
        <v>2276</v>
      </c>
      <c r="O1531" s="19" t="s">
        <v>67</v>
      </c>
      <c r="P1531" s="19" t="s">
        <v>5187</v>
      </c>
      <c r="Q1531" s="4" t="s">
        <v>9785</v>
      </c>
    </row>
    <row r="1532" spans="1:17" ht="43.5" customHeight="1">
      <c r="A1532" s="188">
        <v>408</v>
      </c>
      <c r="B1532" s="40" t="s">
        <v>9764</v>
      </c>
      <c r="C1532" s="204" t="s">
        <v>9770</v>
      </c>
      <c r="D1532" s="204" t="s">
        <v>2398</v>
      </c>
      <c r="E1532" s="204" t="s">
        <v>2405</v>
      </c>
      <c r="F1532" s="144" t="s">
        <v>9784</v>
      </c>
      <c r="G1532" s="204" t="s">
        <v>9748</v>
      </c>
      <c r="H1532" s="19" t="s">
        <v>2842</v>
      </c>
      <c r="I1532" s="21">
        <v>-4.25</v>
      </c>
      <c r="J1532" s="21">
        <v>138</v>
      </c>
      <c r="K1532" s="21">
        <v>51942.1</v>
      </c>
      <c r="L1532" s="19">
        <v>1972</v>
      </c>
      <c r="M1532" s="19">
        <v>2002</v>
      </c>
      <c r="N1532" s="75" t="s">
        <v>2276</v>
      </c>
      <c r="O1532" s="19" t="s">
        <v>67</v>
      </c>
      <c r="P1532" s="19" t="s">
        <v>5187</v>
      </c>
      <c r="Q1532" s="4" t="s">
        <v>9785</v>
      </c>
    </row>
    <row r="1533" spans="1:17" ht="43.5" customHeight="1">
      <c r="A1533" s="188">
        <v>408</v>
      </c>
      <c r="B1533" s="40" t="s">
        <v>9764</v>
      </c>
      <c r="C1533" s="204" t="s">
        <v>9771</v>
      </c>
      <c r="D1533" s="204" t="s">
        <v>2398</v>
      </c>
      <c r="E1533" s="204" t="s">
        <v>2405</v>
      </c>
      <c r="F1533" s="144" t="s">
        <v>9784</v>
      </c>
      <c r="G1533" s="204" t="s">
        <v>9749</v>
      </c>
      <c r="H1533" s="19" t="s">
        <v>2842</v>
      </c>
      <c r="I1533" s="21">
        <v>-7.6443205000000001</v>
      </c>
      <c r="J1533" s="21">
        <v>144.82790739999999</v>
      </c>
      <c r="K1533" s="21">
        <v>25223.1</v>
      </c>
      <c r="L1533" s="19">
        <v>1972</v>
      </c>
      <c r="M1533" s="19">
        <v>2002</v>
      </c>
      <c r="N1533" s="75" t="s">
        <v>2276</v>
      </c>
      <c r="O1533" s="19" t="s">
        <v>67</v>
      </c>
      <c r="P1533" s="19" t="s">
        <v>5187</v>
      </c>
      <c r="Q1533" s="4" t="s">
        <v>9785</v>
      </c>
    </row>
    <row r="1534" spans="1:17" ht="43.5" customHeight="1">
      <c r="A1534" s="188">
        <v>408</v>
      </c>
      <c r="B1534" s="40" t="s">
        <v>9764</v>
      </c>
      <c r="C1534" s="204" t="s">
        <v>9772</v>
      </c>
      <c r="D1534" s="204" t="s">
        <v>2398</v>
      </c>
      <c r="E1534" s="204" t="s">
        <v>2405</v>
      </c>
      <c r="F1534" s="144" t="s">
        <v>9784</v>
      </c>
      <c r="G1534" s="204" t="s">
        <v>9750</v>
      </c>
      <c r="H1534" s="19" t="s">
        <v>2842</v>
      </c>
      <c r="I1534" s="21">
        <v>-9.0841919000000004</v>
      </c>
      <c r="J1534" s="21">
        <v>148.02509910000001</v>
      </c>
      <c r="K1534" s="21">
        <v>23821.200000000001</v>
      </c>
      <c r="L1534" s="19">
        <v>1972</v>
      </c>
      <c r="M1534" s="19">
        <v>2002</v>
      </c>
      <c r="N1534" s="75" t="s">
        <v>2276</v>
      </c>
      <c r="O1534" s="19" t="s">
        <v>67</v>
      </c>
      <c r="P1534" s="19" t="s">
        <v>5187</v>
      </c>
      <c r="Q1534" s="4" t="s">
        <v>9785</v>
      </c>
    </row>
    <row r="1535" spans="1:17" ht="43.5" customHeight="1">
      <c r="A1535" s="188">
        <v>408</v>
      </c>
      <c r="B1535" s="40" t="s">
        <v>9764</v>
      </c>
      <c r="C1535" s="204" t="s">
        <v>9773</v>
      </c>
      <c r="D1535" s="204" t="s">
        <v>2398</v>
      </c>
      <c r="E1535" s="204" t="s">
        <v>2405</v>
      </c>
      <c r="F1535" s="144" t="s">
        <v>9784</v>
      </c>
      <c r="G1535" s="204" t="s">
        <v>9751</v>
      </c>
      <c r="H1535" s="19" t="s">
        <v>2842</v>
      </c>
      <c r="I1535" s="21">
        <v>-9.9874357000000007</v>
      </c>
      <c r="J1535" s="21">
        <v>151.62477939999999</v>
      </c>
      <c r="K1535" s="21">
        <v>11349.7</v>
      </c>
      <c r="L1535" s="19">
        <v>1972</v>
      </c>
      <c r="M1535" s="19">
        <v>2002</v>
      </c>
      <c r="N1535" s="75" t="s">
        <v>2276</v>
      </c>
      <c r="O1535" s="19" t="s">
        <v>67</v>
      </c>
      <c r="P1535" s="19" t="s">
        <v>5187</v>
      </c>
      <c r="Q1535" s="4" t="s">
        <v>9785</v>
      </c>
    </row>
    <row r="1536" spans="1:17" ht="43.5" customHeight="1">
      <c r="A1536" s="188">
        <v>408</v>
      </c>
      <c r="B1536" s="40" t="s">
        <v>9764</v>
      </c>
      <c r="C1536" s="204" t="s">
        <v>9774</v>
      </c>
      <c r="D1536" s="204" t="s">
        <v>2398</v>
      </c>
      <c r="E1536" s="204" t="s">
        <v>2405</v>
      </c>
      <c r="F1536" s="144" t="s">
        <v>9784</v>
      </c>
      <c r="G1536" s="204" t="s">
        <v>9752</v>
      </c>
      <c r="H1536" s="19" t="s">
        <v>2842</v>
      </c>
      <c r="I1536" s="21">
        <v>-8.9899400000000007</v>
      </c>
      <c r="J1536" s="21">
        <v>148.22133249999999</v>
      </c>
      <c r="K1536" s="21">
        <v>17939.2</v>
      </c>
      <c r="L1536" s="19">
        <v>1972</v>
      </c>
      <c r="M1536" s="19">
        <v>2002</v>
      </c>
      <c r="N1536" s="75" t="s">
        <v>2276</v>
      </c>
      <c r="O1536" s="19" t="s">
        <v>67</v>
      </c>
      <c r="P1536" s="19" t="s">
        <v>5187</v>
      </c>
      <c r="Q1536" s="4" t="s">
        <v>9785</v>
      </c>
    </row>
    <row r="1537" spans="1:17" ht="43.5" customHeight="1">
      <c r="A1537" s="188">
        <v>408</v>
      </c>
      <c r="B1537" s="40" t="s">
        <v>9764</v>
      </c>
      <c r="C1537" s="204" t="s">
        <v>9775</v>
      </c>
      <c r="D1537" s="204" t="s">
        <v>2398</v>
      </c>
      <c r="E1537" s="204" t="s">
        <v>2405</v>
      </c>
      <c r="F1537" s="144" t="s">
        <v>9784</v>
      </c>
      <c r="G1537" s="204" t="s">
        <v>9753</v>
      </c>
      <c r="H1537" s="19" t="s">
        <v>2842</v>
      </c>
      <c r="I1537" s="21">
        <v>-6.6564496999999996</v>
      </c>
      <c r="J1537" s="21">
        <v>146.92907489999999</v>
      </c>
      <c r="K1537" s="21">
        <v>26418</v>
      </c>
      <c r="L1537" s="19">
        <v>1972</v>
      </c>
      <c r="M1537" s="19">
        <v>2002</v>
      </c>
      <c r="N1537" s="75" t="s">
        <v>2276</v>
      </c>
      <c r="O1537" s="19" t="s">
        <v>67</v>
      </c>
      <c r="P1537" s="19" t="s">
        <v>5187</v>
      </c>
      <c r="Q1537" s="4" t="s">
        <v>9785</v>
      </c>
    </row>
    <row r="1538" spans="1:17" ht="43.5" customHeight="1">
      <c r="A1538" s="188">
        <v>408</v>
      </c>
      <c r="B1538" s="40" t="s">
        <v>9764</v>
      </c>
      <c r="C1538" s="204" t="s">
        <v>9776</v>
      </c>
      <c r="D1538" s="204" t="s">
        <v>2398</v>
      </c>
      <c r="E1538" s="204" t="s">
        <v>2405</v>
      </c>
      <c r="F1538" s="144" t="s">
        <v>9784</v>
      </c>
      <c r="G1538" s="204" t="s">
        <v>9754</v>
      </c>
      <c r="H1538" s="19" t="s">
        <v>2842</v>
      </c>
      <c r="I1538" s="21">
        <v>-5.0110156999999997</v>
      </c>
      <c r="J1538" s="21">
        <v>145.59612849999999</v>
      </c>
      <c r="K1538" s="21">
        <v>24193.1</v>
      </c>
      <c r="L1538" s="19">
        <v>1972</v>
      </c>
      <c r="M1538" s="19">
        <v>2002</v>
      </c>
      <c r="N1538" s="75" t="s">
        <v>2276</v>
      </c>
      <c r="O1538" s="19" t="s">
        <v>67</v>
      </c>
      <c r="P1538" s="19" t="s">
        <v>5187</v>
      </c>
      <c r="Q1538" s="4" t="s">
        <v>9785</v>
      </c>
    </row>
    <row r="1539" spans="1:17" ht="43.5" customHeight="1">
      <c r="A1539" s="188">
        <v>408</v>
      </c>
      <c r="B1539" s="40" t="s">
        <v>9764</v>
      </c>
      <c r="C1539" s="204" t="s">
        <v>9777</v>
      </c>
      <c r="D1539" s="204" t="s">
        <v>2398</v>
      </c>
      <c r="E1539" s="204" t="s">
        <v>2405</v>
      </c>
      <c r="F1539" s="144" t="s">
        <v>9784</v>
      </c>
      <c r="G1539" s="204" t="s">
        <v>9755</v>
      </c>
      <c r="H1539" s="19" t="s">
        <v>2842</v>
      </c>
      <c r="I1539" s="21">
        <v>-4.1708854999999998</v>
      </c>
      <c r="J1539" s="21">
        <v>143.0742735</v>
      </c>
      <c r="K1539" s="21">
        <v>23712.1</v>
      </c>
      <c r="L1539" s="19">
        <v>1972</v>
      </c>
      <c r="M1539" s="19">
        <v>2002</v>
      </c>
      <c r="N1539" s="75" t="s">
        <v>2276</v>
      </c>
      <c r="O1539" s="19" t="s">
        <v>67</v>
      </c>
      <c r="P1539" s="19" t="s">
        <v>5187</v>
      </c>
      <c r="Q1539" s="4" t="s">
        <v>9785</v>
      </c>
    </row>
    <row r="1540" spans="1:17" s="203" customFormat="1" ht="43.5" customHeight="1">
      <c r="A1540" s="188">
        <v>408</v>
      </c>
      <c r="B1540" s="40" t="s">
        <v>9764</v>
      </c>
      <c r="C1540" s="204" t="s">
        <v>9778</v>
      </c>
      <c r="D1540" s="204" t="s">
        <v>2398</v>
      </c>
      <c r="E1540" s="204" t="s">
        <v>2398</v>
      </c>
      <c r="F1540" s="144" t="s">
        <v>9784</v>
      </c>
      <c r="G1540" s="204" t="s">
        <v>9787</v>
      </c>
      <c r="H1540" s="19" t="s">
        <v>2842</v>
      </c>
      <c r="I1540" s="21">
        <v>-3.5</v>
      </c>
      <c r="J1540" s="21">
        <v>141.75</v>
      </c>
      <c r="K1540" s="21">
        <v>31054.7</v>
      </c>
      <c r="L1540" s="19">
        <v>1972</v>
      </c>
      <c r="M1540" s="19">
        <v>2002</v>
      </c>
      <c r="N1540" s="75" t="s">
        <v>2276</v>
      </c>
      <c r="O1540" s="19" t="s">
        <v>67</v>
      </c>
      <c r="P1540" s="19" t="s">
        <v>5187</v>
      </c>
      <c r="Q1540" s="4" t="s">
        <v>9785</v>
      </c>
    </row>
    <row r="1541" spans="1:17" ht="43.5" customHeight="1">
      <c r="A1541" s="188">
        <v>408</v>
      </c>
      <c r="B1541" s="40" t="s">
        <v>9764</v>
      </c>
      <c r="C1541" s="204" t="s">
        <v>9779</v>
      </c>
      <c r="D1541" s="204" t="s">
        <v>2398</v>
      </c>
      <c r="E1541" s="204" t="s">
        <v>2405</v>
      </c>
      <c r="F1541" s="144" t="s">
        <v>9784</v>
      </c>
      <c r="G1541" s="204" t="s">
        <v>9756</v>
      </c>
      <c r="H1541" s="19" t="s">
        <v>2842</v>
      </c>
      <c r="I1541" s="21">
        <v>-2.1026387999999998</v>
      </c>
      <c r="J1541" s="21">
        <v>146.9687284</v>
      </c>
      <c r="K1541" s="21">
        <v>1507</v>
      </c>
      <c r="L1541" s="19">
        <v>1972</v>
      </c>
      <c r="M1541" s="19">
        <v>2002</v>
      </c>
      <c r="N1541" s="75" t="s">
        <v>2276</v>
      </c>
      <c r="O1541" s="19" t="s">
        <v>67</v>
      </c>
      <c r="P1541" s="19" t="s">
        <v>5187</v>
      </c>
      <c r="Q1541" s="4" t="s">
        <v>9785</v>
      </c>
    </row>
    <row r="1542" spans="1:17" ht="43.5" customHeight="1">
      <c r="A1542" s="188">
        <v>408</v>
      </c>
      <c r="B1542" s="40" t="s">
        <v>9764</v>
      </c>
      <c r="C1542" s="204" t="s">
        <v>9780</v>
      </c>
      <c r="D1542" s="204" t="s">
        <v>2398</v>
      </c>
      <c r="E1542" s="204" t="s">
        <v>2405</v>
      </c>
      <c r="F1542" s="144" t="s">
        <v>9784</v>
      </c>
      <c r="G1542" s="204" t="s">
        <v>9757</v>
      </c>
      <c r="H1542" s="19" t="s">
        <v>2842</v>
      </c>
      <c r="I1542" s="21">
        <v>-3.0832188999999999</v>
      </c>
      <c r="J1542" s="21">
        <v>151.6251211</v>
      </c>
      <c r="K1542" s="21">
        <v>8206.1</v>
      </c>
      <c r="L1542" s="19">
        <v>1972</v>
      </c>
      <c r="M1542" s="19">
        <v>2002</v>
      </c>
      <c r="N1542" s="75" t="s">
        <v>2276</v>
      </c>
      <c r="O1542" s="19" t="s">
        <v>67</v>
      </c>
      <c r="P1542" s="19" t="s">
        <v>5187</v>
      </c>
      <c r="Q1542" s="4" t="s">
        <v>9785</v>
      </c>
    </row>
    <row r="1543" spans="1:17" ht="43.5" customHeight="1">
      <c r="A1543" s="188">
        <v>408</v>
      </c>
      <c r="B1543" s="40" t="s">
        <v>9764</v>
      </c>
      <c r="C1543" s="204" t="s">
        <v>9781</v>
      </c>
      <c r="D1543" s="204" t="s">
        <v>2398</v>
      </c>
      <c r="E1543" s="204" t="s">
        <v>2405</v>
      </c>
      <c r="F1543" s="144" t="s">
        <v>9784</v>
      </c>
      <c r="G1543" s="204" t="s">
        <v>9758</v>
      </c>
      <c r="H1543" s="19" t="s">
        <v>2842</v>
      </c>
      <c r="I1543" s="21">
        <v>-5.0782765000000003</v>
      </c>
      <c r="J1543" s="21">
        <v>151.5476305</v>
      </c>
      <c r="K1543" s="21">
        <v>13589.3</v>
      </c>
      <c r="L1543" s="19">
        <v>1972</v>
      </c>
      <c r="M1543" s="19">
        <v>2002</v>
      </c>
      <c r="N1543" s="75" t="s">
        <v>2276</v>
      </c>
      <c r="O1543" s="19" t="s">
        <v>67</v>
      </c>
      <c r="P1543" s="19" t="s">
        <v>5187</v>
      </c>
      <c r="Q1543" s="4" t="s">
        <v>9785</v>
      </c>
    </row>
    <row r="1544" spans="1:17" ht="43.5" customHeight="1">
      <c r="A1544" s="188">
        <v>408</v>
      </c>
      <c r="B1544" s="40" t="s">
        <v>9764</v>
      </c>
      <c r="C1544" s="204" t="s">
        <v>9782</v>
      </c>
      <c r="D1544" s="204" t="s">
        <v>2398</v>
      </c>
      <c r="E1544" s="204" t="s">
        <v>2405</v>
      </c>
      <c r="F1544" s="144" t="s">
        <v>9784</v>
      </c>
      <c r="G1544" s="204" t="s">
        <v>9759</v>
      </c>
      <c r="H1544" s="19" t="s">
        <v>2842</v>
      </c>
      <c r="I1544" s="21">
        <v>-5.4294036999999999</v>
      </c>
      <c r="J1544" s="21">
        <v>149.9967441</v>
      </c>
      <c r="K1544" s="21">
        <v>18479</v>
      </c>
      <c r="L1544" s="19">
        <v>1972</v>
      </c>
      <c r="M1544" s="19">
        <v>2002</v>
      </c>
      <c r="N1544" s="75" t="s">
        <v>2276</v>
      </c>
      <c r="O1544" s="19" t="s">
        <v>67</v>
      </c>
      <c r="P1544" s="19" t="s">
        <v>5187</v>
      </c>
      <c r="Q1544" s="4" t="s">
        <v>9785</v>
      </c>
    </row>
    <row r="1545" spans="1:17" ht="43.5" customHeight="1">
      <c r="A1545" s="188">
        <v>408</v>
      </c>
      <c r="B1545" s="40" t="s">
        <v>9764</v>
      </c>
      <c r="C1545" s="11" t="s">
        <v>9786</v>
      </c>
      <c r="D1545" s="204" t="s">
        <v>2398</v>
      </c>
      <c r="E1545" s="204" t="s">
        <v>2405</v>
      </c>
      <c r="F1545" s="144" t="s">
        <v>9784</v>
      </c>
      <c r="G1545" s="204" t="s">
        <v>9760</v>
      </c>
      <c r="H1545" s="19" t="s">
        <v>2842</v>
      </c>
      <c r="I1545" s="21">
        <v>-6.1439956999999996</v>
      </c>
      <c r="J1545" s="21">
        <v>155.31935319999999</v>
      </c>
      <c r="K1545" s="21">
        <v>7075.8</v>
      </c>
      <c r="L1545" s="19">
        <v>1972</v>
      </c>
      <c r="M1545" s="19">
        <v>2002</v>
      </c>
      <c r="N1545" s="75" t="s">
        <v>2276</v>
      </c>
      <c r="O1545" s="19" t="s">
        <v>67</v>
      </c>
      <c r="P1545" s="19" t="s">
        <v>5187</v>
      </c>
      <c r="Q1545" s="4" t="s">
        <v>9785</v>
      </c>
    </row>
    <row r="1546" spans="1:17" ht="43.5" customHeight="1">
      <c r="A1546" s="188">
        <v>409</v>
      </c>
      <c r="B1546" s="40" t="s">
        <v>9853</v>
      </c>
      <c r="C1546" s="11" t="s">
        <v>9854</v>
      </c>
      <c r="D1546" s="204" t="s">
        <v>2398</v>
      </c>
      <c r="E1546" s="204" t="s">
        <v>2399</v>
      </c>
      <c r="F1546" s="204" t="s">
        <v>9855</v>
      </c>
      <c r="G1546" s="204" t="s">
        <v>9856</v>
      </c>
      <c r="H1546" s="19" t="s">
        <v>1143</v>
      </c>
      <c r="I1546" s="21">
        <f>9+37/60</f>
        <v>9.6166666666666671</v>
      </c>
      <c r="J1546" s="21">
        <v>-0.8666666666666667</v>
      </c>
      <c r="K1546" s="21">
        <f>(500+863)/2.471/100</f>
        <v>5.5159854309995957</v>
      </c>
      <c r="L1546" s="204">
        <v>2010</v>
      </c>
      <c r="M1546" s="204">
        <v>2010</v>
      </c>
      <c r="N1546" s="75" t="s">
        <v>2276</v>
      </c>
      <c r="O1546" s="19" t="s">
        <v>67</v>
      </c>
      <c r="P1546" s="19" t="s">
        <v>5187</v>
      </c>
      <c r="Q1546" s="204"/>
    </row>
    <row r="1547" spans="1:17" ht="46.5" customHeight="1">
      <c r="A1547" s="188">
        <v>410</v>
      </c>
      <c r="B1547" s="40" t="s">
        <v>9873</v>
      </c>
      <c r="C1547" s="204" t="s">
        <v>9874</v>
      </c>
      <c r="D1547" s="204" t="s">
        <v>2398</v>
      </c>
      <c r="E1547" s="204" t="s">
        <v>2399</v>
      </c>
      <c r="F1547" s="204" t="s">
        <v>9876</v>
      </c>
      <c r="G1547" s="204" t="s">
        <v>9875</v>
      </c>
      <c r="H1547" s="204" t="s">
        <v>895</v>
      </c>
      <c r="I1547" s="21">
        <f>-3-AVERAGE(32/60, 40/60)</f>
        <v>-3.6</v>
      </c>
      <c r="J1547" s="21">
        <f>106+46.5/60</f>
        <v>106.77500000000001</v>
      </c>
      <c r="K1547" s="21">
        <v>33.619999999999997</v>
      </c>
      <c r="L1547" s="204">
        <v>2013</v>
      </c>
      <c r="M1547" s="204">
        <v>2013</v>
      </c>
      <c r="N1547" s="75">
        <f>8200/K1547</f>
        <v>243.90243902439028</v>
      </c>
      <c r="O1547" s="19" t="s">
        <v>67</v>
      </c>
      <c r="P1547" s="19" t="s">
        <v>5187</v>
      </c>
      <c r="Q1547" s="204"/>
    </row>
    <row r="1548" spans="1:17" ht="46.5" customHeight="1">
      <c r="A1548" s="188">
        <v>411</v>
      </c>
      <c r="B1548" s="40" t="s">
        <v>9881</v>
      </c>
      <c r="C1548" s="11" t="s">
        <v>9882</v>
      </c>
      <c r="D1548" s="204" t="s">
        <v>2398</v>
      </c>
      <c r="E1548" s="204" t="s">
        <v>2399</v>
      </c>
      <c r="F1548" s="204" t="s">
        <v>9385</v>
      </c>
      <c r="G1548" s="204" t="s">
        <v>9884</v>
      </c>
      <c r="H1548" s="204" t="s">
        <v>88</v>
      </c>
      <c r="I1548" s="21">
        <f>10 +7.5/60</f>
        <v>10.125</v>
      </c>
      <c r="J1548" s="21">
        <f>77+48.5/60</f>
        <v>77.808333333333337</v>
      </c>
      <c r="K1548" s="21">
        <v>10</v>
      </c>
      <c r="L1548" s="204">
        <v>1998</v>
      </c>
      <c r="M1548" s="204">
        <v>2000</v>
      </c>
      <c r="N1548" s="75" t="s">
        <v>2276</v>
      </c>
      <c r="O1548" s="19" t="s">
        <v>67</v>
      </c>
      <c r="P1548" s="19" t="s">
        <v>5187</v>
      </c>
      <c r="Q1548" s="204"/>
    </row>
    <row r="1549" spans="1:17" ht="44.5" customHeight="1">
      <c r="A1549" s="238">
        <v>412</v>
      </c>
    </row>
  </sheetData>
  <autoFilter ref="A1:A1219" xr:uid="{F5111C01-59AE-4FFF-A3F5-858DED950471}"/>
  <phoneticPr fontId="6" type="noConversion"/>
  <dataValidations xWindow="1013" yWindow="897" count="13">
    <dataValidation allowBlank="1" showInputMessage="1" showErrorMessage="1" prompt="Study ID + letter denoting case study: 1a, 1b, 1c etc." sqref="C1:C2 C4:C543 B625 C550:C1304 C1321:C1544 C1546: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G988:G996 G932 F925:F934 G936:G942 G945:G950 F943:F999 F1058 F1063:F1064 F1066:F1068 F1070:F1109 G1218:G1219 F1220 G1222:G1231 F1222:F1223 K1246:K1248 G1252:G1254 K1252:K1257 F1228:F1254 G1256 G1261:G1263 G1268:G1269 G1287:G1293 G1297:G1300 G1321:G1322 F1256:F1324 G1328 F1326:F1335 G1347:G1348 G1359:G1360 F1384 K1390 F1389 G1395:G1399 N1390 F1391:F1394 F1396:F1397 F1399 F1401:F1402 F1404:F1405 G1419:G1434 G1437:G1452 F1453:F1455 G1458 F1460:F1461 G1480:G1484 F1478:F1479 F1038:F1056 G1490 F1486:F1489 F1496 F1503:F1506 G1518:G1523 F1508: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F1110:F1218 G1064:G1217 G1220 G1233:G1248 G1250:G1251 G1255 G1257:G1260 G1264:G1267 H1284:H1286 G1270:G1283 G1294:G1296 G1301:G1320 G1323:G1324 G1326:G1327 F1336:F1343 F1345:F1348 G1329:G1346 F1351:F1358 G1349:G1359 F1360:F1383 H1383:H1385 F1385:F1386 F1388 G1361:G1394 F1395 F1398 F1403 F1400 K1402 N1402:N1403 F1406:F1452 G1400:G1418 G1435:G1436 F1456:F1459 G1453:G1457 F1462:F1476 G1459:G1479 F1480:F1485 K1480:K1484 G1485 F1497:F1502 F1490:F1495 F1507:G1507 G1490:G1506 G1508:G1517 G1524: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0 K1147 I1019:I1146 I1150:J1150 J1151:J1180 J1292:J1293 J1357:J1358 J1434 J1452 J1477 I1181:I1476 J1498 I1478: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146 J1151:J1291 J1294:J1356 I1477 J1359:J1476 J1478:J1497 J1499: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F1035:G1037 G1055 F1034 N925:N963 F1060:F1061 G1063 F1065 K1046:K1048 K1221:K1231 K1267 K1347:K1350 N988:N1389 N1391:N1395 N1426:N1434 N1419:N1424 N1436:N1442 N1444:N1452 N1486:N1489 N1549: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05:C1320" xr:uid="{4DF351CC-3880-43BA-B715-71F2F423F0BC}"/>
    <dataValidation type="whole" allowBlank="1" showInputMessage="1" showErrorMessage="1" sqref="M641 L679:L690 M724:M726 L694:L717 L642:M675 M679:M717 L718:M723 L730:M730 L732:M772 L776 M773:M821 L778:L821 L1:M640 L822:M1048576" xr:uid="{D110D921-D533-4146-96C4-8574C50CFBF8}">
      <formula1>1900</formula1>
      <formula2>2020</formula2>
    </dataValidation>
    <dataValidation type="textLength" allowBlank="1" showInputMessage="1" showErrorMessage="1" sqref="P1:P926 Q1031:Q1057 R1147 P1058:P1048576" xr:uid="{ECAEF184-909D-4F5A-B29A-54FD169B1262}">
      <formula1>2</formula1>
      <formula2>5</formula2>
    </dataValidation>
    <dataValidation type="decimal" allowBlank="1" showInputMessage="1" showErrorMessage="1" sqref="K1355:K1356" xr:uid="{70E26466-583A-44B9-8EA8-1416006BF913}">
      <formula1>0</formula1>
      <formula2>99999999</formula2>
    </dataValidation>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29" r:id="rId679" xr:uid="{62A9F433-22C0-4677-9E7E-C153134F4445}"/>
    <hyperlink ref="B1030" r:id="rId680" xr:uid="{64E3E683-00E3-4510-A87F-DF71A670C706}"/>
    <hyperlink ref="B1021" r:id="rId681" xr:uid="{79BFCC69-13BB-4C63-8EAA-11E3ABD04E69}"/>
    <hyperlink ref="B1026" r:id="rId682" xr:uid="{521FD027-466D-4835-B9D7-6B48D948BDAF}"/>
    <hyperlink ref="B1027" r:id="rId683" xr:uid="{11FB6999-5844-4ABD-9D62-E93BE4AA078D}"/>
    <hyperlink ref="B1032" r:id="rId684" xr:uid="{00000000-0004-0000-0000-000000000000}"/>
    <hyperlink ref="B1033" r:id="rId685" xr:uid="{00000000-0004-0000-0000-000001000000}"/>
    <hyperlink ref="B1034" r:id="rId686" xr:uid="{00000000-0004-0000-0000-000002000000}"/>
    <hyperlink ref="B1031" r:id="rId687" xr:uid="{00000000-0004-0000-0000-000003000000}"/>
    <hyperlink ref="B1035" r:id="rId688" xr:uid="{00000000-0004-0000-0000-000004000000}"/>
    <hyperlink ref="B1039" r:id="rId689" xr:uid="{00000000-0004-0000-0000-000005000000}"/>
    <hyperlink ref="B1038" r:id="rId690" xr:uid="{00000000-0004-0000-0000-000006000000}"/>
    <hyperlink ref="B1041" r:id="rId691" xr:uid="{00000000-0004-0000-0000-000007000000}"/>
    <hyperlink ref="B1040" r:id="rId692" xr:uid="{00000000-0004-0000-0000-000008000000}"/>
    <hyperlink ref="B1036" r:id="rId693" xr:uid="{00000000-0004-0000-0000-000009000000}"/>
    <hyperlink ref="B1037" r:id="rId694" xr:uid="{00000000-0004-0000-0000-00000A000000}"/>
    <hyperlink ref="B1042" r:id="rId695" xr:uid="{00000000-0004-0000-0000-00000B000000}"/>
    <hyperlink ref="B1043" r:id="rId696" xr:uid="{00000000-0004-0000-0000-00000C000000}"/>
    <hyperlink ref="B1044" r:id="rId697" xr:uid="{00000000-0004-0000-0000-00000D000000}"/>
    <hyperlink ref="B1045" r:id="rId698" xr:uid="{00000000-0004-0000-0000-00000E000000}"/>
    <hyperlink ref="B1046" r:id="rId699" xr:uid="{00000000-0004-0000-0000-00000F000000}"/>
    <hyperlink ref="B1047" r:id="rId700" xr:uid="{00000000-0004-0000-0000-000010000000}"/>
    <hyperlink ref="B1048" r:id="rId701" xr:uid="{00000000-0004-0000-0000-000011000000}"/>
    <hyperlink ref="B1049" r:id="rId702" xr:uid="{00000000-0004-0000-0000-000012000000}"/>
    <hyperlink ref="B1050" r:id="rId703" xr:uid="{00000000-0004-0000-0000-000013000000}"/>
    <hyperlink ref="B1051" r:id="rId704" xr:uid="{00000000-0004-0000-0000-000014000000}"/>
    <hyperlink ref="B1052" r:id="rId705" xr:uid="{00000000-0004-0000-0000-000015000000}"/>
    <hyperlink ref="B1053" r:id="rId706" xr:uid="{00000000-0004-0000-0000-000016000000}"/>
    <hyperlink ref="B1054" r:id="rId707" xr:uid="{00000000-0004-0000-0000-000017000000}"/>
    <hyperlink ref="B1056" r:id="rId708" xr:uid="{00000000-0004-0000-0000-000018000000}"/>
    <hyperlink ref="B1057"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58" r:id="rId745" xr:uid="{8BDF4851-3602-47F8-87C1-25CAF9F0D7A1}"/>
    <hyperlink ref="B1059" r:id="rId746" xr:uid="{54D29287-68CE-4EDD-8796-D4C995FD2EC3}"/>
    <hyperlink ref="B1060" r:id="rId747" xr:uid="{A005D498-FC36-44E2-A600-BCB25B8F9A7D}"/>
    <hyperlink ref="B1061" r:id="rId748" xr:uid="{73A534A6-82C5-4868-BEEC-67FF81E1EB22}"/>
    <hyperlink ref="B1062" r:id="rId749" xr:uid="{2D7388DF-B1A3-4429-A4EB-0B1AC5DE61F8}"/>
    <hyperlink ref="B1063" r:id="rId750" xr:uid="{B2E216B7-B094-4487-8B08-DE3AEA9356B7}"/>
    <hyperlink ref="B1064" r:id="rId751" xr:uid="{6D97F6A6-A6E1-415C-9832-27ACF14D5516}"/>
    <hyperlink ref="B1065" r:id="rId752" xr:uid="{C6B5C89A-5DD0-4EE6-AA0E-ACDA03EBA537}"/>
    <hyperlink ref="B1066" r:id="rId753" xr:uid="{A382DE3B-7C2C-44B8-B632-208B409F9728}"/>
    <hyperlink ref="B1067:B1068" r:id="rId754" display="Eloy 2016" xr:uid="{DEAE1BFA-3836-4594-A8BC-9E30108CA5D8}"/>
    <hyperlink ref="B1069" r:id="rId755" xr:uid="{2B2A5E1F-3AC6-463B-B7C0-A75C677B87F4}"/>
    <hyperlink ref="B1070" r:id="rId756" display="Caballero 2011" xr:uid="{67C81722-29A9-47BD-BDB2-E1C1DF573BA8}"/>
    <hyperlink ref="B1071" r:id="rId757" display="Caballero 2011" xr:uid="{65257CF8-ED26-4ABC-879E-91320851D14A}"/>
    <hyperlink ref="B1072" r:id="rId758" display="Caballero 2011" xr:uid="{5869C518-8975-4001-B295-9EC81DA818BA}"/>
    <hyperlink ref="B1073" r:id="rId759" display="Caballero 2011" xr:uid="{D6EB9ACA-D2A6-49C4-94F2-1FA2DD178805}"/>
    <hyperlink ref="B1074" r:id="rId760" display="Caballero 2011" xr:uid="{1719CCB1-23EB-42AF-95ED-56D47A517B9C}"/>
    <hyperlink ref="B1075" r:id="rId761" display="Caballero 2011" xr:uid="{23C53465-2C8E-4910-9FDF-FB3D1FB10CED}"/>
    <hyperlink ref="B1076" r:id="rId762" display="Caballero 2011" xr:uid="{A171E4B0-7D5C-47DF-B785-1E2FA042CD75}"/>
    <hyperlink ref="B1077" r:id="rId763" display="Caballero 2011" xr:uid="{B1D14D32-8C7C-4DB6-8C9F-FF45E4262E6B}"/>
    <hyperlink ref="B1078" r:id="rId764" display="Caballero 2011" xr:uid="{4BA0EDBE-EE87-4C25-A67C-FDCE20CE450D}"/>
    <hyperlink ref="B1079" r:id="rId765" display="Caballero 2011" xr:uid="{6A81E1DF-9D5B-4224-979D-C861FBC90703}"/>
    <hyperlink ref="B1080" r:id="rId766" display="Caballero 2011" xr:uid="{F42BD37D-81D0-4C09-B127-4A6E6B166EE6}"/>
    <hyperlink ref="B1081" r:id="rId767" display="Caballero 2011" xr:uid="{06B5A5FE-773B-48E6-B59F-4358708B6FEB}"/>
    <hyperlink ref="B1082" r:id="rId768" display="Caballero 2011" xr:uid="{ACF1F2D1-4EF6-419F-83C3-62A4316EE884}"/>
    <hyperlink ref="B1083" r:id="rId769" display="Caballero 2011" xr:uid="{7E9173B5-4827-4656-A5D4-0734AD21E383}"/>
    <hyperlink ref="B1084" r:id="rId770" display="Caballero 2011" xr:uid="{0EFD930F-7812-4E84-8A4B-1D9D10514871}"/>
    <hyperlink ref="B1085" r:id="rId771" display="Caballero 2011" xr:uid="{A3C9DFDF-6527-4C00-A0C3-9194CF3220CA}"/>
    <hyperlink ref="B1086" r:id="rId772" display="Caballero 2011" xr:uid="{F8361370-1E58-4DBC-8D39-8C5586164712}"/>
    <hyperlink ref="B1087" r:id="rId773" display="Caballero 2011" xr:uid="{B0CAA4C7-D62C-48D9-8543-7093AD21EAB6}"/>
    <hyperlink ref="B1088" r:id="rId774" display="Caballero 2011" xr:uid="{20322080-8CED-4075-B877-11805A118EE9}"/>
    <hyperlink ref="B1089" r:id="rId775" display="Caballero 2011" xr:uid="{B457985A-4194-4783-A12E-89763C4B18D1}"/>
    <hyperlink ref="B1090" r:id="rId776" display="Caballero 2011" xr:uid="{8F356603-D36C-4359-8F10-E2ED0D65DB8E}"/>
    <hyperlink ref="B1091" r:id="rId777" display="Caballero 2011" xr:uid="{009BB63F-44EB-4B71-BB59-DE8E0F0353FC}"/>
    <hyperlink ref="B1092" r:id="rId778" display="Caballero 2011" xr:uid="{6EC78847-34C2-4342-BFAB-AAC0F48DDD33}"/>
    <hyperlink ref="B1093" r:id="rId779" display="Caballero 2011" xr:uid="{8EE1622E-A1B4-4240-8C5B-C4E51FF0FB88}"/>
    <hyperlink ref="B1094" r:id="rId780" display="Caballero 2011" xr:uid="{AC23B910-B440-492A-AA92-0564466585C1}"/>
    <hyperlink ref="B1095" r:id="rId781" display="Caballero 2011" xr:uid="{44779127-4972-4930-B14B-89A6556D1D0E}"/>
    <hyperlink ref="B1096" r:id="rId782" display="Caballero 2011" xr:uid="{FBF1B8FC-1040-48CF-833E-C0FC82383948}"/>
    <hyperlink ref="B1097" r:id="rId783" display="Caballero 2011" xr:uid="{C83F2271-2781-492F-B11F-3294DD7B6BE9}"/>
    <hyperlink ref="B1098" r:id="rId784" display="Caballero 2011" xr:uid="{F078E13C-845B-42D6-A301-728E2E15C072}"/>
    <hyperlink ref="B1099" r:id="rId785" display="Caballero 2011" xr:uid="{DFF645CD-AA06-4297-8883-02EEBA677842}"/>
    <hyperlink ref="B1100" r:id="rId786" display="Caballero 2011" xr:uid="{41FAF507-7339-48A4-B7B0-9AAA65BD88B9}"/>
    <hyperlink ref="B1101" r:id="rId787" display="Caballero 2011" xr:uid="{08935987-1D2D-4AC3-A30C-FA07527C09E2}"/>
    <hyperlink ref="B1102" r:id="rId788" display="Caballero 2011" xr:uid="{A7629FBA-3768-4A10-BC3C-CB38220961AC}"/>
    <hyperlink ref="B1103" r:id="rId789" display="Caballero 2011" xr:uid="{B76A0B77-DD9E-496B-9E70-8595B3844953}"/>
    <hyperlink ref="B1104" r:id="rId790" display="Caballero 2011" xr:uid="{A47AA487-DFED-4457-B7E0-950363C7CB83}"/>
    <hyperlink ref="B1105" r:id="rId791" display="Caballero 2011" xr:uid="{C885F99B-E56D-47E1-B455-D2D348ED49C8}"/>
    <hyperlink ref="B1106" r:id="rId792" display="Caballero 2011" xr:uid="{52768419-8764-4695-BEE5-8DC06938FF22}"/>
    <hyperlink ref="B1107" r:id="rId793" display="Caballero 2011" xr:uid="{9ED83EC3-668E-4EE8-AB78-0B9BBD20E3C3}"/>
    <hyperlink ref="B1108" r:id="rId794" display="Caballero 2011" xr:uid="{B83BE2C8-063D-47C8-A4FE-FFB57A51707D}"/>
    <hyperlink ref="B1109" r:id="rId795" display="Caballero 2011" xr:uid="{D26A4995-7255-42EF-927B-89F71FC7D6B4}"/>
    <hyperlink ref="B1110:B1115" r:id="rId796" display="Fernandes 2013" xr:uid="{068F9213-E42B-4314-8BAC-9BE349903CB6}"/>
    <hyperlink ref="B1115" r:id="rId797" xr:uid="{A6561085-2B77-41A2-9BA3-5980211B3A06}"/>
    <hyperlink ref="B1116" r:id="rId798" xr:uid="{D68EB1E8-B318-450D-946C-20CF82FD7E88}"/>
    <hyperlink ref="B1117" r:id="rId799" xr:uid="{3C3854B1-66F2-4837-956D-CD5899651CC6}"/>
    <hyperlink ref="B1118" r:id="rId800" xr:uid="{4F830B22-950E-4FBE-911E-6CE91415C448}"/>
    <hyperlink ref="B1119" r:id="rId801" xr:uid="{935E60CB-07D0-4C6A-88A3-9FC4B0E60B78}"/>
    <hyperlink ref="B1120" r:id="rId802" xr:uid="{E66B9DF1-1B0A-408C-ACBD-1C8AB1645174}"/>
    <hyperlink ref="B1121" r:id="rId803" xr:uid="{65C6F086-8E01-40EF-AAD1-12C04615E942}"/>
    <hyperlink ref="B1122" r:id="rId804" xr:uid="{8F264958-AB4A-4DB4-B76D-46C69FE6D6D6}"/>
    <hyperlink ref="B1123" r:id="rId805" xr:uid="{D7388C74-D9EE-42A8-AFC4-A8864E1A213D}"/>
    <hyperlink ref="B1124" r:id="rId806" xr:uid="{F031C9E8-3C11-4C21-9F93-FE34EB1C6E17}"/>
    <hyperlink ref="B1125" r:id="rId807" xr:uid="{B3D85429-5D24-44B4-8C6C-709A37334265}"/>
    <hyperlink ref="B1126" r:id="rId808" xr:uid="{ABE6083D-8F59-4FA6-9FC4-AAB003E27CA0}"/>
    <hyperlink ref="B1127" r:id="rId809" xr:uid="{7449F71C-A4D3-4D23-A31E-759710EE2D1D}"/>
    <hyperlink ref="B1128" r:id="rId810" xr:uid="{8369C27B-A500-40FD-BDC7-5B6F7AC75051}"/>
    <hyperlink ref="B1129" r:id="rId811" xr:uid="{D7F6A2F6-7A22-4B43-A52C-5412959B9CBC}"/>
    <hyperlink ref="B1130" r:id="rId812" xr:uid="{1F5CA278-1568-4CF9-AC42-1B9F9BC7894F}"/>
    <hyperlink ref="B1131" r:id="rId813" xr:uid="{C6A09899-BF2D-4900-8DA3-020EE6C5F895}"/>
    <hyperlink ref="B1132" r:id="rId814" xr:uid="{52930C38-321B-47ED-B67B-540F4A436D1F}"/>
    <hyperlink ref="B1133" r:id="rId815" xr:uid="{1AA74B36-C424-4BB5-B4A9-7AC3C36ED513}"/>
    <hyperlink ref="B1134" r:id="rId816" xr:uid="{173EDFA1-FA09-4646-AF09-1A2BC45A6C92}"/>
    <hyperlink ref="B1135" r:id="rId817" xr:uid="{F6AFB9E0-2DBC-46C8-848C-27C98D66329C}"/>
    <hyperlink ref="B1136" r:id="rId818" xr:uid="{1A991198-6473-431B-9EEC-3DFA4FD2FEC7}"/>
    <hyperlink ref="B1137" r:id="rId819" xr:uid="{FC31AA0A-EF59-4EF0-801C-BBC1C8510BE5}"/>
    <hyperlink ref="B1138" r:id="rId820" xr:uid="{7E0A0202-D189-4C9F-8D45-D519AAECB085}"/>
    <hyperlink ref="B1139" r:id="rId821" xr:uid="{E40D6504-7CFD-48CC-845C-E8B0A47C658A}"/>
    <hyperlink ref="B1140" r:id="rId822" xr:uid="{C8680297-CDDD-460F-A57B-DBD08D55E000}"/>
    <hyperlink ref="B1141" r:id="rId823" xr:uid="{D9C4E4E6-D283-41BD-8FD5-04A5DE4319F1}"/>
    <hyperlink ref="B1142" r:id="rId824" xr:uid="{9B59A8AA-FFDC-49B5-8FC8-09ADF4645123}"/>
    <hyperlink ref="B1143" r:id="rId825" xr:uid="{D39AB126-C37C-4321-A69D-DA83C5D735F5}"/>
    <hyperlink ref="B1144" r:id="rId826" xr:uid="{2E19B4CB-FE35-4A03-BE94-455A4EE23E0B}"/>
    <hyperlink ref="B1145" r:id="rId827" xr:uid="{EB323D39-6E50-4ABE-A484-E4523C6E477E}"/>
    <hyperlink ref="B1146" r:id="rId828" xr:uid="{F36DACFD-305A-40C4-827C-8D07F190265E}"/>
    <hyperlink ref="B1147" r:id="rId829" xr:uid="{D636E45F-1E54-47E8-AD40-3709EA35EBCA}"/>
    <hyperlink ref="B1148" r:id="rId830" xr:uid="{28B4A57D-44D3-40BA-8821-5497CDCE17A0}"/>
    <hyperlink ref="B1149" r:id="rId831" xr:uid="{31625ED8-71CF-4244-8C6C-2B89AA1D883F}"/>
    <hyperlink ref="B1150" r:id="rId832" xr:uid="{D38E64E5-E741-40CB-BBD1-BDC81EC825A5}"/>
    <hyperlink ref="B1151" r:id="rId833" xr:uid="{143926AE-3073-4EB7-BB07-BEC503B6C860}"/>
    <hyperlink ref="B1152" r:id="rId834" xr:uid="{6E21F601-2ED1-44AC-9554-4212567C57DE}"/>
    <hyperlink ref="B1153" r:id="rId835" xr:uid="{1FD67231-5E2D-455E-A3CD-D8EF29778411}"/>
    <hyperlink ref="B1154" r:id="rId836" xr:uid="{09EE47BF-38F0-4CC0-8C97-15C038CFB3AB}"/>
    <hyperlink ref="B1155" r:id="rId837" xr:uid="{02F71FDC-EC30-41B9-B985-594754911FE3}"/>
    <hyperlink ref="B1156" r:id="rId838" xr:uid="{A9A2AB75-E629-4130-84F5-422246DBD85A}"/>
    <hyperlink ref="B1157" r:id="rId839" xr:uid="{AD567F1E-88CF-4370-847B-E6508B32DBFF}"/>
    <hyperlink ref="B1158" r:id="rId840" xr:uid="{8A8F4214-F552-4480-B9F8-65E80D263BB3}"/>
    <hyperlink ref="B1159" r:id="rId841" xr:uid="{4DE71112-8350-4232-8023-A604DB4DA960}"/>
    <hyperlink ref="B1160" r:id="rId842" xr:uid="{1B4BB719-7A9B-408F-960E-18A767D6985D}"/>
    <hyperlink ref="B1161" r:id="rId843" xr:uid="{079E09D6-B5DA-4BD6-802D-AD88550E4E53}"/>
    <hyperlink ref="B1162" r:id="rId844" xr:uid="{ABD8D34A-C86D-4F43-A414-AC090A7689B5}"/>
    <hyperlink ref="B1163" r:id="rId845" xr:uid="{6E0CFCB8-545B-4EC1-90FD-FAA4F06AC6D9}"/>
    <hyperlink ref="B1164" r:id="rId846" xr:uid="{7E20BA0B-5AD4-4808-BE52-F754BCA72054}"/>
    <hyperlink ref="B1165" r:id="rId847" xr:uid="{AF68B5AB-9B5E-4A06-93F0-B5C7EBB338D4}"/>
    <hyperlink ref="B1166" r:id="rId848" xr:uid="{41DADDE5-D696-48AA-B0E5-C37273B1CFDC}"/>
    <hyperlink ref="B1167" r:id="rId849" xr:uid="{4DE0A9E1-0455-4375-B82C-4C568D8877D1}"/>
    <hyperlink ref="B1168" r:id="rId850" xr:uid="{F0381485-EF40-4EDD-BE96-5992F84E2B67}"/>
    <hyperlink ref="B1169" r:id="rId851" xr:uid="{905088C7-AFF7-43DD-B2C4-7E0FE91F819E}"/>
    <hyperlink ref="B1170" r:id="rId852" xr:uid="{AE7BB22F-E86F-46B9-A106-F6D0AB00625F}"/>
    <hyperlink ref="B1171" r:id="rId853" xr:uid="{977965D0-51A3-40F3-BC45-42A51F601920}"/>
    <hyperlink ref="B1172" r:id="rId854" xr:uid="{EA3EF0EA-91F3-4952-A134-073B7F3BE564}"/>
    <hyperlink ref="B1173" r:id="rId855" xr:uid="{A18B959C-2DC9-41C0-A3E9-8D36A1230862}"/>
    <hyperlink ref="B1174" r:id="rId856" xr:uid="{ED661D59-E35C-4566-9C32-034D6221D23D}"/>
    <hyperlink ref="B1175" r:id="rId857" xr:uid="{B748F9EF-2118-480D-82E9-B38C1DA21FD0}"/>
    <hyperlink ref="B1176" r:id="rId858" xr:uid="{4DCA195D-A0BB-4566-B222-73DE6BD903E9}"/>
    <hyperlink ref="B1177" r:id="rId859" xr:uid="{26C4561C-5C01-4BAE-9A4A-7EDC1301F069}"/>
    <hyperlink ref="B1178" r:id="rId860" xr:uid="{8E35946B-4535-4FBA-820B-C2A210615730}"/>
    <hyperlink ref="B1179" r:id="rId861" xr:uid="{CE14BE76-BD4C-47F2-B2A7-5495208D865D}"/>
    <hyperlink ref="B1180" r:id="rId862" xr:uid="{40F679C1-C964-4627-855C-379EA1A58CE3}"/>
    <hyperlink ref="B1181" r:id="rId863" xr:uid="{CB525611-1E74-4F24-97B4-DDD0080DAE6D}"/>
    <hyperlink ref="B1182" r:id="rId864" xr:uid="{7270CD36-CEE0-4487-8F44-4D6CCBFF120A}"/>
    <hyperlink ref="B1183" r:id="rId865" xr:uid="{1A10DE54-FB42-456F-9A27-00DEEDC696BE}"/>
    <hyperlink ref="B1184" r:id="rId866" xr:uid="{9A1B59A6-BDD1-483C-AC93-7066FE228481}"/>
    <hyperlink ref="B1185" r:id="rId867" xr:uid="{3A18A231-E7B5-475A-9BA4-B7C105790FA5}"/>
    <hyperlink ref="B1186" r:id="rId868" xr:uid="{6BC817DF-8760-4D69-8FE4-3F472D5F98B0}"/>
    <hyperlink ref="B1187" r:id="rId869" xr:uid="{16AA27C2-AF38-43E8-A28A-92F27551762A}"/>
    <hyperlink ref="B1188" r:id="rId870" xr:uid="{9BE13563-AEFA-49D7-8063-9015CACFE74A}"/>
    <hyperlink ref="B1189" r:id="rId871" xr:uid="{2CB3C9A0-06E8-4A99-9C89-BB2E9D99F400}"/>
    <hyperlink ref="B1190" r:id="rId872" xr:uid="{10EC0779-10A4-4188-AD01-ABBCFCF5C5A8}"/>
    <hyperlink ref="B1191" r:id="rId873" xr:uid="{26383AA3-0255-45C0-BC99-A374A256C788}"/>
    <hyperlink ref="B1192" r:id="rId874" xr:uid="{42BD0865-8BE8-4398-97FD-D64B339C0E83}"/>
    <hyperlink ref="B1193" r:id="rId875" xr:uid="{4C778C08-362E-42F3-A8F0-F4E52FCD09FC}"/>
    <hyperlink ref="B1194" r:id="rId876" xr:uid="{828B5A9D-7D77-49B2-9E4D-D00ACE56BD49}"/>
    <hyperlink ref="B1195" r:id="rId877" xr:uid="{0B9C3C43-304F-42E4-81FD-29E7F1C70C27}"/>
    <hyperlink ref="B1196" r:id="rId878" xr:uid="{C2D40117-9739-4537-A0D7-973D5B0736BC}"/>
    <hyperlink ref="B1197" r:id="rId879" xr:uid="{0C96B139-F5EB-4425-B7E8-1F65614801DA}"/>
    <hyperlink ref="B1198" r:id="rId880" xr:uid="{74C5A921-C319-401C-9B0D-19E9C40985CC}"/>
    <hyperlink ref="B1199" r:id="rId881" xr:uid="{78C63E9A-CEB4-4D0C-BBAE-2E764A776933}"/>
    <hyperlink ref="B1200" r:id="rId882" xr:uid="{80C84C13-CEF2-4D7C-A938-87C4FA945F99}"/>
    <hyperlink ref="B1201" r:id="rId883" xr:uid="{C9FCFCBE-3426-4577-99EE-799460479525}"/>
    <hyperlink ref="B1202" r:id="rId884" xr:uid="{B484AA72-6AE2-4A14-9033-4F0B0BF106FF}"/>
    <hyperlink ref="B1203" r:id="rId885" xr:uid="{0C1DA364-930D-442E-9469-6C6CD3B50237}"/>
    <hyperlink ref="B1204" r:id="rId886" xr:uid="{FDEA401C-D25F-40CA-8E0A-48751F08272D}"/>
    <hyperlink ref="B1205" r:id="rId887" xr:uid="{AC44522A-E3D5-4C6F-8C4F-CD70BE92F4C6}"/>
    <hyperlink ref="B1206" r:id="rId888" xr:uid="{5B950A6D-4F72-4BE7-8F33-443F0CF652D2}"/>
    <hyperlink ref="B1207" r:id="rId889" xr:uid="{5E9EA767-591D-4D2F-B541-CC96192592E1}"/>
    <hyperlink ref="B1208" r:id="rId890" xr:uid="{B88DBD61-4BB8-43CD-B6AE-F67AC447E202}"/>
    <hyperlink ref="B1209" r:id="rId891" xr:uid="{3D63A7B5-B1D8-46F3-B244-22A64973D3F1}"/>
    <hyperlink ref="B1210" r:id="rId892" xr:uid="{262A76CE-9291-4BF1-B106-D2E528576751}"/>
    <hyperlink ref="B1211" r:id="rId893" xr:uid="{6EBECAF7-2FBB-4319-8F5A-48519C7B8641}"/>
    <hyperlink ref="B1212" r:id="rId894" xr:uid="{75F794C3-4BBD-460D-BCC9-06CA273A8123}"/>
    <hyperlink ref="B1213" r:id="rId895" xr:uid="{91CBE925-1C33-47C4-8309-2DD52D1D7B3E}"/>
    <hyperlink ref="B1214" r:id="rId896" xr:uid="{BB919ECA-1FBC-4A4D-B5ED-D4593E542C72}"/>
    <hyperlink ref="B1215" r:id="rId897" xr:uid="{8759B751-56C4-42D2-AF61-9A50C34228E4}"/>
    <hyperlink ref="B1216" r:id="rId898" xr:uid="{2B837AA3-C7E3-4B89-BA52-676920717A09}"/>
    <hyperlink ref="B1217" r:id="rId899" xr:uid="{2558871D-0529-477F-88FD-42669B98A5EC}"/>
    <hyperlink ref="B1218" r:id="rId900" xr:uid="{CF132BDD-B05C-4315-B4C5-1F36C66A1325}"/>
    <hyperlink ref="B1219" r:id="rId901" xr:uid="{21569191-A739-48AA-8664-DDBEBFCC51F6}"/>
    <hyperlink ref="B1220" r:id="rId902" xr:uid="{9A2B8348-57D1-42B0-9726-63AA60DB8DB1}"/>
    <hyperlink ref="B1221" r:id="rId903" xr:uid="{B48DDE5D-9B78-4818-8AFC-910A4EAF69B3}"/>
    <hyperlink ref="Q1221" r:id="rId904" xr:uid="{AA85A300-AE09-4F36-9615-614860C488CB}"/>
    <hyperlink ref="B1222" r:id="rId905" xr:uid="{9CC701C4-0D85-4B71-A2C9-7E288A8B8BF5}"/>
    <hyperlink ref="B1223" r:id="rId906" xr:uid="{53DDAAB7-D8B0-4AB7-8E56-ED572DA123F8}"/>
    <hyperlink ref="B1224" r:id="rId907" xr:uid="{0661E1C9-6145-4FD9-954C-B98F736CC819}"/>
    <hyperlink ref="B1225" r:id="rId908" xr:uid="{3EDB86A5-69D0-4B4B-AE8E-03A46674CDE0}"/>
    <hyperlink ref="B1226" r:id="rId909" xr:uid="{7B3D2E29-1869-4B18-877F-8DFF6A39CA77}"/>
    <hyperlink ref="B1227" r:id="rId910" xr:uid="{CF274889-1D5C-4F35-9A90-6442B05FCF26}"/>
    <hyperlink ref="B1228" r:id="rId911" xr:uid="{903D40B8-F712-4C4F-AED5-430A616AD5FD}"/>
    <hyperlink ref="B1229" r:id="rId912" xr:uid="{E4736202-9FAD-4FA6-9214-5661DFED3C8E}"/>
    <hyperlink ref="B1230" r:id="rId913" xr:uid="{8416223D-F6A3-40CF-A68A-368E42300470}"/>
    <hyperlink ref="B1231" r:id="rId914" xr:uid="{F768984C-8243-4F62-84CF-56C14559C2CF}"/>
    <hyperlink ref="B1232" r:id="rId915" xr:uid="{8AB6FB99-B723-445C-A2F1-AF987A0E1580}"/>
    <hyperlink ref="B1233" r:id="rId916" xr:uid="{5D2BDACD-0E03-41F0-AF36-B69D13A8C358}"/>
    <hyperlink ref="B1234:B1242" r:id="rId917" display="Pavleichik 2017" xr:uid="{798A9FAD-19C3-4772-9AE0-C6E2BB0F73AA}"/>
    <hyperlink ref="B1243" r:id="rId918" xr:uid="{04325BB0-11B9-492C-8AA0-35ECF55AB873}"/>
    <hyperlink ref="B1244" r:id="rId919" xr:uid="{6252ADF4-918B-487B-9240-933EBC91DA83}"/>
    <hyperlink ref="B1245" r:id="rId920" xr:uid="{A36D5C78-AE21-4741-8613-B021E00D9AAB}"/>
    <hyperlink ref="B1246" r:id="rId921" xr:uid="{63EF858C-630D-48A7-B980-22C551819E6D}"/>
    <hyperlink ref="B1247" r:id="rId922" xr:uid="{FF3A350E-D724-4F79-9439-B7566199EC86}"/>
    <hyperlink ref="B1248" r:id="rId923" xr:uid="{D8F0DCB7-76F6-4DC0-9B2A-0E2E492D544A}"/>
    <hyperlink ref="B1249" r:id="rId924" xr:uid="{2685B421-03E3-466B-A5FD-2FB51562F5AB}"/>
    <hyperlink ref="B1250" r:id="rId925" xr:uid="{BA616B1D-047F-4389-A858-BB44224E45FC}"/>
    <hyperlink ref="B1251" r:id="rId926" xr:uid="{A72A0DA5-BBD5-4C4F-A61F-F5EA366B92B8}"/>
    <hyperlink ref="B1252" r:id="rId927" xr:uid="{F87A07C5-8485-4C9D-8989-3EBDF1FB238F}"/>
    <hyperlink ref="B1253" r:id="rId928" xr:uid="{E747C00B-E2A8-4176-AFD6-4F67ACFD4F4E}"/>
    <hyperlink ref="B1254" r:id="rId929" xr:uid="{7D110D34-6159-43C7-87F3-4C9C5F1F746B}"/>
    <hyperlink ref="B1255" r:id="rId930" xr:uid="{07333323-6032-46E9-B6F3-A26D0652D34D}"/>
    <hyperlink ref="B1256" r:id="rId931" xr:uid="{17D4D8C4-9BF6-4A95-992D-E051A1C25EDB}"/>
    <hyperlink ref="B1257" r:id="rId932" xr:uid="{46C82B56-CEBC-4AE1-AD06-764682C820F1}"/>
    <hyperlink ref="B1258" r:id="rId933" xr:uid="{EF0C8DB2-F064-491E-A123-0F83FDAD2D71}"/>
    <hyperlink ref="B1260" r:id="rId934" xr:uid="{12FF3E2F-3698-4E50-9E2B-F458988E3475}"/>
    <hyperlink ref="B1259" r:id="rId935" xr:uid="{E4883DBA-3C1B-460C-937D-8A7B7D4E2FF2}"/>
    <hyperlink ref="B1261" r:id="rId936" xr:uid="{6721A1E2-80A8-4C63-BD31-E7DBB8460975}"/>
    <hyperlink ref="B1262" r:id="rId937" xr:uid="{302C830B-8BF4-4CD9-8378-039CD1902184}"/>
    <hyperlink ref="B1263" r:id="rId938" xr:uid="{EE206AC3-A876-41F1-A3F7-034234EC6A46}"/>
    <hyperlink ref="B1264" r:id="rId939" xr:uid="{6CEEEF50-AB1E-456D-A4FF-3E3D91076FE0}"/>
    <hyperlink ref="B1265" r:id="rId940" xr:uid="{B7DA6ABB-C428-4EDA-80A4-27CEE6465793}"/>
    <hyperlink ref="B1266" r:id="rId941" xr:uid="{FEBDE4ED-AF5F-4A52-BE1D-92E4B69EC9AC}"/>
    <hyperlink ref="B1267" r:id="rId942" xr:uid="{B8E8F1CB-830B-4609-A89E-C5BFA14A8C04}"/>
    <hyperlink ref="B1268" r:id="rId943" xr:uid="{638D8575-1B57-49FF-904D-B041CE25D652}"/>
    <hyperlink ref="B1269" r:id="rId944" xr:uid="{FF7D3F3A-363A-4F60-931E-0320E2F244EB}"/>
    <hyperlink ref="B1270" r:id="rId945" xr:uid="{EF02F299-2CD9-4C38-A64F-A08B4C5C262D}"/>
    <hyperlink ref="B1271" r:id="rId946" xr:uid="{416AA7C5-59B3-4C4E-B4ED-A4ABB098E906}"/>
    <hyperlink ref="B1272" r:id="rId947" xr:uid="{9304AE7E-8C73-449C-A718-3A4FC9F80C6F}"/>
    <hyperlink ref="B1273" r:id="rId948" xr:uid="{57F11B2E-C2F7-4F3F-8EF9-A63A14F14A1B}"/>
    <hyperlink ref="B1274" r:id="rId949" xr:uid="{37C79228-5215-4874-BB94-85497D89FF89}"/>
    <hyperlink ref="B1275" r:id="rId950" xr:uid="{CFFAEF68-597F-473A-AF6C-9AEEFB0BFC95}"/>
    <hyperlink ref="B1276" r:id="rId951" xr:uid="{6E3222E4-6555-4132-A0E8-189EC8FF7511}"/>
    <hyperlink ref="B1277" r:id="rId952" xr:uid="{A7261E10-EEA7-4147-8138-B9D11019A35A}"/>
    <hyperlink ref="B1278" r:id="rId953" xr:uid="{AFDA0FB3-9AA7-46C0-8D3C-FF9E7B5A6CB0}"/>
    <hyperlink ref="B1279" r:id="rId954" display="Leverkus 2018" xr:uid="{AF6854E9-4B02-439B-A7AD-3C84CC1DADD5}"/>
    <hyperlink ref="B1280" r:id="rId955" display="Leverkus 2018" xr:uid="{A9CBA4A6-8D43-4402-9E41-57EF90C23A1B}"/>
    <hyperlink ref="B1281" r:id="rId956" display="Leverkus 2018" xr:uid="{F0AC14CE-F1F6-471D-AE49-0F11059CB7A2}"/>
    <hyperlink ref="B1282" r:id="rId957" xr:uid="{19E8B699-E3A9-4119-AFF5-F9BB665D3424}"/>
    <hyperlink ref="B1283" r:id="rId958" xr:uid="{0580D2EC-53F4-4868-8434-9229445D0DB5}"/>
    <hyperlink ref="B1284" r:id="rId959" xr:uid="{7B4B6A1C-0E12-4F00-9AA6-79AA04727E99}"/>
    <hyperlink ref="B1285" r:id="rId960" xr:uid="{BE63F177-ED60-4C0E-B07F-8D413512E0BE}"/>
    <hyperlink ref="B1286" r:id="rId961" xr:uid="{AC1E5168-6698-4082-B766-99FB7A6B7C1E}"/>
    <hyperlink ref="B1287" r:id="rId962" xr:uid="{46D2FA61-2ED1-43AE-8ECC-EBCC659C5769}"/>
    <hyperlink ref="B1288" r:id="rId963" xr:uid="{7783BB38-8DC8-4C0B-924D-D95864E5A60E}"/>
    <hyperlink ref="B1289" r:id="rId964" xr:uid="{06A2C2B0-EC1E-472D-B111-D2F84E272BC6}"/>
    <hyperlink ref="B1290" r:id="rId965" xr:uid="{59351DA6-16BC-436D-946E-CB8857D1EF61}"/>
    <hyperlink ref="B1291" r:id="rId966" xr:uid="{61A919EB-2308-4F56-A4D0-FCE8E22AA9FF}"/>
    <hyperlink ref="B1292" r:id="rId967" xr:uid="{31CE6F97-880C-43DD-8411-F42E676DD91C}"/>
    <hyperlink ref="B1293" r:id="rId968" xr:uid="{066FBA05-D009-4B55-BCA2-0CC54AD208F2}"/>
    <hyperlink ref="B1294" r:id="rId969" location="v=onepage&amp;q&amp;f=false" xr:uid="{99748A36-9EC6-470B-B989-2B90DC94DFEC}"/>
    <hyperlink ref="B1295" r:id="rId970" location="v=onepage&amp;q&amp;f=false" xr:uid="{6D11EAE1-ABFF-4DF9-A679-F0982A449E44}"/>
    <hyperlink ref="B1296" r:id="rId971" location="v=onepage&amp;q&amp;f=false" xr:uid="{CE6544D5-7DEA-41D2-A424-B34855A769C0}"/>
    <hyperlink ref="B1297" r:id="rId972" xr:uid="{DBFB8980-3B03-489C-AE21-88DFEFD3CE5F}"/>
    <hyperlink ref="B1299" r:id="rId973" display="Smil 1999" xr:uid="{07CA7A62-8C91-4305-853D-9DEE473EF248}"/>
    <hyperlink ref="B1298" r:id="rId974" xr:uid="{0D68574D-4088-43F7-9453-BEB7E9DA96DB}"/>
    <hyperlink ref="B1300" r:id="rId975" xr:uid="{4A4A620A-3465-4A94-9E98-1FBDDCD661E7}"/>
    <hyperlink ref="B1301" r:id="rId976" xr:uid="{090A910E-9F75-42AB-92BB-C0CAF0D1DCFA}"/>
    <hyperlink ref="B1302" r:id="rId977" xr:uid="{4C3C93DA-7C75-4EDD-876A-1AB14881425F}"/>
    <hyperlink ref="B1303" r:id="rId978" xr:uid="{96191E26-DB5F-45B5-B861-8492F7A08C37}"/>
    <hyperlink ref="B1304" r:id="rId979" xr:uid="{6292FFDB-B8F7-4682-9B1B-0626D601FBB2}"/>
    <hyperlink ref="B1305" r:id="rId980" xr:uid="{BDB10B16-0201-4AD2-9E9C-65844A8B69C5}"/>
    <hyperlink ref="B1306:B1319" r:id="rId981" display="Rudorff 2010" xr:uid="{8B5FEFA1-D208-47B1-9141-84648F52DDA9}"/>
    <hyperlink ref="B1320" r:id="rId982" display="Rudorff 2010" xr:uid="{04133DE7-60BE-45FB-A858-E2EBBEE5C358}"/>
    <hyperlink ref="B1321" r:id="rId983" xr:uid="{6FA50F31-598C-474A-A435-3BB8650FB48F}"/>
    <hyperlink ref="B1322" r:id="rId984" xr:uid="{ABED5B43-6652-48D9-9B88-D377D4E8CDD1}"/>
    <hyperlink ref="B1323" r:id="rId985" xr:uid="{81EF4FF1-31CD-495F-B4ED-D8A5E2793073}"/>
    <hyperlink ref="B1324" r:id="rId986" xr:uid="{EBF0ADC5-0213-4548-817B-64BF2BC9D977}"/>
    <hyperlink ref="B1325" r:id="rId987" xr:uid="{778C363A-BB94-4E13-8ED6-06C992AC736F}"/>
    <hyperlink ref="B1326" r:id="rId988" xr:uid="{1A1E3E81-2C50-43CB-A91B-4A89CA2DFFAB}"/>
    <hyperlink ref="B1327" r:id="rId989" xr:uid="{98D8D543-EDC1-4B53-AECC-00BC794730B5}"/>
    <hyperlink ref="B1328" r:id="rId990" xr:uid="{81B51885-3764-4E77-B5F5-A34F85D48781}"/>
    <hyperlink ref="B1329" r:id="rId991" xr:uid="{82E83B1D-6581-4629-81F5-9CCA4FD00B14}"/>
    <hyperlink ref="B1330" r:id="rId992" xr:uid="{CE889403-9476-4303-9E4C-DBD9C7D847F4}"/>
    <hyperlink ref="B1331" r:id="rId993" xr:uid="{593812FA-5557-4B86-8129-96320357B29A}"/>
    <hyperlink ref="B1332" r:id="rId994" xr:uid="{19342BED-00C6-4CC7-88B4-EDC91E03E430}"/>
    <hyperlink ref="B1333" r:id="rId995" xr:uid="{8C6BD2B0-C5EF-4772-94CC-D0B4F30FFD99}"/>
    <hyperlink ref="B1334" r:id="rId996" xr:uid="{EDB8B46B-4B91-4131-B1CE-79F2485F3C4C}"/>
    <hyperlink ref="B1015:B1019" r:id="rId997" display="Sun, Ge &amp; Zhou, 2011" xr:uid="{746C264E-50CF-47B9-B096-75D371E8B645}"/>
    <hyperlink ref="B1335" r:id="rId998" display="Chang 2019" xr:uid="{679AB78D-952E-401F-90EB-F41A45446EDA}"/>
    <hyperlink ref="B1336" r:id="rId999" xr:uid="{D48C6AC6-56F8-4288-8520-CA9F96C2BB64}"/>
    <hyperlink ref="B1337" r:id="rId1000" xr:uid="{F0710096-A065-43E3-BEAD-1563FDADFC02}"/>
    <hyperlink ref="B1338" r:id="rId1001" xr:uid="{B87ACAD4-92C9-4224-8A3F-50437830DA59}"/>
    <hyperlink ref="B1339" r:id="rId1002" xr:uid="{8F998434-99B9-4C6B-B631-8983724F0B80}"/>
    <hyperlink ref="B1340" r:id="rId1003" xr:uid="{527CB516-CA35-47AD-A0C5-FD916BC3E045}"/>
    <hyperlink ref="B1341" r:id="rId1004" xr:uid="{159B2090-7C9F-47D9-97BA-63019EB62452}"/>
    <hyperlink ref="B1342" r:id="rId1005" xr:uid="{FCE6BA60-19B1-4504-B01D-39DB829C2603}"/>
    <hyperlink ref="B1343" r:id="rId1006" xr:uid="{6EAC6DF9-C7A3-481D-8B89-A0FD47856990}"/>
    <hyperlink ref="B1344" r:id="rId1007" xr:uid="{B3BAE799-3053-4310-85F6-3128E7BDD873}"/>
    <hyperlink ref="B1345" r:id="rId1008" xr:uid="{CAFEAB8C-B58E-40C1-A665-F9F0A8E0C471}"/>
    <hyperlink ref="B1346" r:id="rId1009" xr:uid="{8F65901B-E1C8-41E7-81E7-8778FA407B7C}"/>
    <hyperlink ref="B1347" r:id="rId1010" xr:uid="{FFC92D6E-76DD-410D-9AA0-E7140033ACF2}"/>
    <hyperlink ref="B1348" r:id="rId1011" xr:uid="{411F27EC-F00F-4694-AE28-222DD215648D}"/>
    <hyperlink ref="B1349" r:id="rId1012" xr:uid="{02A3345F-A00B-4D51-ABFB-A90AD65261A0}"/>
    <hyperlink ref="B1350" r:id="rId1013" xr:uid="{011E2AC4-7146-4BA7-9DE2-66BA34A23FA5}"/>
    <hyperlink ref="B1351" r:id="rId1014" xr:uid="{5A9A2093-1AB5-4E1D-BC64-C09921A27CF1}"/>
    <hyperlink ref="B1352" r:id="rId1015" xr:uid="{8DEFEFC0-10F4-4D00-A0D5-406FA576AC23}"/>
    <hyperlink ref="B1353:B1354" r:id="rId1016" display="Gadde 2009" xr:uid="{DD5FD498-EDDE-428F-A6D2-9167AACC4CEA}"/>
    <hyperlink ref="B1355:B1356" r:id="rId1017" display="Gadde 2009" xr:uid="{A754ACF6-07DF-4BFC-8789-1F9FC60BF597}"/>
    <hyperlink ref="B1357" r:id="rId1018" xr:uid="{1879FEAB-AE5C-4ACF-AD4D-508433D6BECF}"/>
    <hyperlink ref="B1358" r:id="rId1019" xr:uid="{20EC7FCE-994B-4610-8C4F-6FC400361A6B}"/>
    <hyperlink ref="B1359" r:id="rId1020" xr:uid="{522F09C6-A097-44F9-8F46-ABEB0AD53E19}"/>
    <hyperlink ref="B1360" r:id="rId1021" xr:uid="{796F40F7-FB5A-45C4-A16F-2BE68EE33412}"/>
    <hyperlink ref="B1361" r:id="rId1022" display="Pouliot" xr:uid="{0145EA51-5377-4628-BA16-3AD0DC3DE978}"/>
    <hyperlink ref="B1362" r:id="rId1023" display="Pouliot" xr:uid="{2BF3C50A-9CB6-4D16-9217-9C364D57B1F0}"/>
    <hyperlink ref="B1363" r:id="rId1024" display="Pouliot" xr:uid="{A9D32A86-B8FB-46EB-8F45-30CDD11C3712}"/>
    <hyperlink ref="B1364" r:id="rId1025" xr:uid="{7B0EC9FD-4533-4423-AA8C-041214B31C21}"/>
    <hyperlink ref="B1365:B1366" r:id="rId1026" display="McCarty 2017" xr:uid="{A772AB00-E9F8-46F1-9FAC-C1EB28891F5C}"/>
    <hyperlink ref="B1367" r:id="rId1027" xr:uid="{D9036221-CF12-4C8C-A04A-4396C52CDF2B}"/>
    <hyperlink ref="B1368:B1380" r:id="rId1028" display="Farag 2013" xr:uid="{BC5C0D40-EFCB-4396-B379-15081531126E}"/>
    <hyperlink ref="B1381" r:id="rId1029" xr:uid="{7193DD03-1D93-4CBE-952F-2C06BD525270}"/>
    <hyperlink ref="B1382" r:id="rId1030" xr:uid="{6C59345C-7673-4CAD-97D4-8D49045728DD}"/>
    <hyperlink ref="B1383" r:id="rId1031" xr:uid="{04F457DA-4385-4199-BABB-18C2C40051AF}"/>
    <hyperlink ref="B1384" r:id="rId1032" xr:uid="{D83E386E-E3E0-4680-AD15-87E13297566F}"/>
    <hyperlink ref="B1385" r:id="rId1033" xr:uid="{768C1967-0C3E-4953-9779-3FA7AC4418DB}"/>
    <hyperlink ref="B1386" r:id="rId1034" xr:uid="{290DDFD2-CC45-4A25-8AFD-9F2817BD4ECD}"/>
    <hyperlink ref="B1387" r:id="rId1035" xr:uid="{30F20F84-B739-4F7A-BE3C-97067736D8A7}"/>
    <hyperlink ref="B1388" r:id="rId1036" xr:uid="{726D97FC-5479-412E-9EB5-CB731DDAECCA}"/>
    <hyperlink ref="B1389" r:id="rId1037" xr:uid="{3ACD992C-5635-4390-97F3-50702BE09C77}"/>
    <hyperlink ref="B1390" r:id="rId1038" display="Achyar 2014" xr:uid="{E7623105-AC82-44E2-AAC6-B9767EBB1FE3}"/>
    <hyperlink ref="B1391" r:id="rId1039" xr:uid="{640993CB-9260-48E3-90E8-41AA93E0C6C1}"/>
    <hyperlink ref="B1392" r:id="rId1040" xr:uid="{2865D96F-8962-42E7-ADCF-60F9C2C2A98F}"/>
    <hyperlink ref="B1393" r:id="rId1041" xr:uid="{BFF38722-1C11-4470-8E6A-3A5962A62EAD}"/>
    <hyperlink ref="B1394" r:id="rId1042" xr:uid="{F631267D-9FB8-4137-A323-F816814B4B01}"/>
    <hyperlink ref="B1395" r:id="rId1043" xr:uid="{BFAFBC05-B474-41A6-87BD-943F947FC8D2}"/>
    <hyperlink ref="B1396" r:id="rId1044" xr:uid="{ED030688-DEAB-4ECA-A5B4-FEF550EDFAFA}"/>
    <hyperlink ref="B1397" r:id="rId1045" xr:uid="{43006636-F6A3-4D7F-8859-A90C8C097123}"/>
    <hyperlink ref="B1398" r:id="rId1046" xr:uid="{84EF799C-B858-45E1-80F8-4F83B4111142}"/>
    <hyperlink ref="B1399" r:id="rId1047" xr:uid="{2309AE16-A35A-4F5F-9BAD-2EE2A9B97EB2}"/>
    <hyperlink ref="B1400" r:id="rId1048" xr:uid="{2652B913-34EA-4711-B4D0-2B676DA1B92C}"/>
    <hyperlink ref="B1401" r:id="rId1049" xr:uid="{B505018A-FC32-4BC9-A392-EA72C83F3204}"/>
    <hyperlink ref="B1402" r:id="rId1050" xr:uid="{FF7F757E-0A44-4AA8-8C5B-6FAD20483C87}"/>
    <hyperlink ref="B1403" r:id="rId1051" display="Hung 2019" xr:uid="{592EA124-8F96-4A76-B2F7-797581509065}"/>
    <hyperlink ref="B1406" r:id="rId1052" xr:uid="{96DF1AC6-5DDB-4353-9CEA-965C767DD54B}"/>
    <hyperlink ref="B1407" r:id="rId1053" xr:uid="{7C3075FE-7E7F-4A7C-ACA5-49CA4B25F90D}"/>
    <hyperlink ref="B1408" r:id="rId1054" xr:uid="{B8427A5F-8B05-4D87-BDCB-BACFEEF0D58E}"/>
    <hyperlink ref="B1409" r:id="rId1055" xr:uid="{7763E58B-BF82-4327-A165-A12822A12D4C}"/>
    <hyperlink ref="B1410" r:id="rId1056" xr:uid="{3A32DD2B-BAC4-491C-ABB3-587FBE9049B3}"/>
    <hyperlink ref="B1411" r:id="rId1057" xr:uid="{472F30A3-56D6-4309-92DD-72BFAE3A31C1}"/>
    <hyperlink ref="B1412" r:id="rId1058" xr:uid="{4A5E8F6E-EF4A-464F-9428-9EBE398C3A0C}"/>
    <hyperlink ref="B1413" r:id="rId1059" xr:uid="{D565F07B-9647-493F-A8A8-37C4123A2885}"/>
    <hyperlink ref="B1414" r:id="rId1060" xr:uid="{24A87B32-D179-46F9-B2D2-E31C3429252D}"/>
    <hyperlink ref="B1415" r:id="rId1061" xr:uid="{7FF9AD97-6420-4D67-9CAE-799C134E060E}"/>
    <hyperlink ref="B1416" r:id="rId1062" xr:uid="{6FEAA4AC-1D6B-4DAB-A6E6-E530F3DDED67}"/>
    <hyperlink ref="B1417" r:id="rId1063" xr:uid="{95599EFE-C252-4A76-8B13-7174CE14F4C1}"/>
    <hyperlink ref="B1418" r:id="rId1064" xr:uid="{5B7B5C45-6E9C-4B7D-8BFD-C73C3BBFB0D9}"/>
    <hyperlink ref="B1419" r:id="rId1065" display="Ubeda 2016" xr:uid="{F9423694-6E9D-4840-9227-683124F4E486}"/>
    <hyperlink ref="B1420:B1434" r:id="rId1066" display="Ubeda 2016" xr:uid="{161C6B38-D3EA-4435-B78C-6861DC99CED2}"/>
    <hyperlink ref="B1435" r:id="rId1067" display="Ubeda 2016" xr:uid="{95068762-9D83-49FD-AA17-3EB4CBCEEA59}"/>
    <hyperlink ref="B1436" r:id="rId1068" display="Ubeda 2016" xr:uid="{2AE42E1F-E359-453A-BFF1-5E5CD2C26424}"/>
    <hyperlink ref="B1437" r:id="rId1069" display="Ubeda 2016" xr:uid="{4B807DB1-A13A-494E-AADD-B3A1E64B888A}"/>
    <hyperlink ref="B1438:B1451" r:id="rId1070" display="Ubeda 2016" xr:uid="{31286213-7162-4EC4-9314-1168CEE7A8F1}"/>
    <hyperlink ref="B1425" r:id="rId1071" display="Ubeda 2016" xr:uid="{0F7A0342-16A0-4324-BAEE-8F54C5922364}"/>
    <hyperlink ref="B1452" r:id="rId1072" display="Ubeda 2016" xr:uid="{CF1AE7FF-045F-463E-A737-5D41CC1B7C2D}"/>
    <hyperlink ref="B1453" r:id="rId1073" xr:uid="{C166E472-8770-4B3C-93AE-45255F090E1A}"/>
    <hyperlink ref="B1454" r:id="rId1074" xr:uid="{8504FB77-19CB-408F-9243-1602E791B43C}"/>
    <hyperlink ref="Q1452" r:id="rId1075" xr:uid="{21393965-1910-417F-A099-14109EA95B55}"/>
    <hyperlink ref="Q1419:Q1451" r:id="rId1076" display="Data from Ubeda complemented with information from secondary data source (CONAF)" xr:uid="{E1A3CA2A-EDEF-476E-AD53-25CEED0F45FF}"/>
    <hyperlink ref="B1455" r:id="rId1077" xr:uid="{B460D824-BA3C-4A4E-89E3-FBBAA4CC75EF}"/>
    <hyperlink ref="B1456" r:id="rId1078" xr:uid="{3FFD5F63-F83F-466F-9463-F5634E8A9EC9}"/>
    <hyperlink ref="B1457" r:id="rId1079" xr:uid="{DE5737A7-29DD-46E3-B54F-FBCDF463663A}"/>
    <hyperlink ref="B1458" r:id="rId1080" display="Bowman et al., 2017" xr:uid="{2C2D25B6-D2C1-4DFD-B6AA-F6A3A3154BF6}"/>
    <hyperlink ref="B1459" r:id="rId1081" xr:uid="{BF42F6E1-9F54-4660-9F8D-4780B4360856}"/>
    <hyperlink ref="B1460" r:id="rId1082" xr:uid="{94D5BE5F-4D13-470D-9BE0-A75484B47582}"/>
    <hyperlink ref="B1461" r:id="rId1083" xr:uid="{3FC882EB-4E2B-4233-8729-95B213DC8618}"/>
    <hyperlink ref="B1462" r:id="rId1084" xr:uid="{CBED6357-7CC9-4722-B67A-5733D23C5C5B}"/>
    <hyperlink ref="B1463" r:id="rId1085" xr:uid="{8A500FAC-7C2B-452D-AF4C-55821A8B3974}"/>
    <hyperlink ref="B1464" r:id="rId1086" xr:uid="{E7E75FE0-534B-426F-9F08-B976CB5363C3}"/>
    <hyperlink ref="B1465" r:id="rId1087" xr:uid="{E1D4ECC8-07C5-4839-AB2C-831B6AE29E8F}"/>
    <hyperlink ref="B1466" r:id="rId1088" xr:uid="{6BE23CBA-9FC7-4097-AF5B-5D570D53ABD8}"/>
    <hyperlink ref="B1467" r:id="rId1089" xr:uid="{9857683D-32AC-4F79-8589-047ABC2F380A}"/>
    <hyperlink ref="B1468" r:id="rId1090" xr:uid="{61231E42-68A1-4C4A-9B09-034F5F6F2BC2}"/>
    <hyperlink ref="B1469" r:id="rId1091" xr:uid="{3A589942-FA7E-4685-9670-6A57FE61C0DC}"/>
    <hyperlink ref="B1470" r:id="rId1092" xr:uid="{8BB8E77E-AD4C-47BB-BB49-6D8C27440C36}"/>
    <hyperlink ref="B1471" r:id="rId1093" xr:uid="{D4FFAA3C-DF61-47E6-827D-2AFC329C8FD3}"/>
    <hyperlink ref="B1472" r:id="rId1094" xr:uid="{8F028212-324F-4994-B5B1-5D38B8EDF0F8}"/>
    <hyperlink ref="B1473" r:id="rId1095" xr:uid="{EE3D0D6C-DC54-4019-A196-569039C60C28}"/>
    <hyperlink ref="B1474" r:id="rId1096" xr:uid="{182F0229-C690-4317-ACA0-D8A18573C3A5}"/>
    <hyperlink ref="B1475" r:id="rId1097" xr:uid="{B64B72B4-5FC6-48F7-B046-C3364A4E2A4A}"/>
    <hyperlink ref="B1476" r:id="rId1098" xr:uid="{14AC0343-874E-44FD-9B33-859434317D5D}"/>
    <hyperlink ref="B1477" r:id="rId1099" xr:uid="{EA2AE20D-C7B6-4112-AFB9-6C4406284752}"/>
    <hyperlink ref="B1478" r:id="rId1100" xr:uid="{25D4EB9B-0B26-45E4-8D83-2392E76A1A2E}"/>
    <hyperlink ref="B1479" r:id="rId1101" xr:uid="{4984D223-AF69-41F6-A190-EA72CAFB3433}"/>
    <hyperlink ref="B1480" r:id="rId1102" xr:uid="{08B48B74-21CB-41F7-A752-320B30F34676}"/>
    <hyperlink ref="B1481" r:id="rId1103" xr:uid="{D1770D18-9149-4321-B2D5-BD0EFED5A8D3}"/>
    <hyperlink ref="B1482" r:id="rId1104" xr:uid="{E847AAA3-8A4C-4C7B-8BBC-065BCD604FA4}"/>
    <hyperlink ref="B1483" r:id="rId1105" xr:uid="{23365151-D43F-406A-BA33-CF17D479684A}"/>
    <hyperlink ref="B1484" r:id="rId1106" xr:uid="{516FF87A-731F-43FE-84E4-5FF92A30A30A}"/>
    <hyperlink ref="B1485" r:id="rId1107" xr:uid="{4E9EE1B8-7239-4627-914D-EDA2BBC1F966}"/>
    <hyperlink ref="B1486:B1489" r:id="rId1108" display="Oyansanaa 2011" xr:uid="{B6C2B312-5F47-4986-B2B3-CBAAF157B344}"/>
    <hyperlink ref="B1490" r:id="rId1109" xr:uid="{DAC36EBE-1783-4B15-81FF-384886E644B9}"/>
    <hyperlink ref="B1491" r:id="rId1110" xr:uid="{965F3DC9-8828-44CD-9596-E3FC17B704C8}"/>
    <hyperlink ref="B1492" r:id="rId1111" xr:uid="{B068F93A-F9A7-40EA-9F24-32DE1240FF84}"/>
    <hyperlink ref="B1493" r:id="rId1112" xr:uid="{A94C088A-E33E-4C22-BD38-B7C20EE48044}"/>
    <hyperlink ref="B1494" r:id="rId1113" xr:uid="{03DF4455-C1C0-4F6C-938B-E79F447F1C65}"/>
    <hyperlink ref="B1495" r:id="rId1114" xr:uid="{7C7ECA6A-B84D-4ADC-9079-99D5C1D6E089}"/>
    <hyperlink ref="B1496" r:id="rId1115" xr:uid="{F3C0C1EC-4C62-4C16-814D-E77D505E9A04}"/>
    <hyperlink ref="B1497" r:id="rId1116" xr:uid="{ABAFCB84-EBEB-426C-A2D2-A8AABECD98C3}"/>
    <hyperlink ref="B1498" r:id="rId1117" xr:uid="{4A6E737C-3A5B-46AE-B2E2-66AA25D9CEFD}"/>
    <hyperlink ref="B1499" r:id="rId1118" xr:uid="{F76AE034-700F-4AE7-82AA-3C1FE3A4261F}"/>
    <hyperlink ref="B1500" r:id="rId1119" xr:uid="{33D5CAF5-855B-4490-8A02-78DDF9155A8B}"/>
    <hyperlink ref="B1501" r:id="rId1120" xr:uid="{960839A6-584D-445E-8AE4-E4BA6D0F5D9D}"/>
    <hyperlink ref="B1502" r:id="rId1121" xr:uid="{13CC551C-9F4D-4B43-A8D5-19626B4FD40A}"/>
    <hyperlink ref="B1503" r:id="rId1122" xr:uid="{1E5FAA09-321A-4771-8B4B-B4AA0D53326D}"/>
    <hyperlink ref="B1504" r:id="rId1123" xr:uid="{9AF14C3F-4F6A-45A0-BE81-DB3404147589}"/>
    <hyperlink ref="B1505" r:id="rId1124" xr:uid="{BC70A655-8533-46A1-8071-A011DA308BC7}"/>
    <hyperlink ref="B1506" r:id="rId1125" xr:uid="{AC64D2D7-F330-463D-BB00-12AE666C7922}"/>
    <hyperlink ref="B1507" r:id="rId1126" xr:uid="{59B8EC6C-0A76-4EDA-81E6-0E5938E308E3}"/>
    <hyperlink ref="B1508" r:id="rId1127" xr:uid="{A776CB35-6A2B-482E-A410-D263CC35E9F3}"/>
    <hyperlink ref="B1509:B1515" r:id="rId1128" display="Singh 2014" xr:uid="{6192EF08-FAC3-4382-BD2A-A5C51882BF96}"/>
    <hyperlink ref="B1510:B1516" r:id="rId1129" display="Singh 2014" xr:uid="{E511CD59-605F-4EF5-90E5-E46E6BE10ABF}"/>
    <hyperlink ref="B1517" r:id="rId1130" xr:uid="{38100C88-E8BC-4E12-BAA7-793A9215581A}"/>
    <hyperlink ref="B1518" r:id="rId1131" xr:uid="{E53BAAA0-5ECF-4380-88F1-6F757B254BEF}"/>
    <hyperlink ref="B1519" r:id="rId1132" xr:uid="{9F023823-B343-4C04-9365-01BCD4B07C2B}"/>
    <hyperlink ref="B1520" r:id="rId1133" xr:uid="{78932BF1-72FF-4972-AA3C-FF42882D2346}"/>
    <hyperlink ref="B1521" r:id="rId1134" xr:uid="{2F502549-4BA7-40EB-B3A4-2B41FCEE9039}"/>
    <hyperlink ref="B1522" r:id="rId1135" xr:uid="{54CE9B64-A29F-4AD9-97F9-AAA0622E8725}"/>
    <hyperlink ref="B1523" r:id="rId1136" xr:uid="{ED596AA6-B458-489A-8742-EFB617930AE6}"/>
    <hyperlink ref="B1524" r:id="rId1137" xr:uid="{A0E9BD2B-FB33-4E98-9BD2-B37F60C2BA39}"/>
    <hyperlink ref="B1525" r:id="rId1138" xr:uid="{319F1AC9-A495-466C-8C37-01DB46FE4F08}"/>
    <hyperlink ref="B1526" r:id="rId1139" xr:uid="{A9D857AC-030A-4B01-803C-370FFDAB6D75}"/>
    <hyperlink ref="B1527" r:id="rId1140" xr:uid="{D8FB3C5F-F0AC-464E-9F9D-A26B6F0A03A5}"/>
    <hyperlink ref="B1528:B1545" r:id="rId1141" display="Shearman 2009" xr:uid="{FF49B8E0-DBE9-40B5-8794-CAA7AFF2DBC0}"/>
    <hyperlink ref="B1540" r:id="rId1142" xr:uid="{823CF1F9-B9D2-4A06-AAEA-F8B6782C45B2}"/>
    <hyperlink ref="B1546" r:id="rId1143" xr:uid="{BA261539-2C54-445B-8267-4D305610EDE6}"/>
    <hyperlink ref="B1547" r:id="rId1144" xr:uid="{2EC1CA8A-A1D5-49E8-8D6B-C7D390F0E497}"/>
    <hyperlink ref="B1548" r:id="rId1145" xr:uid="{3F0A8E28-97B7-4A0A-8F65-7252B969C658}"/>
  </hyperlinks>
  <pageMargins left="0.7" right="0.7" top="0.75" bottom="0.75" header="0.3" footer="0.3"/>
  <pageSetup orientation="portrait" r:id="rId1146"/>
  <extLst>
    <ext xmlns:x14="http://schemas.microsoft.com/office/spreadsheetml/2009/9/main" uri="{CCE6A557-97BC-4b89-ADB6-D9C93CAAB3DF}">
      <x14:dataValidations xmlns:xm="http://schemas.microsoft.com/office/excel/2006/main" xWindow="1013" yWindow="897" count="7">
        <x14:dataValidation type="list" allowBlank="1" showInputMessage="1" showErrorMessage="1" prompt="One of: Academic, NGO, Government" xr:uid="{073DF15C-33D9-4998-810E-43EF7718177A}">
          <x14:formula1>
            <xm:f>'IGNORE Lookups'!$A$3:$A$6</xm:f>
          </x14:formula1>
          <xm:sqref>D1:D926 E1540 D1031:D1048576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O997:O1030</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E1:E1539 E1541:E1048576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549"/>
  <sheetViews>
    <sheetView tabSelected="1" zoomScale="55" zoomScaleNormal="55" workbookViewId="0">
      <pane ySplit="1" topLeftCell="A1541" activePane="bottomLeft" state="frozen"/>
      <selection pane="bottomLeft" activeCell="C1530" sqref="C1530"/>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41"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37" customHeight="1">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37" customHeight="1">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37" customHeight="1">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37" customHeight="1">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37" customHeight="1">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37" customHeight="1">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37" customHeight="1">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37" customHeight="1">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6639</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6645</v>
      </c>
    </row>
    <row r="930" spans="1:20" s="205" customFormat="1" ht="36" customHeight="1">
      <c r="A930" s="48" t="s">
        <v>6640</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6645</v>
      </c>
    </row>
    <row r="931" spans="1:20" s="205" customFormat="1" ht="36" customHeight="1">
      <c r="A931" s="48" t="s">
        <v>6641</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6645</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6675</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6684</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6166</v>
      </c>
      <c r="B949" s="11" t="s">
        <v>32</v>
      </c>
      <c r="C949" s="204" t="s">
        <v>12</v>
      </c>
      <c r="D949" s="4" t="s">
        <v>3855</v>
      </c>
      <c r="E949" s="11" t="s">
        <v>5801</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6804</v>
      </c>
    </row>
    <row r="950" spans="1:20" s="205" customFormat="1" ht="36" customHeight="1">
      <c r="A950" s="49" t="s">
        <v>6167</v>
      </c>
      <c r="B950" s="11" t="s">
        <v>32</v>
      </c>
      <c r="C950" s="204"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6802</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6867</v>
      </c>
    </row>
    <row r="965" spans="1:20" s="205" customFormat="1" ht="36" customHeight="1">
      <c r="A965" s="19" t="s">
        <v>6811</v>
      </c>
      <c r="B965" s="11" t="s">
        <v>2276</v>
      </c>
      <c r="C965" s="4" t="s">
        <v>2646</v>
      </c>
      <c r="D965" s="19" t="s">
        <v>3855</v>
      </c>
      <c r="E965" s="11" t="s">
        <v>5801</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5800</v>
      </c>
    </row>
    <row r="966" spans="1:20" s="205" customFormat="1" ht="36" customHeight="1">
      <c r="A966" s="19" t="s">
        <v>6812</v>
      </c>
      <c r="B966" s="11" t="s">
        <v>2276</v>
      </c>
      <c r="C966" s="4" t="s">
        <v>2646</v>
      </c>
      <c r="D966" s="11" t="s">
        <v>5801</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5" customFormat="1" ht="36" customHeight="1">
      <c r="A967" s="19" t="s">
        <v>6813</v>
      </c>
      <c r="B967" s="11" t="s">
        <v>2276</v>
      </c>
      <c r="C967" s="4" t="s">
        <v>2646</v>
      </c>
      <c r="D967" s="11" t="s">
        <v>5801</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6867</v>
      </c>
    </row>
    <row r="968" spans="1:20" s="205" customFormat="1" ht="36" customHeight="1">
      <c r="A968" s="19" t="s">
        <v>6814</v>
      </c>
      <c r="B968" s="11" t="s">
        <v>2276</v>
      </c>
      <c r="C968" s="4" t="s">
        <v>2646</v>
      </c>
      <c r="D968" s="19" t="s">
        <v>3855</v>
      </c>
      <c r="E968" s="11" t="s">
        <v>5801</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5" customFormat="1" ht="36" customHeight="1">
      <c r="A969" s="19" t="s">
        <v>6815</v>
      </c>
      <c r="B969" s="11" t="s">
        <v>2276</v>
      </c>
      <c r="C969" s="4" t="s">
        <v>2646</v>
      </c>
      <c r="D969" s="19" t="s">
        <v>3855</v>
      </c>
      <c r="E969" s="11" t="s">
        <v>5801</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5800</v>
      </c>
    </row>
    <row r="970" spans="1:20" s="205" customFormat="1" ht="36" customHeight="1">
      <c r="A970" s="19" t="s">
        <v>6816</v>
      </c>
      <c r="B970" s="11" t="s">
        <v>2276</v>
      </c>
      <c r="C970" s="4" t="s">
        <v>2646</v>
      </c>
      <c r="D970" s="19" t="s">
        <v>3855</v>
      </c>
      <c r="E970" s="11" t="s">
        <v>5801</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5800</v>
      </c>
    </row>
    <row r="971" spans="1:20" s="205" customFormat="1" ht="36" customHeight="1">
      <c r="A971" s="19" t="s">
        <v>6817</v>
      </c>
      <c r="B971" s="11" t="s">
        <v>2276</v>
      </c>
      <c r="C971" s="4" t="s">
        <v>2646</v>
      </c>
      <c r="D971" s="19" t="s">
        <v>3855</v>
      </c>
      <c r="E971" s="11" t="s">
        <v>5801</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5800</v>
      </c>
    </row>
    <row r="972" spans="1:20" s="205" customFormat="1" ht="36" customHeight="1">
      <c r="A972" s="19" t="s">
        <v>6818</v>
      </c>
      <c r="B972" s="11" t="s">
        <v>2276</v>
      </c>
      <c r="C972" s="4" t="s">
        <v>2646</v>
      </c>
      <c r="D972" s="19" t="s">
        <v>45</v>
      </c>
      <c r="E972" s="11" t="s">
        <v>5801</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5800</v>
      </c>
    </row>
    <row r="973" spans="1:20" s="205" customFormat="1" ht="36" customHeight="1">
      <c r="A973" s="19" t="s">
        <v>6819</v>
      </c>
      <c r="B973" s="11" t="s">
        <v>2276</v>
      </c>
      <c r="C973" s="4" t="s">
        <v>2646</v>
      </c>
      <c r="D973" s="19" t="s">
        <v>45</v>
      </c>
      <c r="E973" s="11" t="s">
        <v>5801</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5800</v>
      </c>
    </row>
    <row r="974" spans="1:20" s="205" customFormat="1" ht="36" customHeight="1">
      <c r="A974" s="19" t="s">
        <v>6820</v>
      </c>
      <c r="B974" s="11" t="s">
        <v>2276</v>
      </c>
      <c r="C974" s="4" t="s">
        <v>2646</v>
      </c>
      <c r="D974" s="11" t="s">
        <v>5801</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5" customFormat="1" ht="36" customHeight="1">
      <c r="A975" s="19" t="s">
        <v>6821</v>
      </c>
      <c r="B975" s="11" t="s">
        <v>2276</v>
      </c>
      <c r="C975" s="4" t="s">
        <v>2646</v>
      </c>
      <c r="D975" s="19" t="s">
        <v>2650</v>
      </c>
      <c r="E975" s="11" t="s">
        <v>5801</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6868</v>
      </c>
    </row>
    <row r="976" spans="1:20" s="205" customFormat="1" ht="36" customHeight="1">
      <c r="A976" s="19" t="s">
        <v>6822</v>
      </c>
      <c r="B976" s="11" t="s">
        <v>2276</v>
      </c>
      <c r="C976" s="4" t="s">
        <v>2646</v>
      </c>
      <c r="D976" s="19" t="s">
        <v>45</v>
      </c>
      <c r="E976" s="11" t="s">
        <v>5801</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5800</v>
      </c>
    </row>
    <row r="977" spans="1:20" s="205" customFormat="1" ht="36" customHeight="1">
      <c r="A977" s="19" t="s">
        <v>6823</v>
      </c>
      <c r="B977" s="11" t="s">
        <v>2276</v>
      </c>
      <c r="C977" s="4" t="s">
        <v>2646</v>
      </c>
      <c r="D977" s="19" t="s">
        <v>45</v>
      </c>
      <c r="E977" s="11" t="s">
        <v>5801</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5800</v>
      </c>
    </row>
    <row r="978" spans="1:20" s="205" customFormat="1" ht="36" customHeight="1">
      <c r="A978" s="19" t="s">
        <v>6824</v>
      </c>
      <c r="B978" s="11" t="s">
        <v>2276</v>
      </c>
      <c r="C978" s="4" t="s">
        <v>2646</v>
      </c>
      <c r="D978" s="11" t="s">
        <v>5801</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5800</v>
      </c>
    </row>
    <row r="979" spans="1:20" s="205" customFormat="1" ht="36" customHeight="1">
      <c r="A979" s="19" t="s">
        <v>6825</v>
      </c>
      <c r="B979" s="11" t="s">
        <v>2276</v>
      </c>
      <c r="C979" s="4" t="s">
        <v>2646</v>
      </c>
      <c r="D979" s="11" t="s">
        <v>5801</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5800</v>
      </c>
    </row>
    <row r="980" spans="1:20" s="205" customFormat="1" ht="36" customHeight="1">
      <c r="A980" s="19" t="s">
        <v>6826</v>
      </c>
      <c r="B980" s="11" t="s">
        <v>2276</v>
      </c>
      <c r="C980" s="4" t="s">
        <v>2646</v>
      </c>
      <c r="D980" s="11" t="s">
        <v>5801</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5800</v>
      </c>
    </row>
    <row r="981" spans="1:20" s="205" customFormat="1" ht="36" customHeight="1">
      <c r="A981" s="19" t="s">
        <v>6827</v>
      </c>
      <c r="B981" s="11" t="s">
        <v>2276</v>
      </c>
      <c r="C981" s="4" t="s">
        <v>2646</v>
      </c>
      <c r="D981" s="11" t="s">
        <v>5801</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5800</v>
      </c>
    </row>
    <row r="982" spans="1:20" s="205" customFormat="1" ht="36" customHeight="1">
      <c r="A982" s="19" t="s">
        <v>6828</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5800</v>
      </c>
    </row>
    <row r="983" spans="1:20" s="205" customFormat="1" ht="36" customHeight="1">
      <c r="A983" s="19" t="s">
        <v>6829</v>
      </c>
      <c r="B983" s="11" t="s">
        <v>2276</v>
      </c>
      <c r="C983" s="4" t="s">
        <v>2646</v>
      </c>
      <c r="D983" s="19" t="s">
        <v>45</v>
      </c>
      <c r="E983" s="11" t="s">
        <v>5801</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5800</v>
      </c>
    </row>
    <row r="984" spans="1:20" s="205" customFormat="1" ht="36" customHeight="1">
      <c r="A984" s="19" t="s">
        <v>6830</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5800</v>
      </c>
    </row>
    <row r="985" spans="1:20" s="205" customFormat="1" ht="36" customHeight="1">
      <c r="A985" s="19" t="s">
        <v>6831</v>
      </c>
      <c r="B985" s="11" t="s">
        <v>2276</v>
      </c>
      <c r="C985" s="4" t="s">
        <v>2646</v>
      </c>
      <c r="D985" s="19" t="s">
        <v>3855</v>
      </c>
      <c r="E985" s="11" t="s">
        <v>5801</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5800</v>
      </c>
    </row>
    <row r="986" spans="1:20" s="205" customFormat="1" ht="36" customHeight="1">
      <c r="A986" s="19" t="s">
        <v>6832</v>
      </c>
      <c r="B986" s="11" t="s">
        <v>2276</v>
      </c>
      <c r="C986" s="4" t="s">
        <v>2646</v>
      </c>
      <c r="D986" s="11" t="s">
        <v>5801</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5" customFormat="1" ht="36" customHeight="1">
      <c r="A987" s="19" t="s">
        <v>6833</v>
      </c>
      <c r="B987" s="11" t="s">
        <v>2276</v>
      </c>
      <c r="C987" s="4" t="s">
        <v>2646</v>
      </c>
      <c r="D987" s="11" t="s">
        <v>5801</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6973</v>
      </c>
    </row>
    <row r="991" spans="1:20" s="205"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6973</v>
      </c>
    </row>
    <row r="992" spans="1:20" s="205"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6973</v>
      </c>
    </row>
    <row r="993" spans="1:20" s="205" customFormat="1" ht="36" customHeight="1">
      <c r="A993" s="48" t="s">
        <v>6901</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6973</v>
      </c>
    </row>
    <row r="994" spans="1:20" s="205" customFormat="1" ht="36" customHeight="1">
      <c r="A994" s="48" t="s">
        <v>6902</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6973</v>
      </c>
    </row>
    <row r="995" spans="1:20" s="205" customFormat="1" ht="36" customHeight="1">
      <c r="A995" s="48" t="s">
        <v>6903</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6973</v>
      </c>
    </row>
    <row r="996" spans="1:20" s="205" customFormat="1" ht="36" customHeight="1">
      <c r="A996" s="48" t="s">
        <v>6928</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6973</v>
      </c>
    </row>
    <row r="997" spans="1:20" ht="37.5" customHeight="1">
      <c r="A997" s="4" t="s">
        <v>6364</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6354</v>
      </c>
    </row>
    <row r="998" spans="1:20" ht="29">
      <c r="A998" s="4" t="s">
        <v>6365</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6354</v>
      </c>
    </row>
    <row r="999" spans="1:20" ht="29">
      <c r="A999" s="4" t="s">
        <v>6366</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6354</v>
      </c>
    </row>
    <row r="1000" spans="1:20" ht="29">
      <c r="A1000" s="193" t="s">
        <v>6367</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6355</v>
      </c>
    </row>
    <row r="1001" spans="1:20" ht="29">
      <c r="A1001" s="4" t="s">
        <v>6327</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6356</v>
      </c>
    </row>
    <row r="1002" spans="1:20" ht="29">
      <c r="A1002" s="4" t="s">
        <v>6328</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6356</v>
      </c>
    </row>
    <row r="1003" spans="1:20" ht="29">
      <c r="A1003" s="4" t="s">
        <v>6329</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6356</v>
      </c>
    </row>
    <row r="1004" spans="1:20" ht="29">
      <c r="A1004" s="4" t="s">
        <v>6330</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6356</v>
      </c>
    </row>
    <row r="1005" spans="1:20" ht="29">
      <c r="A1005" s="4" t="s">
        <v>6331</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6356</v>
      </c>
    </row>
    <row r="1006" spans="1:20" ht="29">
      <c r="A1006" s="4" t="s">
        <v>6332</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6356</v>
      </c>
    </row>
    <row r="1007" spans="1:20" ht="29">
      <c r="A1007" s="4" t="s">
        <v>6333</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6356</v>
      </c>
    </row>
    <row r="1008" spans="1:20" ht="29">
      <c r="A1008" s="4" t="s">
        <v>6334</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6356</v>
      </c>
    </row>
    <row r="1009" spans="1:20" ht="29">
      <c r="A1009" s="4" t="s">
        <v>6335</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6356</v>
      </c>
    </row>
    <row r="1010" spans="1:20" ht="29">
      <c r="A1010" s="4" t="s">
        <v>6336</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6356</v>
      </c>
    </row>
    <row r="1011" spans="1:20" ht="29">
      <c r="A1011" s="4" t="s">
        <v>6337</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6356</v>
      </c>
    </row>
    <row r="1012" spans="1:20" ht="29">
      <c r="A1012" s="4" t="s">
        <v>6338</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6356</v>
      </c>
    </row>
    <row r="1013" spans="1:20" ht="58">
      <c r="A1013" s="4" t="s">
        <v>6339</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6357</v>
      </c>
    </row>
    <row r="1014" spans="1:20" ht="29">
      <c r="A1014" s="4" t="s">
        <v>6340</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6504</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6341</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6342</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6343</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6344</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8401</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6358</v>
      </c>
    </row>
    <row r="1021" spans="1:20" ht="50" customHeight="1">
      <c r="A1021" s="4" t="s">
        <v>8402</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6358</v>
      </c>
    </row>
    <row r="1022" spans="1:20" ht="57" customHeight="1">
      <c r="A1022" s="4" t="s">
        <v>6345</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6359</v>
      </c>
    </row>
    <row r="1023" spans="1:20" ht="57" customHeight="1">
      <c r="A1023" s="4" t="s">
        <v>6346</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6360</v>
      </c>
    </row>
    <row r="1024" spans="1:20" ht="57" customHeight="1">
      <c r="A1024" s="4" t="s">
        <v>6347</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6360</v>
      </c>
    </row>
    <row r="1025" spans="1:20" ht="29">
      <c r="A1025" s="4" t="s">
        <v>6348</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6361</v>
      </c>
    </row>
    <row r="1026" spans="1:20" ht="29">
      <c r="A1026" s="4" t="s">
        <v>6349</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6362</v>
      </c>
    </row>
    <row r="1027" spans="1:20" ht="29">
      <c r="A1027" s="4" t="s">
        <v>6350</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6363</v>
      </c>
    </row>
    <row r="1028" spans="1:20" ht="32" customHeight="1">
      <c r="A1028" s="4" t="s">
        <v>5439</v>
      </c>
      <c r="B1028" s="58"/>
      <c r="C1028" s="58"/>
      <c r="D1028" s="58"/>
      <c r="E1028" s="58"/>
      <c r="F1028" s="58"/>
      <c r="G1028" s="58"/>
      <c r="H1028" s="228"/>
      <c r="I1028" s="58"/>
      <c r="J1028" s="58"/>
      <c r="K1028" s="58"/>
      <c r="L1028" s="58"/>
      <c r="M1028" s="58"/>
      <c r="N1028" s="58"/>
      <c r="O1028" s="58"/>
      <c r="P1028" s="228"/>
      <c r="Q1028" s="58"/>
      <c r="R1028" s="58"/>
      <c r="S1028" s="58"/>
      <c r="T1028" s="58"/>
    </row>
    <row r="1029" spans="1:20" ht="32" customHeight="1">
      <c r="A1029" s="4" t="s">
        <v>6351</v>
      </c>
      <c r="B1029" s="4" t="s">
        <v>2276</v>
      </c>
      <c r="C1029" s="4" t="s">
        <v>12</v>
      </c>
      <c r="D1029" s="4" t="s">
        <v>397</v>
      </c>
      <c r="E1029" s="4" t="s">
        <v>2276</v>
      </c>
      <c r="F1029" s="4" t="s">
        <v>2276</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6352</v>
      </c>
      <c r="B1030" s="4" t="s">
        <v>32</v>
      </c>
      <c r="C1030" s="4" t="s">
        <v>2645</v>
      </c>
      <c r="D1030" s="4" t="s">
        <v>396</v>
      </c>
      <c r="E1030" s="11" t="s">
        <v>45</v>
      </c>
      <c r="F1030" s="4" t="s">
        <v>2276</v>
      </c>
      <c r="G1030" s="4" t="s">
        <v>2276</v>
      </c>
      <c r="H1030" s="4">
        <f>7/100</f>
        <v>7.0000000000000007E-2</v>
      </c>
      <c r="I1030" s="4">
        <v>1300</v>
      </c>
      <c r="J1030" s="4" t="s">
        <v>2276</v>
      </c>
      <c r="K1030" s="4" t="s">
        <v>2276</v>
      </c>
      <c r="L1030" s="4" t="s">
        <v>2276</v>
      </c>
      <c r="M1030" s="4" t="s">
        <v>2276</v>
      </c>
      <c r="N1030" s="4" t="s">
        <v>2276</v>
      </c>
      <c r="O1030" s="4" t="s">
        <v>2276</v>
      </c>
      <c r="P1030" s="4" t="s">
        <v>2276</v>
      </c>
      <c r="Q1030" s="4" t="s">
        <v>2276</v>
      </c>
      <c r="R1030" s="4" t="s">
        <v>2276</v>
      </c>
      <c r="S1030" s="4" t="s">
        <v>2276</v>
      </c>
      <c r="T1030" s="4" t="s">
        <v>8413</v>
      </c>
    </row>
    <row r="1031" spans="1:20" ht="32" customHeight="1">
      <c r="A1031" s="26" t="s">
        <v>6401</v>
      </c>
      <c r="B1031" s="4" t="s">
        <v>32</v>
      </c>
      <c r="C1031" s="4" t="s">
        <v>2645</v>
      </c>
      <c r="D1031" s="4" t="s">
        <v>137</v>
      </c>
      <c r="E1031" s="4" t="s">
        <v>2649</v>
      </c>
      <c r="F1031" s="4" t="s">
        <v>2276</v>
      </c>
      <c r="G1031" s="4" t="s">
        <v>2276</v>
      </c>
      <c r="H1031" s="4" t="s">
        <v>2276</v>
      </c>
      <c r="I1031" s="4" t="s">
        <v>2276</v>
      </c>
      <c r="J1031" s="4" t="s">
        <v>2276</v>
      </c>
      <c r="K1031" s="4" t="s">
        <v>534</v>
      </c>
      <c r="L1031" s="4" t="s">
        <v>2276</v>
      </c>
      <c r="M1031" s="4" t="s">
        <v>2276</v>
      </c>
      <c r="N1031" s="4" t="s">
        <v>2276</v>
      </c>
      <c r="O1031" s="4" t="s">
        <v>2276</v>
      </c>
      <c r="P1031" s="4" t="s">
        <v>2276</v>
      </c>
      <c r="Q1031" s="4" t="s">
        <v>2276</v>
      </c>
      <c r="R1031" s="4" t="s">
        <v>2276</v>
      </c>
      <c r="S1031" s="4" t="s">
        <v>2276</v>
      </c>
      <c r="T1031" s="4" t="s">
        <v>6429</v>
      </c>
    </row>
    <row r="1032" spans="1:20" ht="32" customHeight="1">
      <c r="A1032" s="26" t="s">
        <v>6402</v>
      </c>
      <c r="B1032" s="4" t="s">
        <v>32</v>
      </c>
      <c r="C1032" s="4" t="s">
        <v>2645</v>
      </c>
      <c r="D1032" s="4" t="s">
        <v>137</v>
      </c>
      <c r="E1032" s="4" t="s">
        <v>2649</v>
      </c>
      <c r="F1032" s="4" t="s">
        <v>2653</v>
      </c>
      <c r="G1032" s="4" t="s">
        <v>2276</v>
      </c>
      <c r="H1032" s="4" t="s">
        <v>2276</v>
      </c>
      <c r="I1032" s="4" t="s">
        <v>2276</v>
      </c>
      <c r="J1032" s="4" t="s">
        <v>2276</v>
      </c>
      <c r="K1032" s="4" t="s">
        <v>534</v>
      </c>
      <c r="L1032" s="4" t="s">
        <v>2276</v>
      </c>
      <c r="M1032" s="4" t="s">
        <v>2276</v>
      </c>
      <c r="N1032" s="4" t="s">
        <v>2276</v>
      </c>
      <c r="O1032" s="4" t="s">
        <v>2276</v>
      </c>
      <c r="P1032" s="4" t="s">
        <v>2276</v>
      </c>
      <c r="Q1032" s="4" t="s">
        <v>2276</v>
      </c>
      <c r="R1032" s="4" t="s">
        <v>2276</v>
      </c>
      <c r="S1032" s="4" t="s">
        <v>2276</v>
      </c>
      <c r="T1032" s="4" t="s">
        <v>6429</v>
      </c>
    </row>
    <row r="1033" spans="1:20" ht="32" customHeight="1">
      <c r="A1033" s="26" t="s">
        <v>6403</v>
      </c>
      <c r="B1033" s="4" t="s">
        <v>32</v>
      </c>
      <c r="C1033" s="4" t="s">
        <v>2645</v>
      </c>
      <c r="D1033" s="4" t="s">
        <v>2653</v>
      </c>
      <c r="E1033" s="4" t="s">
        <v>2276</v>
      </c>
      <c r="F1033" s="4" t="s">
        <v>2276</v>
      </c>
      <c r="G1033" s="4" t="s">
        <v>2276</v>
      </c>
      <c r="H1033" s="4" t="s">
        <v>2276</v>
      </c>
      <c r="I1033" s="4" t="s">
        <v>2276</v>
      </c>
      <c r="J1033" s="4" t="s">
        <v>2276</v>
      </c>
      <c r="K1033" s="4" t="s">
        <v>537</v>
      </c>
      <c r="L1033" s="4" t="s">
        <v>2276</v>
      </c>
      <c r="M1033" s="4" t="s">
        <v>2276</v>
      </c>
      <c r="N1033" s="4" t="s">
        <v>2276</v>
      </c>
      <c r="O1033" s="4" t="s">
        <v>2276</v>
      </c>
      <c r="P1033" s="4" t="s">
        <v>2276</v>
      </c>
      <c r="Q1033" s="4" t="s">
        <v>2276</v>
      </c>
      <c r="R1033" s="4" t="s">
        <v>2276</v>
      </c>
      <c r="S1033" s="4" t="s">
        <v>2276</v>
      </c>
      <c r="T1033" s="4"/>
    </row>
    <row r="1034" spans="1:20" ht="32" customHeight="1">
      <c r="A1034" s="26" t="s">
        <v>6404</v>
      </c>
      <c r="B1034" s="4" t="s">
        <v>32</v>
      </c>
      <c r="C1034" s="4" t="s">
        <v>2645</v>
      </c>
      <c r="D1034" s="4" t="s">
        <v>2649</v>
      </c>
      <c r="E1034" s="4" t="s">
        <v>2276</v>
      </c>
      <c r="F1034" s="4" t="s">
        <v>2276</v>
      </c>
      <c r="G1034" s="4" t="s">
        <v>2276</v>
      </c>
      <c r="H1034" s="4" t="s">
        <v>2276</v>
      </c>
      <c r="I1034" s="4" t="s">
        <v>2276</v>
      </c>
      <c r="J1034" s="4" t="s">
        <v>2276</v>
      </c>
      <c r="K1034" s="4" t="s">
        <v>534</v>
      </c>
      <c r="L1034" s="4" t="s">
        <v>2276</v>
      </c>
      <c r="M1034" s="4" t="s">
        <v>2276</v>
      </c>
      <c r="N1034" s="4" t="s">
        <v>2276</v>
      </c>
      <c r="O1034" s="4" t="s">
        <v>2276</v>
      </c>
      <c r="P1034" s="4" t="s">
        <v>2276</v>
      </c>
      <c r="Q1034" s="4" t="s">
        <v>2276</v>
      </c>
      <c r="R1034" s="4" t="s">
        <v>2276</v>
      </c>
      <c r="S1034" s="4" t="s">
        <v>2276</v>
      </c>
      <c r="T1034" s="4"/>
    </row>
    <row r="1035" spans="1:20" ht="32" customHeight="1">
      <c r="A1035" s="4" t="s">
        <v>6405</v>
      </c>
      <c r="B1035" s="4" t="s">
        <v>32</v>
      </c>
      <c r="C1035" s="4" t="s">
        <v>2645</v>
      </c>
      <c r="D1035" s="4" t="s">
        <v>6428</v>
      </c>
      <c r="E1035" s="4" t="s">
        <v>2276</v>
      </c>
      <c r="F1035" s="4" t="s">
        <v>2276</v>
      </c>
      <c r="G1035" s="4" t="s">
        <v>2276</v>
      </c>
      <c r="H1035" s="4" t="s">
        <v>2276</v>
      </c>
      <c r="I1035" s="4" t="s">
        <v>2276</v>
      </c>
      <c r="J1035" s="4" t="s">
        <v>2276</v>
      </c>
      <c r="K1035" s="4" t="s">
        <v>537</v>
      </c>
      <c r="L1035" s="4" t="s">
        <v>2276</v>
      </c>
      <c r="M1035" s="4" t="s">
        <v>2276</v>
      </c>
      <c r="N1035" s="4" t="s">
        <v>2276</v>
      </c>
      <c r="O1035" s="4" t="s">
        <v>2276</v>
      </c>
      <c r="P1035" s="4" t="s">
        <v>2276</v>
      </c>
      <c r="Q1035" s="4" t="s">
        <v>2276</v>
      </c>
      <c r="R1035" s="4" t="s">
        <v>2276</v>
      </c>
      <c r="S1035" s="4" t="s">
        <v>2276</v>
      </c>
      <c r="T1035" s="4" t="s">
        <v>6430</v>
      </c>
    </row>
    <row r="1036" spans="1:20" ht="32" customHeight="1">
      <c r="A1036" s="4" t="s">
        <v>6406</v>
      </c>
      <c r="B1036" s="4" t="s">
        <v>32</v>
      </c>
      <c r="C1036" s="4" t="s">
        <v>2645</v>
      </c>
      <c r="D1036" s="4" t="s">
        <v>2649</v>
      </c>
      <c r="E1036" s="4" t="s">
        <v>2276</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6431</v>
      </c>
    </row>
    <row r="1037" spans="1:20" ht="32" customHeight="1">
      <c r="A1037" s="4" t="s">
        <v>6407</v>
      </c>
      <c r="B1037" s="4" t="s">
        <v>32</v>
      </c>
      <c r="C1037" s="4" t="s">
        <v>2645</v>
      </c>
      <c r="D1037" s="4" t="s">
        <v>2649</v>
      </c>
      <c r="E1037" s="4" t="s">
        <v>2276</v>
      </c>
      <c r="F1037" s="4" t="s">
        <v>2276</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6432</v>
      </c>
    </row>
    <row r="1038" spans="1:20" ht="32" customHeight="1">
      <c r="A1038" s="4" t="s">
        <v>6408</v>
      </c>
      <c r="B1038" s="4" t="s">
        <v>1197</v>
      </c>
      <c r="C1038" s="4" t="s">
        <v>2645</v>
      </c>
      <c r="D1038" s="4" t="s">
        <v>2649</v>
      </c>
      <c r="E1038" s="4" t="s">
        <v>2276</v>
      </c>
      <c r="F1038" s="4" t="s">
        <v>2276</v>
      </c>
      <c r="G1038" s="4" t="s">
        <v>2276</v>
      </c>
      <c r="H1038" s="4" t="s">
        <v>2276</v>
      </c>
      <c r="I1038" s="4" t="s">
        <v>2276</v>
      </c>
      <c r="J1038" s="4" t="s">
        <v>2276</v>
      </c>
      <c r="K1038" s="4" t="s">
        <v>534</v>
      </c>
      <c r="L1038" s="4" t="s">
        <v>2276</v>
      </c>
      <c r="M1038" s="4" t="s">
        <v>2276</v>
      </c>
      <c r="N1038" s="4" t="s">
        <v>2276</v>
      </c>
      <c r="O1038" s="4" t="s">
        <v>2276</v>
      </c>
      <c r="P1038" s="4" t="s">
        <v>2276</v>
      </c>
      <c r="Q1038" s="4" t="s">
        <v>2276</v>
      </c>
      <c r="R1038" s="4" t="s">
        <v>2276</v>
      </c>
      <c r="S1038" s="4" t="s">
        <v>2276</v>
      </c>
      <c r="T1038" s="4" t="s">
        <v>6433</v>
      </c>
    </row>
    <row r="1039" spans="1:20" ht="32" customHeight="1">
      <c r="A1039" s="4" t="s">
        <v>6409</v>
      </c>
      <c r="B1039" s="4" t="s">
        <v>1197</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t="s">
        <v>6433</v>
      </c>
    </row>
    <row r="1040" spans="1:20" ht="32" customHeight="1">
      <c r="A1040" s="4" t="s">
        <v>6410</v>
      </c>
      <c r="B1040" s="4" t="s">
        <v>1197</v>
      </c>
      <c r="C1040" s="4" t="s">
        <v>2645</v>
      </c>
      <c r="D1040" s="4" t="s">
        <v>2649</v>
      </c>
      <c r="E1040" s="4" t="s">
        <v>2276</v>
      </c>
      <c r="F1040" s="4" t="s">
        <v>2276</v>
      </c>
      <c r="G1040" s="4" t="s">
        <v>2276</v>
      </c>
      <c r="H1040" s="4" t="s">
        <v>2276</v>
      </c>
      <c r="I1040" s="4" t="s">
        <v>2276</v>
      </c>
      <c r="J1040" s="4" t="s">
        <v>2276</v>
      </c>
      <c r="K1040" s="4" t="s">
        <v>534</v>
      </c>
      <c r="L1040" s="4" t="s">
        <v>2276</v>
      </c>
      <c r="M1040" s="4" t="s">
        <v>2276</v>
      </c>
      <c r="N1040" s="4" t="s">
        <v>2276</v>
      </c>
      <c r="O1040" s="4" t="s">
        <v>2276</v>
      </c>
      <c r="P1040" s="4" t="s">
        <v>2276</v>
      </c>
      <c r="Q1040" s="4" t="s">
        <v>2276</v>
      </c>
      <c r="R1040" s="4" t="s">
        <v>2276</v>
      </c>
      <c r="S1040" s="4" t="s">
        <v>2276</v>
      </c>
      <c r="T1040" s="4" t="s">
        <v>6433</v>
      </c>
    </row>
    <row r="1041" spans="1:20" ht="32" customHeight="1">
      <c r="A1041" s="4" t="s">
        <v>6411</v>
      </c>
      <c r="B1041" s="4" t="s">
        <v>1197</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6433</v>
      </c>
    </row>
    <row r="1042" spans="1:20" ht="32" customHeight="1">
      <c r="A1042" s="4" t="s">
        <v>6412</v>
      </c>
      <c r="B1042" s="4" t="s">
        <v>1197</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row>
    <row r="1043" spans="1:20" ht="32" customHeight="1">
      <c r="A1043" s="4" t="s">
        <v>6413</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row>
    <row r="1044" spans="1:20" ht="32" customHeight="1">
      <c r="A1044" s="4" t="s">
        <v>6414</v>
      </c>
      <c r="B1044" s="4" t="s">
        <v>1197</v>
      </c>
      <c r="C1044" s="4" t="s">
        <v>2645</v>
      </c>
      <c r="D1044" s="4" t="s">
        <v>2649</v>
      </c>
      <c r="E1044" s="4" t="s">
        <v>137</v>
      </c>
      <c r="F1044" s="4" t="s">
        <v>2652</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row>
    <row r="1045" spans="1:20" ht="32" customHeight="1">
      <c r="A1045" s="4" t="s">
        <v>6415</v>
      </c>
      <c r="B1045" s="4" t="s">
        <v>1197</v>
      </c>
      <c r="C1045" s="4" t="s">
        <v>2645</v>
      </c>
      <c r="D1045" s="4" t="s">
        <v>2649</v>
      </c>
      <c r="E1045" s="4" t="s">
        <v>137</v>
      </c>
      <c r="F1045" s="4" t="s">
        <v>2652</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row>
    <row r="1046" spans="1:20" ht="32" customHeight="1">
      <c r="A1046" s="4" t="s">
        <v>6416</v>
      </c>
      <c r="B1046" s="4" t="s">
        <v>70</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row>
    <row r="1047" spans="1:20" ht="32" customHeight="1">
      <c r="A1047" s="4" t="s">
        <v>6417</v>
      </c>
      <c r="B1047" s="4" t="s">
        <v>70</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6418</v>
      </c>
      <c r="B1048" s="4" t="s">
        <v>70</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6419</v>
      </c>
      <c r="B1049" s="4" t="s">
        <v>1197</v>
      </c>
      <c r="C1049" s="4" t="s">
        <v>2645</v>
      </c>
      <c r="D1049" s="4" t="s">
        <v>2649</v>
      </c>
      <c r="E1049" s="4" t="s">
        <v>2276</v>
      </c>
      <c r="F1049" s="4" t="s">
        <v>2276</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6420</v>
      </c>
      <c r="B1050" s="4" t="s">
        <v>1197</v>
      </c>
      <c r="C1050" s="4" t="s">
        <v>2645</v>
      </c>
      <c r="D1050" s="4" t="s">
        <v>2649</v>
      </c>
      <c r="E1050" s="4" t="s">
        <v>2276</v>
      </c>
      <c r="F1050" s="4" t="s">
        <v>2276</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6421</v>
      </c>
      <c r="B1051" s="4" t="s">
        <v>1197</v>
      </c>
      <c r="C1051" s="4" t="s">
        <v>2645</v>
      </c>
      <c r="D1051" s="4" t="s">
        <v>2649</v>
      </c>
      <c r="E1051" s="4" t="s">
        <v>137</v>
      </c>
      <c r="F1051" s="4" t="s">
        <v>2652</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6422</v>
      </c>
      <c r="B1052" s="4" t="s">
        <v>1197</v>
      </c>
      <c r="C1052" s="4" t="s">
        <v>2645</v>
      </c>
      <c r="D1052" s="4" t="s">
        <v>2649</v>
      </c>
      <c r="E1052" s="4" t="s">
        <v>137</v>
      </c>
      <c r="F1052" s="4" t="s">
        <v>2652</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6423</v>
      </c>
      <c r="B1053" s="4" t="s">
        <v>1197</v>
      </c>
      <c r="C1053" s="4" t="s">
        <v>2645</v>
      </c>
      <c r="D1053" s="4" t="s">
        <v>137</v>
      </c>
      <c r="E1053" s="4" t="s">
        <v>2652</v>
      </c>
      <c r="F1053" s="4" t="s">
        <v>2276</v>
      </c>
      <c r="G1053" s="4" t="s">
        <v>2276</v>
      </c>
      <c r="H1053" s="4" t="s">
        <v>2276</v>
      </c>
      <c r="I1053" s="4" t="s">
        <v>2276</v>
      </c>
      <c r="J1053" s="4" t="s">
        <v>2276</v>
      </c>
      <c r="K1053" s="4" t="s">
        <v>537</v>
      </c>
      <c r="L1053" s="4" t="s">
        <v>2276</v>
      </c>
      <c r="M1053" s="4" t="s">
        <v>2276</v>
      </c>
      <c r="N1053" s="4" t="s">
        <v>2276</v>
      </c>
      <c r="O1053" s="4" t="s">
        <v>2276</v>
      </c>
      <c r="P1053" s="4" t="s">
        <v>2276</v>
      </c>
      <c r="Q1053" s="4" t="s">
        <v>2276</v>
      </c>
      <c r="R1053" s="4" t="s">
        <v>2276</v>
      </c>
      <c r="S1053" s="4" t="s">
        <v>2276</v>
      </c>
      <c r="T1053" s="4"/>
    </row>
    <row r="1054" spans="1:20" ht="32" customHeight="1">
      <c r="A1054" s="4" t="s">
        <v>6424</v>
      </c>
      <c r="B1054" s="4" t="s">
        <v>32</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75">
        <v>3.16</v>
      </c>
      <c r="Q1054" s="4" t="s">
        <v>2276</v>
      </c>
      <c r="R1054" s="75">
        <f>100-8.21</f>
        <v>91.789999999999992</v>
      </c>
      <c r="S1054" s="4" t="s">
        <v>2276</v>
      </c>
      <c r="T1054" s="4"/>
    </row>
    <row r="1055" spans="1:20" ht="46.5" customHeight="1">
      <c r="A1055" s="4" t="s">
        <v>6425</v>
      </c>
      <c r="B1055" s="4" t="s">
        <v>1197</v>
      </c>
      <c r="C1055" s="4" t="s">
        <v>2645</v>
      </c>
      <c r="D1055" s="4" t="s">
        <v>2649</v>
      </c>
      <c r="E1055" s="4" t="s">
        <v>137</v>
      </c>
      <c r="F1055" s="4" t="s">
        <v>3854</v>
      </c>
      <c r="G1055" s="4" t="s">
        <v>2276</v>
      </c>
      <c r="H1055" s="222">
        <f>1340/581200</f>
        <v>2.3055746730901582E-3</v>
      </c>
      <c r="I1055" s="4">
        <v>4827</v>
      </c>
      <c r="J1055" s="4"/>
      <c r="K1055" s="4" t="s">
        <v>534</v>
      </c>
      <c r="L1055" s="4" t="s">
        <v>2276</v>
      </c>
      <c r="M1055" s="4" t="s">
        <v>2276</v>
      </c>
      <c r="N1055" s="4" t="s">
        <v>2276</v>
      </c>
      <c r="O1055" s="4" t="s">
        <v>2276</v>
      </c>
      <c r="P1055" s="4" t="s">
        <v>2276</v>
      </c>
      <c r="Q1055" s="4" t="s">
        <v>2276</v>
      </c>
      <c r="R1055" s="4" t="s">
        <v>2276</v>
      </c>
      <c r="S1055" s="4" t="s">
        <v>2276</v>
      </c>
      <c r="T1055" s="4" t="s">
        <v>6434</v>
      </c>
    </row>
    <row r="1056" spans="1:20" ht="32" customHeight="1">
      <c r="A1056" s="4" t="s">
        <v>6426</v>
      </c>
      <c r="B1056" s="4" t="s">
        <v>1197</v>
      </c>
      <c r="C1056" s="4" t="s">
        <v>2645</v>
      </c>
      <c r="D1056" s="4" t="s">
        <v>2649</v>
      </c>
      <c r="E1056" s="4" t="s">
        <v>2276</v>
      </c>
      <c r="F1056" s="4" t="s">
        <v>2276</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6427</v>
      </c>
      <c r="B1057" s="4" t="s">
        <v>32</v>
      </c>
      <c r="C1057" s="4" t="s">
        <v>2645</v>
      </c>
      <c r="D1057" s="4" t="s">
        <v>2649</v>
      </c>
      <c r="E1057" s="4" t="s">
        <v>137</v>
      </c>
      <c r="F1057" s="4" t="s">
        <v>2276</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24.5" customHeight="1">
      <c r="A1058" s="19" t="s">
        <v>6989</v>
      </c>
      <c r="B1058" s="204" t="s">
        <v>2276</v>
      </c>
      <c r="C1058" s="204" t="s">
        <v>2646</v>
      </c>
      <c r="D1058" s="204" t="s">
        <v>5801</v>
      </c>
      <c r="E1058" s="204"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4"/>
    </row>
    <row r="1059" spans="1:20" ht="29.5" customHeight="1">
      <c r="A1059" s="19" t="s">
        <v>6997</v>
      </c>
      <c r="B1059" s="204" t="s">
        <v>2276</v>
      </c>
      <c r="C1059" s="204" t="s">
        <v>12</v>
      </c>
      <c r="D1059" s="204" t="s">
        <v>45</v>
      </c>
      <c r="E1059" s="204"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7003</v>
      </c>
    </row>
    <row r="1060" spans="1:20" ht="29.5" customHeight="1">
      <c r="A1060" s="19" t="s">
        <v>7008</v>
      </c>
      <c r="B1060" s="204" t="s">
        <v>32</v>
      </c>
      <c r="C1060" s="204" t="s">
        <v>12</v>
      </c>
      <c r="D1060" s="204" t="s">
        <v>45</v>
      </c>
      <c r="E1060" s="204"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7011</v>
      </c>
    </row>
    <row r="1061" spans="1:20" ht="31" customHeight="1">
      <c r="A1061" s="19" t="s">
        <v>7018</v>
      </c>
      <c r="B1061" s="204" t="s">
        <v>2276</v>
      </c>
      <c r="C1061" s="204" t="s">
        <v>12</v>
      </c>
      <c r="D1061" s="204" t="s">
        <v>84</v>
      </c>
      <c r="E1061" s="204"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4"/>
    </row>
    <row r="1062" spans="1:20" ht="33" customHeight="1">
      <c r="A1062" s="19" t="s">
        <v>7024</v>
      </c>
      <c r="B1062" s="204" t="s">
        <v>32</v>
      </c>
      <c r="C1062" s="204" t="s">
        <v>2645</v>
      </c>
      <c r="D1062" s="204" t="s">
        <v>137</v>
      </c>
      <c r="E1062" s="204"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4"/>
    </row>
    <row r="1063" spans="1:20" ht="29.5" customHeight="1">
      <c r="A1063" s="19" t="s">
        <v>7034</v>
      </c>
      <c r="B1063" s="204" t="s">
        <v>32</v>
      </c>
      <c r="C1063" s="204" t="s">
        <v>12</v>
      </c>
      <c r="D1063" s="204" t="s">
        <v>45</v>
      </c>
      <c r="E1063" s="204"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6.5" customHeight="1">
      <c r="A1064" s="19" t="s">
        <v>7040</v>
      </c>
      <c r="B1064" s="204" t="s">
        <v>2276</v>
      </c>
      <c r="C1064" s="204" t="s">
        <v>12</v>
      </c>
      <c r="D1064" s="204"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4"/>
    </row>
    <row r="1065" spans="1:20" ht="27.5" customHeight="1">
      <c r="A1065" s="19" t="s">
        <v>7047</v>
      </c>
      <c r="B1065" s="11" t="s">
        <v>2276</v>
      </c>
      <c r="C1065" s="11" t="s">
        <v>12</v>
      </c>
      <c r="D1065" s="11" t="s">
        <v>45</v>
      </c>
      <c r="E1065" s="11" t="s">
        <v>2652</v>
      </c>
      <c r="F1065" s="11" t="s">
        <v>116</v>
      </c>
      <c r="G1065" s="19" t="s">
        <v>2276</v>
      </c>
      <c r="H1065" s="14">
        <v>0.25</v>
      </c>
      <c r="I1065" s="19" t="s">
        <v>2276</v>
      </c>
      <c r="J1065" s="19" t="s">
        <v>2276</v>
      </c>
      <c r="K1065" s="19" t="s">
        <v>2276</v>
      </c>
      <c r="L1065" s="19" t="s">
        <v>2276</v>
      </c>
      <c r="M1065" s="19" t="s">
        <v>2276</v>
      </c>
      <c r="N1065" s="19" t="s">
        <v>2276</v>
      </c>
      <c r="O1065" s="19" t="s">
        <v>2276</v>
      </c>
      <c r="P1065" s="19" t="s">
        <v>2276</v>
      </c>
      <c r="Q1065" s="19" t="s">
        <v>2276</v>
      </c>
      <c r="R1065" s="19" t="s">
        <v>2276</v>
      </c>
      <c r="S1065" s="19" t="s">
        <v>2276</v>
      </c>
      <c r="T1065" s="11" t="s">
        <v>5213</v>
      </c>
    </row>
    <row r="1066" spans="1:20" ht="28.5" customHeight="1">
      <c r="A1066" s="204" t="s">
        <v>7060</v>
      </c>
      <c r="B1066" s="204" t="s">
        <v>32</v>
      </c>
      <c r="C1066" s="204" t="s">
        <v>12</v>
      </c>
      <c r="D1066" s="204" t="s">
        <v>84</v>
      </c>
      <c r="E1066" s="204" t="s">
        <v>137</v>
      </c>
      <c r="F1066" s="204" t="s">
        <v>45</v>
      </c>
      <c r="G1066" s="204" t="s">
        <v>130</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28.5" customHeight="1">
      <c r="A1067" s="19" t="s">
        <v>7061</v>
      </c>
      <c r="B1067" s="204" t="s">
        <v>32</v>
      </c>
      <c r="C1067" s="204" t="s">
        <v>12</v>
      </c>
      <c r="D1067" s="204" t="s">
        <v>84</v>
      </c>
      <c r="E1067" s="204" t="s">
        <v>137</v>
      </c>
      <c r="F1067" s="204" t="s">
        <v>45</v>
      </c>
      <c r="G1067" s="204" t="s">
        <v>130</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8.5" customHeight="1">
      <c r="A1068" s="19" t="s">
        <v>7062</v>
      </c>
      <c r="B1068" s="204" t="s">
        <v>32</v>
      </c>
      <c r="C1068" s="204" t="s">
        <v>12</v>
      </c>
      <c r="D1068" s="204" t="s">
        <v>84</v>
      </c>
      <c r="E1068" s="204" t="s">
        <v>137</v>
      </c>
      <c r="F1068" s="204" t="s">
        <v>45</v>
      </c>
      <c r="G1068" s="204" t="s">
        <v>130</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9" customHeight="1">
      <c r="A1069" s="19" t="s">
        <v>7080</v>
      </c>
      <c r="B1069" s="204" t="s">
        <v>2276</v>
      </c>
      <c r="C1069" s="204" t="s">
        <v>2646</v>
      </c>
      <c r="D1069" s="204" t="s">
        <v>5801</v>
      </c>
      <c r="E1069" s="204" t="s">
        <v>45</v>
      </c>
      <c r="F1069" s="204" t="s">
        <v>137</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3.5" customHeight="1">
      <c r="A1070" s="19" t="s">
        <v>7095</v>
      </c>
      <c r="B1070" s="204" t="s">
        <v>2276</v>
      </c>
      <c r="C1070" s="204" t="s">
        <v>12</v>
      </c>
      <c r="D1070" s="11" t="s">
        <v>45</v>
      </c>
      <c r="E1070" s="204" t="s">
        <v>5801</v>
      </c>
      <c r="F1070" s="4" t="s">
        <v>2276</v>
      </c>
      <c r="G1070" s="4" t="s">
        <v>2276</v>
      </c>
      <c r="H1070" s="4" t="s">
        <v>2276</v>
      </c>
      <c r="I1070" s="4" t="s">
        <v>2276</v>
      </c>
      <c r="J1070" s="204" t="s">
        <v>2276</v>
      </c>
      <c r="K1070" s="204" t="s">
        <v>2276</v>
      </c>
      <c r="L1070" s="204" t="s">
        <v>2276</v>
      </c>
      <c r="M1070" s="204" t="s">
        <v>2276</v>
      </c>
      <c r="N1070" s="204" t="s">
        <v>2276</v>
      </c>
      <c r="O1070" s="204" t="s">
        <v>2276</v>
      </c>
      <c r="P1070" s="204" t="s">
        <v>2276</v>
      </c>
      <c r="Q1070" s="204" t="s">
        <v>2276</v>
      </c>
      <c r="R1070" s="21">
        <v>60</v>
      </c>
      <c r="S1070" s="204" t="s">
        <v>2276</v>
      </c>
      <c r="T1070" s="204"/>
    </row>
    <row r="1071" spans="1:20" ht="23.5" customHeight="1">
      <c r="A1071" s="19" t="s">
        <v>7115</v>
      </c>
      <c r="B1071" s="204" t="s">
        <v>2276</v>
      </c>
      <c r="C1071" s="204" t="s">
        <v>12</v>
      </c>
      <c r="D1071" s="11" t="s">
        <v>45</v>
      </c>
      <c r="E1071" s="204" t="s">
        <v>5801</v>
      </c>
      <c r="F1071" s="4" t="s">
        <v>2276</v>
      </c>
      <c r="G1071" s="4" t="s">
        <v>2276</v>
      </c>
      <c r="H1071" s="4" t="s">
        <v>2276</v>
      </c>
      <c r="I1071" s="4" t="s">
        <v>2276</v>
      </c>
      <c r="J1071" s="204" t="s">
        <v>2276</v>
      </c>
      <c r="K1071" s="204" t="s">
        <v>2276</v>
      </c>
      <c r="L1071" s="204" t="s">
        <v>2276</v>
      </c>
      <c r="M1071" s="204" t="s">
        <v>2276</v>
      </c>
      <c r="N1071" s="204" t="s">
        <v>2276</v>
      </c>
      <c r="O1071" s="204" t="s">
        <v>2276</v>
      </c>
      <c r="P1071" s="204" t="s">
        <v>2276</v>
      </c>
      <c r="Q1071" s="204" t="s">
        <v>2276</v>
      </c>
      <c r="R1071" s="204" t="s">
        <v>2276</v>
      </c>
      <c r="S1071" s="204" t="s">
        <v>2276</v>
      </c>
      <c r="T1071" s="204"/>
    </row>
    <row r="1072" spans="1:20" ht="23.5" customHeight="1">
      <c r="A1072" s="19" t="s">
        <v>7116</v>
      </c>
      <c r="B1072" s="204" t="s">
        <v>2276</v>
      </c>
      <c r="C1072" s="204" t="s">
        <v>12</v>
      </c>
      <c r="D1072" s="11" t="s">
        <v>45</v>
      </c>
      <c r="E1072" s="204" t="s">
        <v>5801</v>
      </c>
      <c r="F1072" s="4" t="s">
        <v>2276</v>
      </c>
      <c r="G1072" s="4" t="s">
        <v>2276</v>
      </c>
      <c r="H1072" s="4" t="s">
        <v>2276</v>
      </c>
      <c r="I1072" s="4" t="s">
        <v>2276</v>
      </c>
      <c r="J1072" s="204" t="s">
        <v>2276</v>
      </c>
      <c r="K1072" s="204" t="s">
        <v>2276</v>
      </c>
      <c r="L1072" s="204" t="s">
        <v>2276</v>
      </c>
      <c r="M1072" s="204" t="s">
        <v>2276</v>
      </c>
      <c r="N1072" s="204" t="s">
        <v>2276</v>
      </c>
      <c r="O1072" s="204" t="s">
        <v>2276</v>
      </c>
      <c r="P1072" s="204" t="s">
        <v>2276</v>
      </c>
      <c r="Q1072" s="204" t="s">
        <v>2276</v>
      </c>
      <c r="R1072" s="204" t="s">
        <v>2276</v>
      </c>
      <c r="S1072" s="204" t="s">
        <v>2276</v>
      </c>
      <c r="T1072" s="204"/>
    </row>
    <row r="1073" spans="1:20" ht="23.5" customHeight="1">
      <c r="A1073" s="19" t="s">
        <v>7117</v>
      </c>
      <c r="B1073" s="204" t="s">
        <v>2276</v>
      </c>
      <c r="C1073" s="204" t="s">
        <v>12</v>
      </c>
      <c r="D1073" s="11" t="s">
        <v>45</v>
      </c>
      <c r="E1073" s="204" t="s">
        <v>5801</v>
      </c>
      <c r="F1073" s="4" t="s">
        <v>2276</v>
      </c>
      <c r="G1073" s="4" t="s">
        <v>2276</v>
      </c>
      <c r="H1073" s="4" t="s">
        <v>2276</v>
      </c>
      <c r="I1073" s="4" t="s">
        <v>2276</v>
      </c>
      <c r="J1073" s="204" t="s">
        <v>2276</v>
      </c>
      <c r="K1073" s="204" t="s">
        <v>2276</v>
      </c>
      <c r="L1073" s="204" t="s">
        <v>2276</v>
      </c>
      <c r="M1073" s="204" t="s">
        <v>2276</v>
      </c>
      <c r="N1073" s="204" t="s">
        <v>2276</v>
      </c>
      <c r="O1073" s="204" t="s">
        <v>2276</v>
      </c>
      <c r="P1073" s="204" t="s">
        <v>2276</v>
      </c>
      <c r="Q1073" s="204" t="s">
        <v>2276</v>
      </c>
      <c r="R1073" s="204" t="s">
        <v>2276</v>
      </c>
      <c r="S1073" s="204" t="s">
        <v>2276</v>
      </c>
      <c r="T1073" s="204"/>
    </row>
    <row r="1074" spans="1:20" ht="23.5" customHeight="1">
      <c r="A1074" s="19" t="s">
        <v>7118</v>
      </c>
      <c r="B1074" s="204" t="s">
        <v>69</v>
      </c>
      <c r="C1074" s="204" t="s">
        <v>12</v>
      </c>
      <c r="D1074" s="11" t="s">
        <v>45</v>
      </c>
      <c r="E1074" s="204" t="s">
        <v>2276</v>
      </c>
      <c r="F1074" s="4" t="s">
        <v>2276</v>
      </c>
      <c r="G1074" s="4" t="s">
        <v>2276</v>
      </c>
      <c r="H1074" s="4" t="s">
        <v>2276</v>
      </c>
      <c r="I1074" s="4" t="s">
        <v>2276</v>
      </c>
      <c r="J1074" s="204" t="s">
        <v>2276</v>
      </c>
      <c r="K1074" s="204" t="s">
        <v>2276</v>
      </c>
      <c r="L1074" s="204" t="s">
        <v>2276</v>
      </c>
      <c r="M1074" s="204" t="s">
        <v>2276</v>
      </c>
      <c r="N1074" s="204" t="s">
        <v>2276</v>
      </c>
      <c r="O1074" s="204" t="s">
        <v>2276</v>
      </c>
      <c r="P1074" s="204" t="s">
        <v>2276</v>
      </c>
      <c r="Q1074" s="204" t="s">
        <v>2276</v>
      </c>
      <c r="R1074" s="204" t="s">
        <v>2276</v>
      </c>
      <c r="S1074" s="204" t="s">
        <v>2276</v>
      </c>
      <c r="T1074" s="204"/>
    </row>
    <row r="1075" spans="1:20" ht="23.5" customHeight="1">
      <c r="A1075" s="19" t="s">
        <v>7119</v>
      </c>
      <c r="B1075" s="204" t="s">
        <v>2276</v>
      </c>
      <c r="C1075" s="204" t="s">
        <v>12</v>
      </c>
      <c r="D1075" s="11" t="s">
        <v>45</v>
      </c>
      <c r="E1075" s="204" t="s">
        <v>2276</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04" t="s">
        <v>2276</v>
      </c>
      <c r="S1075" s="204" t="s">
        <v>2276</v>
      </c>
      <c r="T1075" s="204"/>
    </row>
    <row r="1076" spans="1:20" ht="32.5" customHeight="1">
      <c r="A1076" s="19" t="s">
        <v>7120</v>
      </c>
      <c r="B1076" s="204" t="s">
        <v>2276</v>
      </c>
      <c r="C1076" s="204" t="s">
        <v>12</v>
      </c>
      <c r="D1076" s="11" t="s">
        <v>45</v>
      </c>
      <c r="E1076" s="204" t="s">
        <v>5801</v>
      </c>
      <c r="F1076" s="4" t="s">
        <v>397</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t="s">
        <v>7199</v>
      </c>
    </row>
    <row r="1077" spans="1:20" ht="32.5" customHeight="1">
      <c r="A1077" s="19" t="s">
        <v>7121</v>
      </c>
      <c r="B1077" s="204" t="s">
        <v>2276</v>
      </c>
      <c r="C1077" s="204" t="s">
        <v>12</v>
      </c>
      <c r="D1077" s="11" t="s">
        <v>45</v>
      </c>
      <c r="E1077" s="204" t="s">
        <v>5801</v>
      </c>
      <c r="F1077" s="4" t="s">
        <v>397</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t="s">
        <v>7199</v>
      </c>
    </row>
    <row r="1078" spans="1:20" ht="23.5" customHeight="1">
      <c r="A1078" s="19" t="s">
        <v>7122</v>
      </c>
      <c r="B1078" s="204" t="s">
        <v>2276</v>
      </c>
      <c r="C1078" s="204" t="s">
        <v>12</v>
      </c>
      <c r="D1078" s="11" t="s">
        <v>45</v>
      </c>
      <c r="E1078" s="204" t="s">
        <v>5801</v>
      </c>
      <c r="F1078" s="4" t="s">
        <v>2276</v>
      </c>
      <c r="G1078" s="4" t="s">
        <v>2276</v>
      </c>
      <c r="H1078" s="21">
        <f>300000/1500000</f>
        <v>0.2</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9" customHeight="1">
      <c r="A1079" s="19" t="s">
        <v>7123</v>
      </c>
      <c r="B1079" s="204" t="s">
        <v>2276</v>
      </c>
      <c r="C1079" s="204" t="s">
        <v>12</v>
      </c>
      <c r="D1079" s="11" t="s">
        <v>45</v>
      </c>
      <c r="E1079" s="204" t="s">
        <v>5801</v>
      </c>
      <c r="F1079" s="4" t="s">
        <v>3855</v>
      </c>
      <c r="G1079" s="4" t="s">
        <v>2276</v>
      </c>
      <c r="H1079" s="21">
        <f>16000/'Record info'!K1079/100</f>
        <v>0.08</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7124</v>
      </c>
      <c r="B1080" s="204" t="s">
        <v>70</v>
      </c>
      <c r="C1080" s="204" t="s">
        <v>2646</v>
      </c>
      <c r="D1080" s="11" t="s">
        <v>45</v>
      </c>
      <c r="E1080" s="204" t="s">
        <v>5801</v>
      </c>
      <c r="F1080" s="204" t="s">
        <v>2652</v>
      </c>
      <c r="G1080" s="204" t="s">
        <v>137</v>
      </c>
      <c r="H1080" s="21">
        <v>0.33</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t="s">
        <v>7200</v>
      </c>
    </row>
    <row r="1081" spans="1:20" ht="23.5" customHeight="1">
      <c r="A1081" s="19" t="s">
        <v>7125</v>
      </c>
      <c r="B1081" s="204" t="s">
        <v>32</v>
      </c>
      <c r="C1081" s="204" t="s">
        <v>12</v>
      </c>
      <c r="D1081" s="11" t="s">
        <v>45</v>
      </c>
      <c r="E1081" s="204" t="s">
        <v>5801</v>
      </c>
      <c r="F1081" s="4" t="s">
        <v>2276</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row>
    <row r="1082" spans="1:20" ht="31.5" customHeight="1">
      <c r="A1082" s="19" t="s">
        <v>7126</v>
      </c>
      <c r="B1082" s="204" t="s">
        <v>70</v>
      </c>
      <c r="C1082" s="204" t="s">
        <v>12</v>
      </c>
      <c r="D1082" s="11" t="s">
        <v>45</v>
      </c>
      <c r="E1082" s="4" t="s">
        <v>3855</v>
      </c>
      <c r="F1082" s="4" t="s">
        <v>2276</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row>
    <row r="1083" spans="1:20" ht="36.5" customHeight="1">
      <c r="A1083" s="19" t="s">
        <v>7127</v>
      </c>
      <c r="B1083" s="204" t="s">
        <v>32</v>
      </c>
      <c r="C1083" s="204" t="s">
        <v>12</v>
      </c>
      <c r="D1083" s="11" t="s">
        <v>45</v>
      </c>
      <c r="E1083" s="4" t="s">
        <v>2276</v>
      </c>
      <c r="F1083" s="4" t="s">
        <v>2276</v>
      </c>
      <c r="G1083" s="4" t="s">
        <v>2276</v>
      </c>
      <c r="H1083" s="4" t="s">
        <v>2276</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33" customHeight="1">
      <c r="A1084" s="19" t="s">
        <v>7128</v>
      </c>
      <c r="B1084" s="204" t="s">
        <v>32</v>
      </c>
      <c r="C1084" s="204" t="s">
        <v>12</v>
      </c>
      <c r="D1084" s="11" t="s">
        <v>45</v>
      </c>
      <c r="E1084" s="4" t="s">
        <v>3855</v>
      </c>
      <c r="F1084" s="204" t="s">
        <v>5801</v>
      </c>
      <c r="G1084" s="204" t="s">
        <v>84</v>
      </c>
      <c r="H1084" s="4" t="s">
        <v>2276</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35" customHeight="1">
      <c r="A1085" s="19" t="s">
        <v>7129</v>
      </c>
      <c r="B1085" s="204" t="s">
        <v>32</v>
      </c>
      <c r="C1085" s="204" t="s">
        <v>12</v>
      </c>
      <c r="D1085" s="11" t="s">
        <v>45</v>
      </c>
      <c r="E1085" s="4" t="s">
        <v>3855</v>
      </c>
      <c r="F1085" s="204" t="s">
        <v>5801</v>
      </c>
      <c r="G1085" s="204" t="s">
        <v>84</v>
      </c>
      <c r="H1085" s="4" t="s">
        <v>2276</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row>
    <row r="1086" spans="1:20" ht="43" customHeight="1">
      <c r="A1086" s="19" t="s">
        <v>7130</v>
      </c>
      <c r="B1086" s="204" t="s">
        <v>70</v>
      </c>
      <c r="C1086" s="204" t="s">
        <v>12</v>
      </c>
      <c r="D1086" s="11" t="s">
        <v>45</v>
      </c>
      <c r="E1086" s="4" t="s">
        <v>3855</v>
      </c>
      <c r="F1086" s="204" t="s">
        <v>5801</v>
      </c>
      <c r="G1086" s="204" t="s">
        <v>137</v>
      </c>
      <c r="H1086" s="21">
        <v>0.45</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2" customHeight="1">
      <c r="A1087" s="19" t="s">
        <v>7131</v>
      </c>
      <c r="B1087" s="204" t="s">
        <v>2276</v>
      </c>
      <c r="C1087" s="204" t="s">
        <v>12</v>
      </c>
      <c r="D1087" s="11" t="s">
        <v>45</v>
      </c>
      <c r="E1087" s="204" t="s">
        <v>5801</v>
      </c>
      <c r="F1087" s="204" t="s">
        <v>137</v>
      </c>
      <c r="G1087" s="4" t="s">
        <v>2276</v>
      </c>
      <c r="H1087" s="21">
        <v>0.35</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26.5" customHeight="1">
      <c r="A1088" s="19" t="s">
        <v>7132</v>
      </c>
      <c r="B1088" s="204" t="s">
        <v>32</v>
      </c>
      <c r="C1088" s="204" t="s">
        <v>12</v>
      </c>
      <c r="D1088" s="11" t="s">
        <v>45</v>
      </c>
      <c r="E1088" s="204" t="s">
        <v>137</v>
      </c>
      <c r="F1088" s="204" t="s">
        <v>2647</v>
      </c>
      <c r="G1088" s="4" t="s">
        <v>2276</v>
      </c>
      <c r="H1088" s="21">
        <v>0.61</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23.5" customHeight="1">
      <c r="A1089" s="19" t="s">
        <v>7133</v>
      </c>
      <c r="B1089" s="204" t="s">
        <v>32</v>
      </c>
      <c r="C1089" s="204" t="s">
        <v>12</v>
      </c>
      <c r="D1089" s="11" t="s">
        <v>45</v>
      </c>
      <c r="E1089" s="204" t="s">
        <v>5801</v>
      </c>
      <c r="F1089" s="204"/>
      <c r="G1089" s="4" t="s">
        <v>2276</v>
      </c>
      <c r="H1089" s="21">
        <v>0.3</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3" customHeight="1">
      <c r="A1090" s="19" t="s">
        <v>7134</v>
      </c>
      <c r="B1090" s="204" t="s">
        <v>32</v>
      </c>
      <c r="C1090" s="204" t="s">
        <v>12</v>
      </c>
      <c r="D1090" s="11" t="s">
        <v>45</v>
      </c>
      <c r="E1090" s="204" t="s">
        <v>137</v>
      </c>
      <c r="F1090" s="4" t="s">
        <v>3855</v>
      </c>
      <c r="G1090" s="204" t="s">
        <v>5801</v>
      </c>
      <c r="H1090" s="21">
        <v>0.3</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23.5" customHeight="1">
      <c r="A1091" s="19" t="s">
        <v>7135</v>
      </c>
      <c r="B1091" s="204" t="s">
        <v>32</v>
      </c>
      <c r="C1091" s="204" t="s">
        <v>2645</v>
      </c>
      <c r="D1091" s="11" t="s">
        <v>45</v>
      </c>
      <c r="E1091" s="204" t="s">
        <v>137</v>
      </c>
      <c r="F1091" s="204" t="s">
        <v>84</v>
      </c>
      <c r="G1091" s="204" t="s">
        <v>2647</v>
      </c>
      <c r="H1091" s="21">
        <v>0.3</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23.5" customHeight="1">
      <c r="A1092" s="19" t="s">
        <v>7136</v>
      </c>
      <c r="B1092" s="204" t="s">
        <v>32</v>
      </c>
      <c r="C1092" s="204" t="s">
        <v>12</v>
      </c>
      <c r="D1092" s="11" t="s">
        <v>45</v>
      </c>
      <c r="E1092" s="204" t="s">
        <v>5801</v>
      </c>
      <c r="F1092" s="204" t="s">
        <v>2653</v>
      </c>
      <c r="G1092" s="204" t="s">
        <v>137</v>
      </c>
      <c r="H1092" s="21">
        <v>0.5</v>
      </c>
      <c r="I1092" s="4" t="s">
        <v>2276</v>
      </c>
      <c r="J1092" s="204" t="s">
        <v>2276</v>
      </c>
      <c r="K1092" s="204" t="s">
        <v>2276</v>
      </c>
      <c r="L1092" s="204" t="s">
        <v>2276</v>
      </c>
      <c r="M1092" s="204" t="s">
        <v>2276</v>
      </c>
      <c r="N1092" s="204" t="s">
        <v>2276</v>
      </c>
      <c r="O1092" s="21">
        <v>10</v>
      </c>
      <c r="P1092" s="204" t="s">
        <v>2276</v>
      </c>
      <c r="Q1092" s="204" t="s">
        <v>2276</v>
      </c>
      <c r="R1092" s="204" t="s">
        <v>2276</v>
      </c>
      <c r="S1092" s="204" t="s">
        <v>2276</v>
      </c>
      <c r="T1092" s="204"/>
    </row>
    <row r="1093" spans="1:20" ht="32" customHeight="1">
      <c r="A1093" s="19" t="s">
        <v>7137</v>
      </c>
      <c r="B1093" s="204" t="s">
        <v>32</v>
      </c>
      <c r="C1093" s="204" t="s">
        <v>12</v>
      </c>
      <c r="D1093" s="11" t="s">
        <v>45</v>
      </c>
      <c r="E1093" s="4" t="s">
        <v>396</v>
      </c>
      <c r="F1093" s="204" t="s">
        <v>2653</v>
      </c>
      <c r="G1093" s="204" t="s">
        <v>137</v>
      </c>
      <c r="H1093" s="4" t="s">
        <v>2276</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8" customHeight="1">
      <c r="A1094" s="19" t="s">
        <v>7138</v>
      </c>
      <c r="B1094" s="204" t="s">
        <v>32</v>
      </c>
      <c r="C1094" s="204" t="s">
        <v>12</v>
      </c>
      <c r="D1094" s="11" t="s">
        <v>45</v>
      </c>
      <c r="E1094" s="204" t="s">
        <v>137</v>
      </c>
      <c r="F1094" s="204" t="s">
        <v>2653</v>
      </c>
      <c r="G1094" s="204" t="s">
        <v>5801</v>
      </c>
      <c r="H1094" s="4" t="s">
        <v>2276</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23.5" customHeight="1">
      <c r="A1095" s="19" t="s">
        <v>7139</v>
      </c>
      <c r="B1095" s="204" t="s">
        <v>32</v>
      </c>
      <c r="C1095" s="204" t="s">
        <v>12</v>
      </c>
      <c r="D1095" s="11" t="s">
        <v>45</v>
      </c>
      <c r="E1095" s="204" t="s">
        <v>137</v>
      </c>
      <c r="F1095" s="4" t="s">
        <v>2276</v>
      </c>
      <c r="G1095" s="4" t="s">
        <v>2276</v>
      </c>
      <c r="H1095" s="4" t="s">
        <v>2276</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7140</v>
      </c>
      <c r="B1096" s="204" t="s">
        <v>32</v>
      </c>
      <c r="C1096" s="204" t="s">
        <v>12</v>
      </c>
      <c r="D1096" s="11" t="s">
        <v>45</v>
      </c>
      <c r="E1096" s="4" t="s">
        <v>2276</v>
      </c>
      <c r="F1096" s="4" t="s">
        <v>2276</v>
      </c>
      <c r="G1096" s="4" t="s">
        <v>2276</v>
      </c>
      <c r="H1096" s="4" t="s">
        <v>2276</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7141</v>
      </c>
      <c r="B1097" s="204" t="s">
        <v>32</v>
      </c>
      <c r="C1097" s="204" t="s">
        <v>12</v>
      </c>
      <c r="D1097" s="11" t="s">
        <v>45</v>
      </c>
      <c r="E1097" s="4" t="s">
        <v>2276</v>
      </c>
      <c r="F1097" s="4" t="s">
        <v>2276</v>
      </c>
      <c r="G1097" s="4" t="s">
        <v>2276</v>
      </c>
      <c r="H1097" s="4" t="s">
        <v>2276</v>
      </c>
      <c r="I1097" s="4" t="s">
        <v>2276</v>
      </c>
      <c r="J1097" s="204" t="s">
        <v>2276</v>
      </c>
      <c r="K1097" s="204" t="s">
        <v>2276</v>
      </c>
      <c r="L1097" s="204" t="s">
        <v>2276</v>
      </c>
      <c r="M1097" s="204" t="s">
        <v>2276</v>
      </c>
      <c r="N1097" s="204" t="s">
        <v>2276</v>
      </c>
      <c r="O1097" s="204" t="s">
        <v>2276</v>
      </c>
      <c r="P1097" s="204" t="s">
        <v>2276</v>
      </c>
      <c r="Q1097" s="204" t="s">
        <v>2276</v>
      </c>
      <c r="R1097" s="204" t="s">
        <v>2276</v>
      </c>
      <c r="S1097" s="204" t="s">
        <v>2276</v>
      </c>
      <c r="T1097" s="204"/>
    </row>
    <row r="1098" spans="1:20" ht="23.5" customHeight="1">
      <c r="A1098" s="19" t="s">
        <v>7142</v>
      </c>
      <c r="B1098" s="204" t="s">
        <v>32</v>
      </c>
      <c r="C1098" s="204" t="s">
        <v>12</v>
      </c>
      <c r="D1098" s="11" t="s">
        <v>45</v>
      </c>
      <c r="E1098" s="4" t="s">
        <v>2276</v>
      </c>
      <c r="F1098" s="4" t="s">
        <v>2276</v>
      </c>
      <c r="G1098" s="4" t="s">
        <v>2276</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3.5" customHeight="1">
      <c r="A1099" s="19" t="s">
        <v>7143</v>
      </c>
      <c r="B1099" s="204" t="s">
        <v>32</v>
      </c>
      <c r="C1099" s="204" t="s">
        <v>12</v>
      </c>
      <c r="D1099" s="11" t="s">
        <v>45</v>
      </c>
      <c r="E1099" s="4" t="s">
        <v>2276</v>
      </c>
      <c r="F1099" s="4" t="s">
        <v>2276</v>
      </c>
      <c r="G1099" s="4" t="s">
        <v>2276</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7" customHeight="1">
      <c r="A1100" s="19" t="s">
        <v>7164</v>
      </c>
      <c r="B1100" s="204" t="s">
        <v>32</v>
      </c>
      <c r="C1100" s="204" t="s">
        <v>12</v>
      </c>
      <c r="D1100" s="11" t="s">
        <v>45</v>
      </c>
      <c r="E1100" s="204" t="s">
        <v>137</v>
      </c>
      <c r="F1100" s="204" t="s">
        <v>5005</v>
      </c>
      <c r="G1100" s="4" t="s">
        <v>2276</v>
      </c>
      <c r="H1100" s="21">
        <v>0.26</v>
      </c>
      <c r="I1100" s="4" t="s">
        <v>2276</v>
      </c>
      <c r="J1100" s="204" t="s">
        <v>2276</v>
      </c>
      <c r="K1100" s="204" t="s">
        <v>2276</v>
      </c>
      <c r="L1100" s="204" t="s">
        <v>2276</v>
      </c>
      <c r="M1100" s="204" t="s">
        <v>2276</v>
      </c>
      <c r="N1100" s="204" t="s">
        <v>2276</v>
      </c>
      <c r="O1100" s="21">
        <v>21</v>
      </c>
      <c r="P1100" s="204" t="s">
        <v>2276</v>
      </c>
      <c r="Q1100" s="204" t="s">
        <v>2276</v>
      </c>
      <c r="R1100" s="204" t="s">
        <v>2276</v>
      </c>
      <c r="S1100" s="204" t="s">
        <v>2276</v>
      </c>
      <c r="T1100" s="204" t="s">
        <v>7220</v>
      </c>
    </row>
    <row r="1101" spans="1:20" ht="28" customHeight="1">
      <c r="A1101" s="19" t="s">
        <v>7165</v>
      </c>
      <c r="B1101" s="204" t="s">
        <v>32</v>
      </c>
      <c r="C1101" s="204" t="s">
        <v>12</v>
      </c>
      <c r="D1101" s="11" t="s">
        <v>45</v>
      </c>
      <c r="E1101" s="204" t="s">
        <v>137</v>
      </c>
      <c r="F1101" s="4" t="s">
        <v>2276</v>
      </c>
      <c r="G1101" s="4" t="s">
        <v>2276</v>
      </c>
      <c r="H1101" s="21">
        <v>0.35</v>
      </c>
      <c r="I1101" s="4" t="s">
        <v>2276</v>
      </c>
      <c r="J1101" s="204" t="s">
        <v>2276</v>
      </c>
      <c r="K1101" s="204" t="s">
        <v>2276</v>
      </c>
      <c r="L1101" s="204" t="s">
        <v>2276</v>
      </c>
      <c r="M1101" s="204" t="s">
        <v>2276</v>
      </c>
      <c r="N1101" s="204" t="s">
        <v>2276</v>
      </c>
      <c r="O1101" s="21">
        <v>44</v>
      </c>
      <c r="P1101" s="204" t="s">
        <v>2276</v>
      </c>
      <c r="Q1101" s="204" t="s">
        <v>2276</v>
      </c>
      <c r="R1101" s="204" t="s">
        <v>2276</v>
      </c>
      <c r="S1101" s="204" t="s">
        <v>2276</v>
      </c>
      <c r="T1101" s="204" t="s">
        <v>7220</v>
      </c>
    </row>
    <row r="1102" spans="1:20" ht="29" customHeight="1">
      <c r="A1102" s="19" t="s">
        <v>7166</v>
      </c>
      <c r="B1102" s="204" t="s">
        <v>32</v>
      </c>
      <c r="C1102" s="204" t="s">
        <v>12</v>
      </c>
      <c r="D1102" s="11" t="s">
        <v>45</v>
      </c>
      <c r="E1102" s="4" t="s">
        <v>2276</v>
      </c>
      <c r="F1102" s="4" t="s">
        <v>2276</v>
      </c>
      <c r="G1102" s="4" t="s">
        <v>2276</v>
      </c>
      <c r="H1102" s="21">
        <v>0.75</v>
      </c>
      <c r="I1102" s="4" t="s">
        <v>2276</v>
      </c>
      <c r="J1102" s="204" t="s">
        <v>2276</v>
      </c>
      <c r="K1102" s="204" t="s">
        <v>2276</v>
      </c>
      <c r="L1102" s="204" t="s">
        <v>2276</v>
      </c>
      <c r="M1102" s="204" t="s">
        <v>2276</v>
      </c>
      <c r="N1102" s="204" t="s">
        <v>2276</v>
      </c>
      <c r="O1102" s="21">
        <v>35</v>
      </c>
      <c r="P1102" s="204" t="s">
        <v>2276</v>
      </c>
      <c r="Q1102" s="204" t="s">
        <v>2276</v>
      </c>
      <c r="R1102" s="204" t="s">
        <v>2276</v>
      </c>
      <c r="S1102" s="204" t="s">
        <v>2276</v>
      </c>
      <c r="T1102" s="204" t="s">
        <v>7220</v>
      </c>
    </row>
    <row r="1103" spans="1:20" ht="32.5" customHeight="1">
      <c r="A1103" s="19" t="s">
        <v>7167</v>
      </c>
      <c r="B1103" s="204" t="s">
        <v>2276</v>
      </c>
      <c r="C1103" s="204" t="s">
        <v>12</v>
      </c>
      <c r="D1103" s="11" t="s">
        <v>45</v>
      </c>
      <c r="E1103" s="204" t="s">
        <v>137</v>
      </c>
      <c r="F1103" s="4" t="s">
        <v>3855</v>
      </c>
      <c r="G1103" s="4" t="s">
        <v>2276</v>
      </c>
      <c r="H1103" s="21">
        <v>0.89</v>
      </c>
      <c r="I1103" s="4" t="s">
        <v>2276</v>
      </c>
      <c r="J1103" s="204" t="s">
        <v>2276</v>
      </c>
      <c r="K1103" s="204" t="s">
        <v>2276</v>
      </c>
      <c r="L1103" s="204" t="s">
        <v>2276</v>
      </c>
      <c r="M1103" s="204" t="s">
        <v>2276</v>
      </c>
      <c r="N1103" s="204" t="s">
        <v>2276</v>
      </c>
      <c r="O1103" s="21">
        <v>26</v>
      </c>
      <c r="P1103" s="204" t="s">
        <v>2276</v>
      </c>
      <c r="Q1103" s="204" t="s">
        <v>2276</v>
      </c>
      <c r="R1103" s="204" t="s">
        <v>2276</v>
      </c>
      <c r="S1103" s="204" t="s">
        <v>2276</v>
      </c>
      <c r="T1103" s="204" t="s">
        <v>7220</v>
      </c>
    </row>
    <row r="1104" spans="1:20" ht="32" customHeight="1">
      <c r="A1104" s="19" t="s">
        <v>7168</v>
      </c>
      <c r="B1104" s="204" t="s">
        <v>1197</v>
      </c>
      <c r="C1104" s="204" t="s">
        <v>12</v>
      </c>
      <c r="D1104" s="11" t="s">
        <v>45</v>
      </c>
      <c r="E1104" s="4" t="s">
        <v>3855</v>
      </c>
      <c r="F1104" s="4" t="s">
        <v>2276</v>
      </c>
      <c r="G1104" s="4" t="s">
        <v>2276</v>
      </c>
      <c r="H1104" s="21">
        <v>1.1000000000000001</v>
      </c>
      <c r="I1104" s="4" t="s">
        <v>2276</v>
      </c>
      <c r="J1104" s="204" t="s">
        <v>2276</v>
      </c>
      <c r="K1104" s="204" t="s">
        <v>2276</v>
      </c>
      <c r="L1104" s="204" t="s">
        <v>2276</v>
      </c>
      <c r="M1104" s="204" t="s">
        <v>2276</v>
      </c>
      <c r="N1104" s="204" t="s">
        <v>2276</v>
      </c>
      <c r="O1104" s="21">
        <v>26</v>
      </c>
      <c r="P1104" s="204" t="s">
        <v>2276</v>
      </c>
      <c r="Q1104" s="204" t="s">
        <v>2276</v>
      </c>
      <c r="R1104" s="204" t="s">
        <v>2276</v>
      </c>
      <c r="S1104" s="204" t="s">
        <v>2276</v>
      </c>
      <c r="T1104" s="204" t="s">
        <v>7220</v>
      </c>
    </row>
    <row r="1105" spans="1:20" ht="29" customHeight="1">
      <c r="A1105" s="19" t="s">
        <v>7169</v>
      </c>
      <c r="B1105" s="204" t="s">
        <v>2258</v>
      </c>
      <c r="C1105" s="204" t="s">
        <v>12</v>
      </c>
      <c r="D1105" s="11" t="s">
        <v>45</v>
      </c>
      <c r="E1105" s="4" t="s">
        <v>2276</v>
      </c>
      <c r="F1105" s="4" t="s">
        <v>2276</v>
      </c>
      <c r="G1105" s="4" t="s">
        <v>2276</v>
      </c>
      <c r="H1105" s="21">
        <v>0.9</v>
      </c>
      <c r="I1105" s="4" t="s">
        <v>2276</v>
      </c>
      <c r="J1105" s="204" t="s">
        <v>2276</v>
      </c>
      <c r="K1105" s="204" t="s">
        <v>2276</v>
      </c>
      <c r="L1105" s="204" t="s">
        <v>2276</v>
      </c>
      <c r="M1105" s="204" t="s">
        <v>2276</v>
      </c>
      <c r="N1105" s="204" t="s">
        <v>2276</v>
      </c>
      <c r="O1105" s="21">
        <v>64</v>
      </c>
      <c r="P1105" s="204" t="s">
        <v>2276</v>
      </c>
      <c r="Q1105" s="204" t="s">
        <v>2276</v>
      </c>
      <c r="R1105" s="204" t="s">
        <v>2276</v>
      </c>
      <c r="S1105" s="204" t="s">
        <v>2276</v>
      </c>
      <c r="T1105" s="204" t="s">
        <v>7220</v>
      </c>
    </row>
    <row r="1106" spans="1:20" ht="28" customHeight="1">
      <c r="A1106" s="19" t="s">
        <v>7170</v>
      </c>
      <c r="B1106" s="204" t="s">
        <v>32</v>
      </c>
      <c r="C1106" s="204" t="s">
        <v>12</v>
      </c>
      <c r="D1106" s="11" t="s">
        <v>45</v>
      </c>
      <c r="E1106" s="4" t="s">
        <v>2276</v>
      </c>
      <c r="F1106" s="4" t="s">
        <v>2276</v>
      </c>
      <c r="G1106" s="4" t="s">
        <v>2276</v>
      </c>
      <c r="H1106" s="21">
        <v>0.84</v>
      </c>
      <c r="I1106" s="4" t="s">
        <v>2276</v>
      </c>
      <c r="J1106" s="204" t="s">
        <v>2276</v>
      </c>
      <c r="K1106" s="204" t="s">
        <v>2276</v>
      </c>
      <c r="L1106" s="204" t="s">
        <v>2276</v>
      </c>
      <c r="M1106" s="204" t="s">
        <v>2276</v>
      </c>
      <c r="N1106" s="204" t="s">
        <v>2276</v>
      </c>
      <c r="O1106" s="21">
        <v>40</v>
      </c>
      <c r="P1106" s="204" t="s">
        <v>2276</v>
      </c>
      <c r="Q1106" s="204" t="s">
        <v>2276</v>
      </c>
      <c r="R1106" s="204" t="s">
        <v>2276</v>
      </c>
      <c r="S1106" s="204" t="s">
        <v>2276</v>
      </c>
      <c r="T1106" s="204" t="s">
        <v>7220</v>
      </c>
    </row>
    <row r="1107" spans="1:20" ht="23.5" customHeight="1">
      <c r="A1107" s="19" t="s">
        <v>7171</v>
      </c>
      <c r="B1107" s="204" t="s">
        <v>69</v>
      </c>
      <c r="C1107" s="204" t="s">
        <v>12</v>
      </c>
      <c r="D1107" s="11" t="s">
        <v>45</v>
      </c>
      <c r="E1107" s="204" t="s">
        <v>5801</v>
      </c>
      <c r="F1107" s="4" t="s">
        <v>2276</v>
      </c>
      <c r="G1107" s="4" t="s">
        <v>2276</v>
      </c>
      <c r="H1107" s="21">
        <v>0.2</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7220</v>
      </c>
    </row>
    <row r="1108" spans="1:20" ht="36.5" customHeight="1">
      <c r="A1108" s="19" t="s">
        <v>7172</v>
      </c>
      <c r="B1108" s="204" t="s">
        <v>2276</v>
      </c>
      <c r="C1108" s="204" t="s">
        <v>12</v>
      </c>
      <c r="D1108" s="11" t="s">
        <v>45</v>
      </c>
      <c r="E1108" s="204" t="s">
        <v>5005</v>
      </c>
      <c r="F1108" s="4" t="s">
        <v>3855</v>
      </c>
      <c r="G1108" s="4" t="s">
        <v>2276</v>
      </c>
      <c r="H1108" s="21">
        <v>1.6</v>
      </c>
      <c r="I1108" s="4" t="s">
        <v>2276</v>
      </c>
      <c r="J1108" s="204" t="s">
        <v>2276</v>
      </c>
      <c r="K1108" s="204" t="s">
        <v>2276</v>
      </c>
      <c r="L1108" s="204" t="s">
        <v>2276</v>
      </c>
      <c r="M1108" s="204" t="s">
        <v>2276</v>
      </c>
      <c r="N1108" s="204" t="s">
        <v>2276</v>
      </c>
      <c r="O1108" s="21">
        <v>46</v>
      </c>
      <c r="P1108" s="204" t="s">
        <v>2276</v>
      </c>
      <c r="Q1108" s="204" t="s">
        <v>2276</v>
      </c>
      <c r="R1108" s="204" t="s">
        <v>2276</v>
      </c>
      <c r="S1108" s="204" t="s">
        <v>2276</v>
      </c>
      <c r="T1108" s="204" t="s">
        <v>7220</v>
      </c>
    </row>
    <row r="1109" spans="1:20" ht="35" customHeight="1">
      <c r="A1109" s="19" t="s">
        <v>7173</v>
      </c>
      <c r="B1109" s="204" t="s">
        <v>2258</v>
      </c>
      <c r="C1109" s="204" t="s">
        <v>12</v>
      </c>
      <c r="D1109" s="11" t="s">
        <v>45</v>
      </c>
      <c r="E1109" s="204" t="s">
        <v>5005</v>
      </c>
      <c r="F1109" s="4" t="s">
        <v>3855</v>
      </c>
      <c r="G1109" s="4" t="s">
        <v>2276</v>
      </c>
      <c r="H1109" s="21">
        <v>0.38</v>
      </c>
      <c r="I1109" s="4" t="s">
        <v>2276</v>
      </c>
      <c r="J1109" s="204" t="s">
        <v>2276</v>
      </c>
      <c r="K1109" s="204" t="s">
        <v>2276</v>
      </c>
      <c r="L1109" s="204" t="s">
        <v>2276</v>
      </c>
      <c r="M1109" s="204" t="s">
        <v>2276</v>
      </c>
      <c r="N1109" s="204" t="s">
        <v>2276</v>
      </c>
      <c r="O1109" s="21">
        <v>46</v>
      </c>
      <c r="P1109" s="204" t="s">
        <v>2276</v>
      </c>
      <c r="Q1109" s="204" t="s">
        <v>2276</v>
      </c>
      <c r="R1109" s="204" t="s">
        <v>2276</v>
      </c>
      <c r="S1109" s="204" t="s">
        <v>2276</v>
      </c>
      <c r="T1109" s="204" t="s">
        <v>7220</v>
      </c>
    </row>
    <row r="1110" spans="1:20" ht="25" customHeight="1">
      <c r="A1110" s="19" t="s">
        <v>7234</v>
      </c>
      <c r="B1110" s="204" t="s">
        <v>2276</v>
      </c>
      <c r="C1110" s="204" t="s">
        <v>2276</v>
      </c>
      <c r="D1110" s="204" t="s">
        <v>2649</v>
      </c>
      <c r="E1110" s="204" t="s">
        <v>137</v>
      </c>
      <c r="F1110" s="204" t="s">
        <v>2276</v>
      </c>
      <c r="G1110" s="204" t="s">
        <v>2276</v>
      </c>
      <c r="H1110" s="204" t="s">
        <v>2276</v>
      </c>
      <c r="I1110" s="204" t="s">
        <v>2276</v>
      </c>
      <c r="J1110" s="204" t="s">
        <v>2276</v>
      </c>
      <c r="K1110" s="204" t="s">
        <v>2276</v>
      </c>
      <c r="L1110" s="204" t="s">
        <v>2276</v>
      </c>
      <c r="M1110" s="204" t="s">
        <v>2276</v>
      </c>
      <c r="N1110" s="204" t="s">
        <v>2276</v>
      </c>
      <c r="O1110" s="204" t="s">
        <v>2276</v>
      </c>
      <c r="P1110" s="204" t="s">
        <v>2276</v>
      </c>
      <c r="Q1110" s="204" t="s">
        <v>2276</v>
      </c>
      <c r="R1110" s="204" t="s">
        <v>2276</v>
      </c>
      <c r="S1110" s="204" t="s">
        <v>2276</v>
      </c>
      <c r="T1110" s="204"/>
    </row>
    <row r="1111" spans="1:20" ht="28" customHeight="1">
      <c r="A1111" s="19" t="s">
        <v>7235</v>
      </c>
      <c r="B1111" s="204" t="s">
        <v>2276</v>
      </c>
      <c r="C1111" s="204" t="s">
        <v>2645</v>
      </c>
      <c r="D1111" s="204" t="s">
        <v>2649</v>
      </c>
      <c r="E1111" s="204" t="s">
        <v>137</v>
      </c>
      <c r="F1111" s="204" t="s">
        <v>2276</v>
      </c>
      <c r="G1111" s="204" t="s">
        <v>2276</v>
      </c>
      <c r="H1111" s="204" t="s">
        <v>2276</v>
      </c>
      <c r="I1111" s="204" t="s">
        <v>2276</v>
      </c>
      <c r="J1111" s="204" t="s">
        <v>2276</v>
      </c>
      <c r="K1111" s="204" t="s">
        <v>2276</v>
      </c>
      <c r="L1111" s="204" t="s">
        <v>2276</v>
      </c>
      <c r="M1111" s="204" t="s">
        <v>2276</v>
      </c>
      <c r="N1111" s="204" t="s">
        <v>2276</v>
      </c>
      <c r="O1111" s="204" t="s">
        <v>2276</v>
      </c>
      <c r="P1111" s="204" t="s">
        <v>2276</v>
      </c>
      <c r="Q1111" s="204" t="s">
        <v>2276</v>
      </c>
      <c r="R1111" s="204" t="s">
        <v>2276</v>
      </c>
      <c r="S1111" s="204" t="s">
        <v>2276</v>
      </c>
      <c r="T1111" s="204"/>
    </row>
    <row r="1112" spans="1:20" ht="25" customHeight="1">
      <c r="A1112" s="19" t="s">
        <v>7236</v>
      </c>
      <c r="B1112" s="204" t="s">
        <v>2276</v>
      </c>
      <c r="C1112" s="204" t="s">
        <v>2646</v>
      </c>
      <c r="D1112" s="204" t="s">
        <v>137</v>
      </c>
      <c r="E1112" s="204" t="s">
        <v>45</v>
      </c>
      <c r="F1112" s="204" t="s">
        <v>2276</v>
      </c>
      <c r="G1112" s="204" t="s">
        <v>2276</v>
      </c>
      <c r="H1112" s="204" t="s">
        <v>2276</v>
      </c>
      <c r="I1112" s="204" t="s">
        <v>2276</v>
      </c>
      <c r="J1112" s="204" t="s">
        <v>2276</v>
      </c>
      <c r="K1112" s="204" t="s">
        <v>2276</v>
      </c>
      <c r="L1112" s="204" t="s">
        <v>2276</v>
      </c>
      <c r="M1112" s="204" t="s">
        <v>2276</v>
      </c>
      <c r="N1112" s="204" t="s">
        <v>2276</v>
      </c>
      <c r="O1112" s="204" t="s">
        <v>2276</v>
      </c>
      <c r="P1112" s="204" t="s">
        <v>2276</v>
      </c>
      <c r="Q1112" s="204" t="s">
        <v>2276</v>
      </c>
      <c r="R1112" s="204" t="s">
        <v>2276</v>
      </c>
      <c r="S1112" s="204" t="s">
        <v>2276</v>
      </c>
      <c r="T1112" s="204"/>
    </row>
    <row r="1113" spans="1:20" ht="25" customHeight="1">
      <c r="A1113" s="19" t="s">
        <v>7237</v>
      </c>
      <c r="B1113" s="204" t="s">
        <v>2276</v>
      </c>
      <c r="C1113" s="204" t="s">
        <v>2646</v>
      </c>
      <c r="D1113" s="204" t="s">
        <v>137</v>
      </c>
      <c r="E1113" s="204" t="s">
        <v>45</v>
      </c>
      <c r="F1113" s="204" t="s">
        <v>2276</v>
      </c>
      <c r="G1113" s="204" t="s">
        <v>2276</v>
      </c>
      <c r="H1113" s="204" t="s">
        <v>2276</v>
      </c>
      <c r="I1113" s="204" t="s">
        <v>2276</v>
      </c>
      <c r="J1113" s="204" t="s">
        <v>2276</v>
      </c>
      <c r="K1113" s="204" t="s">
        <v>2276</v>
      </c>
      <c r="L1113" s="204" t="s">
        <v>2276</v>
      </c>
      <c r="M1113" s="204" t="s">
        <v>2276</v>
      </c>
      <c r="N1113" s="204" t="s">
        <v>2276</v>
      </c>
      <c r="O1113" s="204" t="s">
        <v>2276</v>
      </c>
      <c r="P1113" s="204" t="s">
        <v>2276</v>
      </c>
      <c r="Q1113" s="204" t="s">
        <v>2276</v>
      </c>
      <c r="R1113" s="204" t="s">
        <v>2276</v>
      </c>
      <c r="S1113" s="204" t="s">
        <v>2276</v>
      </c>
      <c r="T1113" s="204"/>
    </row>
    <row r="1114" spans="1:20" ht="25" customHeight="1">
      <c r="A1114" s="19" t="s">
        <v>7238</v>
      </c>
      <c r="B1114" s="204" t="s">
        <v>2276</v>
      </c>
      <c r="C1114" s="204" t="s">
        <v>2646</v>
      </c>
      <c r="D1114" s="204" t="s">
        <v>137</v>
      </c>
      <c r="E1114" s="204" t="s">
        <v>45</v>
      </c>
      <c r="F1114" s="204" t="s">
        <v>2276</v>
      </c>
      <c r="G1114" s="204" t="s">
        <v>2276</v>
      </c>
      <c r="H1114" s="204" t="s">
        <v>2276</v>
      </c>
      <c r="I1114" s="204" t="s">
        <v>2276</v>
      </c>
      <c r="J1114" s="204" t="s">
        <v>2276</v>
      </c>
      <c r="K1114" s="204" t="s">
        <v>2276</v>
      </c>
      <c r="L1114" s="204" t="s">
        <v>2276</v>
      </c>
      <c r="M1114" s="204" t="s">
        <v>2276</v>
      </c>
      <c r="N1114" s="204" t="s">
        <v>2276</v>
      </c>
      <c r="O1114" s="204" t="s">
        <v>2276</v>
      </c>
      <c r="P1114" s="204" t="s">
        <v>2276</v>
      </c>
      <c r="Q1114" s="204" t="s">
        <v>2276</v>
      </c>
      <c r="R1114" s="204" t="s">
        <v>2276</v>
      </c>
      <c r="S1114" s="204" t="s">
        <v>2276</v>
      </c>
      <c r="T1114" s="204"/>
    </row>
    <row r="1115" spans="1:20" ht="41.5" customHeight="1">
      <c r="A1115" s="19" t="s">
        <v>7268</v>
      </c>
      <c r="B1115" s="204" t="s">
        <v>2276</v>
      </c>
      <c r="C1115" s="204" t="s">
        <v>2276</v>
      </c>
      <c r="D1115" s="204" t="s">
        <v>3209</v>
      </c>
      <c r="E1115" s="204" t="s">
        <v>2276</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4" t="s">
        <v>7634</v>
      </c>
    </row>
    <row r="1116" spans="1:20" ht="41.5" customHeight="1">
      <c r="A1116" s="19" t="s">
        <v>7281</v>
      </c>
      <c r="B1116" s="204" t="s">
        <v>2276</v>
      </c>
      <c r="C1116" s="204" t="s">
        <v>2276</v>
      </c>
      <c r="D1116" s="204" t="s">
        <v>3209</v>
      </c>
      <c r="E1116" s="204" t="s">
        <v>2276</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4" t="s">
        <v>7634</v>
      </c>
    </row>
    <row r="1117" spans="1:20" ht="41.5" customHeight="1">
      <c r="A1117" s="19" t="s">
        <v>7282</v>
      </c>
      <c r="B1117" s="204" t="s">
        <v>2276</v>
      </c>
      <c r="C1117" s="204" t="s">
        <v>2276</v>
      </c>
      <c r="D1117" s="204" t="s">
        <v>3209</v>
      </c>
      <c r="E1117" s="204" t="s">
        <v>2276</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4" t="s">
        <v>7634</v>
      </c>
    </row>
    <row r="1118" spans="1:20" ht="41.5" customHeight="1">
      <c r="A1118" s="19" t="s">
        <v>7283</v>
      </c>
      <c r="B1118" s="204" t="s">
        <v>2276</v>
      </c>
      <c r="C1118" s="204" t="s">
        <v>2276</v>
      </c>
      <c r="D1118" s="204" t="s">
        <v>3209</v>
      </c>
      <c r="E1118" s="204" t="s">
        <v>2276</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4" t="s">
        <v>7634</v>
      </c>
    </row>
    <row r="1119" spans="1:20" ht="41.5" customHeight="1">
      <c r="A1119" s="19" t="s">
        <v>7284</v>
      </c>
      <c r="B1119" s="204" t="s">
        <v>2276</v>
      </c>
      <c r="C1119" s="204" t="s">
        <v>2276</v>
      </c>
      <c r="D1119" s="204" t="s">
        <v>3209</v>
      </c>
      <c r="E1119" s="204" t="s">
        <v>2276</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4" t="s">
        <v>7634</v>
      </c>
    </row>
    <row r="1120" spans="1:20" ht="41.5" customHeight="1">
      <c r="A1120" s="19" t="s">
        <v>7285</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7634</v>
      </c>
    </row>
    <row r="1121" spans="1:20" ht="41.5" customHeight="1">
      <c r="A1121" s="19" t="s">
        <v>7286</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7634</v>
      </c>
    </row>
    <row r="1122" spans="1:20" ht="41.5" customHeight="1">
      <c r="A1122" s="19" t="s">
        <v>7287</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7634</v>
      </c>
    </row>
    <row r="1123" spans="1:20" ht="41.5" customHeight="1">
      <c r="A1123" s="19" t="s">
        <v>7288</v>
      </c>
      <c r="B1123" s="204" t="s">
        <v>2276</v>
      </c>
      <c r="C1123" s="204" t="s">
        <v>2646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7634</v>
      </c>
    </row>
    <row r="1124" spans="1:20" ht="41.5" customHeight="1">
      <c r="A1124" s="19" t="s">
        <v>7289</v>
      </c>
      <c r="B1124" s="204" t="s">
        <v>2276</v>
      </c>
      <c r="C1124" s="204" t="s">
        <v>2646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7634</v>
      </c>
    </row>
    <row r="1125" spans="1:20" ht="41.5" customHeight="1">
      <c r="A1125" s="19" t="s">
        <v>7290</v>
      </c>
      <c r="B1125" s="204" t="s">
        <v>2276</v>
      </c>
      <c r="C1125" s="204" t="s">
        <v>2646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7634</v>
      </c>
    </row>
    <row r="1126" spans="1:20" ht="41.5" customHeight="1">
      <c r="A1126" s="19" t="s">
        <v>7291</v>
      </c>
      <c r="B1126" s="204" t="s">
        <v>2276</v>
      </c>
      <c r="C1126" s="204" t="s">
        <v>2646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7634</v>
      </c>
    </row>
    <row r="1127" spans="1:20" ht="41.5" customHeight="1">
      <c r="A1127" s="19" t="s">
        <v>7292</v>
      </c>
      <c r="B1127" s="204" t="s">
        <v>2276</v>
      </c>
      <c r="C1127" s="204" t="s">
        <v>2646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7634</v>
      </c>
    </row>
    <row r="1128" spans="1:20" ht="41.5" customHeight="1">
      <c r="A1128" s="19" t="s">
        <v>7293</v>
      </c>
      <c r="B1128" s="204" t="s">
        <v>2276</v>
      </c>
      <c r="C1128" s="204" t="s">
        <v>2276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7634</v>
      </c>
    </row>
    <row r="1129" spans="1:20" ht="41.5" customHeight="1">
      <c r="A1129" s="19" t="s">
        <v>7379</v>
      </c>
      <c r="B1129" s="204" t="s">
        <v>2276</v>
      </c>
      <c r="C1129" s="204" t="s">
        <v>2276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7634</v>
      </c>
    </row>
    <row r="1130" spans="1:20" ht="41.5" customHeight="1">
      <c r="A1130" s="19" t="s">
        <v>7380</v>
      </c>
      <c r="B1130" s="204" t="s">
        <v>2276</v>
      </c>
      <c r="C1130" s="204" t="s">
        <v>2276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7634</v>
      </c>
    </row>
    <row r="1131" spans="1:20" ht="41.5" customHeight="1">
      <c r="A1131" s="19" t="s">
        <v>7381</v>
      </c>
      <c r="B1131" s="204" t="s">
        <v>2276</v>
      </c>
      <c r="C1131" s="204" t="s">
        <v>2276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7634</v>
      </c>
    </row>
    <row r="1132" spans="1:20" ht="41.5" customHeight="1">
      <c r="A1132" s="19" t="s">
        <v>7382</v>
      </c>
      <c r="B1132" s="204" t="s">
        <v>2276</v>
      </c>
      <c r="C1132" s="204" t="s">
        <v>2276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7634</v>
      </c>
    </row>
    <row r="1133" spans="1:20" ht="41.5" customHeight="1">
      <c r="A1133" s="19" t="s">
        <v>7383</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7634</v>
      </c>
    </row>
    <row r="1134" spans="1:20" ht="41.5" customHeight="1">
      <c r="A1134" s="19" t="s">
        <v>7384</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7634</v>
      </c>
    </row>
    <row r="1135" spans="1:20" ht="41.5" customHeight="1">
      <c r="A1135" s="19" t="s">
        <v>7385</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7634</v>
      </c>
    </row>
    <row r="1136" spans="1:20" ht="41.5" customHeight="1">
      <c r="A1136" s="19" t="s">
        <v>7386</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7634</v>
      </c>
    </row>
    <row r="1137" spans="1:20" ht="41.5" customHeight="1">
      <c r="A1137" s="19" t="s">
        <v>7387</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7634</v>
      </c>
    </row>
    <row r="1138" spans="1:20" ht="41.5" customHeight="1">
      <c r="A1138" s="19" t="s">
        <v>7388</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7634</v>
      </c>
    </row>
    <row r="1139" spans="1:20" ht="41.5" customHeight="1">
      <c r="A1139" s="19" t="s">
        <v>7389</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7634</v>
      </c>
    </row>
    <row r="1140" spans="1:20" ht="41.5" customHeight="1">
      <c r="A1140" s="19" t="s">
        <v>7390</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7634</v>
      </c>
    </row>
    <row r="1141" spans="1:20" ht="41.5" customHeight="1">
      <c r="A1141" s="19" t="s">
        <v>7391</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7634</v>
      </c>
    </row>
    <row r="1142" spans="1:20" ht="41.5" customHeight="1">
      <c r="A1142" s="19" t="s">
        <v>7392</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7634</v>
      </c>
    </row>
    <row r="1143" spans="1:20" ht="41.5" customHeight="1">
      <c r="A1143" s="19" t="s">
        <v>7393</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7634</v>
      </c>
    </row>
    <row r="1144" spans="1:20" ht="41.5" customHeight="1">
      <c r="A1144" s="19" t="s">
        <v>7394</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7634</v>
      </c>
    </row>
    <row r="1145" spans="1:20" ht="41.5" customHeight="1">
      <c r="A1145" s="19" t="s">
        <v>7395</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7634</v>
      </c>
    </row>
    <row r="1146" spans="1:20" ht="41.5" customHeight="1">
      <c r="A1146" s="19" t="s">
        <v>7594</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7634</v>
      </c>
    </row>
    <row r="1147" spans="1:20" ht="41.5" customHeight="1">
      <c r="A1147" s="19" t="s">
        <v>7616</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7634</v>
      </c>
    </row>
    <row r="1148" spans="1:20" ht="41.5" customHeight="1">
      <c r="A1148" s="19" t="s">
        <v>7619</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7634</v>
      </c>
    </row>
    <row r="1149" spans="1:20" ht="41.5" customHeight="1">
      <c r="A1149" s="19" t="s">
        <v>7620</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7634</v>
      </c>
    </row>
    <row r="1150" spans="1:20" ht="37" customHeight="1">
      <c r="A1150" s="55" t="s">
        <v>7643</v>
      </c>
      <c r="B1150" s="4" t="s">
        <v>1197</v>
      </c>
      <c r="C1150" s="204" t="s">
        <v>2645</v>
      </c>
      <c r="D1150" s="165" t="s">
        <v>3209</v>
      </c>
      <c r="E1150" s="204" t="s">
        <v>2276</v>
      </c>
      <c r="F1150" s="204" t="s">
        <v>2276</v>
      </c>
      <c r="G1150" s="204" t="s">
        <v>2276</v>
      </c>
      <c r="H1150" s="204" t="s">
        <v>2276</v>
      </c>
      <c r="I1150" s="204" t="s">
        <v>2276</v>
      </c>
      <c r="J1150" s="204" t="s">
        <v>2276</v>
      </c>
      <c r="K1150" s="4" t="s">
        <v>534</v>
      </c>
      <c r="L1150" s="204" t="s">
        <v>2276</v>
      </c>
      <c r="M1150" s="204" t="s">
        <v>2276</v>
      </c>
      <c r="N1150" s="204" t="s">
        <v>2276</v>
      </c>
      <c r="O1150" s="204" t="s">
        <v>2276</v>
      </c>
      <c r="P1150" s="204" t="s">
        <v>2276</v>
      </c>
      <c r="Q1150" s="204" t="s">
        <v>2276</v>
      </c>
      <c r="R1150" s="204" t="s">
        <v>2276</v>
      </c>
      <c r="S1150" s="204" t="s">
        <v>2276</v>
      </c>
      <c r="T1150" s="4" t="s">
        <v>7778</v>
      </c>
    </row>
    <row r="1151" spans="1:20" ht="37" customHeight="1">
      <c r="A1151" s="19" t="s">
        <v>7644</v>
      </c>
      <c r="B1151" s="4" t="s">
        <v>1197</v>
      </c>
      <c r="C1151" s="204" t="s">
        <v>2645</v>
      </c>
      <c r="D1151" s="165"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204" t="s">
        <v>7776</v>
      </c>
    </row>
    <row r="1152" spans="1:20" ht="37" customHeight="1">
      <c r="A1152" s="19" t="s">
        <v>7645</v>
      </c>
      <c r="B1152" s="4" t="s">
        <v>1197</v>
      </c>
      <c r="C1152" s="204" t="s">
        <v>2645</v>
      </c>
      <c r="D1152" s="165"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204" t="s">
        <v>7776</v>
      </c>
    </row>
    <row r="1153" spans="1:20" ht="37" customHeight="1">
      <c r="A1153" s="19" t="s">
        <v>7646</v>
      </c>
      <c r="B1153" s="4" t="s">
        <v>1197</v>
      </c>
      <c r="C1153" s="204" t="s">
        <v>2645</v>
      </c>
      <c r="D1153" s="165"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204" t="s">
        <v>7776</v>
      </c>
    </row>
    <row r="1154" spans="1:20" ht="37" customHeight="1">
      <c r="A1154" s="19" t="s">
        <v>7647</v>
      </c>
      <c r="B1154" s="4" t="s">
        <v>1197</v>
      </c>
      <c r="C1154" s="204" t="s">
        <v>2645</v>
      </c>
      <c r="D1154" s="165"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204" t="s">
        <v>7776</v>
      </c>
    </row>
    <row r="1155" spans="1:20" ht="37" customHeight="1">
      <c r="A1155" s="19" t="s">
        <v>7648</v>
      </c>
      <c r="B1155" s="4" t="s">
        <v>1197</v>
      </c>
      <c r="C1155" s="204" t="s">
        <v>2645</v>
      </c>
      <c r="D1155" s="165" t="s">
        <v>3209</v>
      </c>
      <c r="E1155" s="204" t="s">
        <v>2276</v>
      </c>
      <c r="F1155" s="204" t="s">
        <v>2276</v>
      </c>
      <c r="G1155" s="204" t="s">
        <v>2276</v>
      </c>
      <c r="H1155" s="204" t="s">
        <v>2276</v>
      </c>
      <c r="I1155" s="204" t="s">
        <v>2276</v>
      </c>
      <c r="J1155" s="204" t="s">
        <v>2276</v>
      </c>
      <c r="K1155" s="204" t="s">
        <v>2276</v>
      </c>
      <c r="L1155" s="204" t="s">
        <v>2276</v>
      </c>
      <c r="M1155" s="204" t="s">
        <v>2276</v>
      </c>
      <c r="N1155" s="204" t="s">
        <v>2276</v>
      </c>
      <c r="O1155" s="204" t="s">
        <v>2276</v>
      </c>
      <c r="P1155" s="204" t="s">
        <v>2276</v>
      </c>
      <c r="Q1155" s="204" t="s">
        <v>2276</v>
      </c>
      <c r="R1155" s="204" t="s">
        <v>2276</v>
      </c>
      <c r="S1155" s="204" t="s">
        <v>2276</v>
      </c>
      <c r="T1155" s="204" t="s">
        <v>7776</v>
      </c>
    </row>
    <row r="1156" spans="1:20" ht="37" customHeight="1">
      <c r="A1156" s="19" t="s">
        <v>7649</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7776</v>
      </c>
    </row>
    <row r="1157" spans="1:20" ht="37" customHeight="1">
      <c r="A1157" s="19" t="s">
        <v>7650</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7776</v>
      </c>
    </row>
    <row r="1158" spans="1:20" ht="37" customHeight="1">
      <c r="A1158" s="19" t="s">
        <v>7651</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7776</v>
      </c>
    </row>
    <row r="1159" spans="1:20" ht="37" customHeight="1">
      <c r="A1159" s="19" t="s">
        <v>7652</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7776</v>
      </c>
    </row>
    <row r="1160" spans="1:20" ht="37" customHeight="1">
      <c r="A1160" s="19" t="s">
        <v>7653</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7776</v>
      </c>
    </row>
    <row r="1161" spans="1:20" ht="37" customHeight="1">
      <c r="A1161" s="19" t="s">
        <v>7654</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7776</v>
      </c>
    </row>
    <row r="1162" spans="1:20" ht="37" customHeight="1">
      <c r="A1162" s="19" t="s">
        <v>7655</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7776</v>
      </c>
    </row>
    <row r="1163" spans="1:20" ht="37" customHeight="1">
      <c r="A1163" s="19" t="s">
        <v>7656</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7776</v>
      </c>
    </row>
    <row r="1164" spans="1:20" ht="37" customHeight="1">
      <c r="A1164" s="19" t="s">
        <v>7657</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7776</v>
      </c>
    </row>
    <row r="1165" spans="1:20" ht="37" customHeight="1">
      <c r="A1165" s="19" t="s">
        <v>7658</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7776</v>
      </c>
    </row>
    <row r="1166" spans="1:20" ht="37" customHeight="1">
      <c r="A1166" s="19" t="s">
        <v>7659</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7776</v>
      </c>
    </row>
    <row r="1167" spans="1:20" ht="37" customHeight="1">
      <c r="A1167" s="19" t="s">
        <v>7660</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7776</v>
      </c>
    </row>
    <row r="1168" spans="1:20" ht="37" customHeight="1">
      <c r="A1168" s="19" t="s">
        <v>7661</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7776</v>
      </c>
    </row>
    <row r="1169" spans="1:20" ht="37" customHeight="1">
      <c r="A1169" s="19" t="s">
        <v>7662</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7776</v>
      </c>
    </row>
    <row r="1170" spans="1:20" ht="37" customHeight="1">
      <c r="A1170" s="19" t="s">
        <v>7663</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7776</v>
      </c>
    </row>
    <row r="1171" spans="1:20" ht="37" customHeight="1">
      <c r="A1171" s="19" t="s">
        <v>7664</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7776</v>
      </c>
    </row>
    <row r="1172" spans="1:20" ht="37" customHeight="1">
      <c r="A1172" s="19" t="s">
        <v>7665</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7776</v>
      </c>
    </row>
    <row r="1173" spans="1:20" ht="37" customHeight="1">
      <c r="A1173" s="19" t="s">
        <v>7666</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7776</v>
      </c>
    </row>
    <row r="1174" spans="1:20" ht="37" customHeight="1">
      <c r="A1174" s="19" t="s">
        <v>7667</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7776</v>
      </c>
    </row>
    <row r="1175" spans="1:20" ht="37" customHeight="1">
      <c r="A1175" s="19" t="s">
        <v>7668</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7776</v>
      </c>
    </row>
    <row r="1176" spans="1:20" ht="37" customHeight="1">
      <c r="A1176" s="19" t="s">
        <v>7669</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7776</v>
      </c>
    </row>
    <row r="1177" spans="1:20" ht="37" customHeight="1">
      <c r="A1177" s="19" t="s">
        <v>7670</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7776</v>
      </c>
    </row>
    <row r="1178" spans="1:20" ht="37" customHeight="1">
      <c r="A1178" s="19" t="s">
        <v>7671</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7776</v>
      </c>
    </row>
    <row r="1179" spans="1:20" ht="37" customHeight="1">
      <c r="A1179" s="19" t="s">
        <v>7672</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7776</v>
      </c>
    </row>
    <row r="1180" spans="1:20" ht="37" customHeight="1">
      <c r="A1180" s="19" t="s">
        <v>7673</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7776</v>
      </c>
    </row>
    <row r="1181" spans="1:20" ht="37" customHeight="1">
      <c r="A1181" s="19" t="s">
        <v>7593</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7776</v>
      </c>
    </row>
    <row r="1182" spans="1:20" ht="37" customHeight="1">
      <c r="A1182" s="19" t="s">
        <v>7614</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7776</v>
      </c>
    </row>
    <row r="1183" spans="1:20" ht="37" customHeight="1">
      <c r="A1183" s="19" t="s">
        <v>7674</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7776</v>
      </c>
    </row>
    <row r="1184" spans="1:20" ht="37" customHeight="1">
      <c r="A1184" s="19" t="s">
        <v>7675</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7776</v>
      </c>
    </row>
    <row r="1185" spans="1:20" ht="37" customHeight="1">
      <c r="A1185" s="19" t="s">
        <v>7676</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7776</v>
      </c>
    </row>
    <row r="1186" spans="1:20" ht="37" customHeight="1">
      <c r="A1186" s="19" t="s">
        <v>7677</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7776</v>
      </c>
    </row>
    <row r="1187" spans="1:20" ht="37" customHeight="1">
      <c r="A1187" s="19" t="s">
        <v>7678</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7776</v>
      </c>
    </row>
    <row r="1188" spans="1:20" ht="37" customHeight="1">
      <c r="A1188" s="19" t="s">
        <v>7679</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7776</v>
      </c>
    </row>
    <row r="1189" spans="1:20" ht="37" customHeight="1">
      <c r="A1189" s="19" t="s">
        <v>7680</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7776</v>
      </c>
    </row>
    <row r="1190" spans="1:20" ht="37" customHeight="1">
      <c r="A1190" s="19" t="s">
        <v>7681</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7776</v>
      </c>
    </row>
    <row r="1191" spans="1:20" ht="37" customHeight="1">
      <c r="A1191" s="19" t="s">
        <v>7682</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7776</v>
      </c>
    </row>
    <row r="1192" spans="1:20" ht="37" customHeight="1">
      <c r="A1192" s="19" t="s">
        <v>7683</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7776</v>
      </c>
    </row>
    <row r="1193" spans="1:20" ht="37" customHeight="1">
      <c r="A1193" s="19" t="s">
        <v>7684</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7776</v>
      </c>
    </row>
    <row r="1194" spans="1:20" ht="37" customHeight="1">
      <c r="A1194" s="19" t="s">
        <v>7685</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7776</v>
      </c>
    </row>
    <row r="1195" spans="1:20" ht="37" customHeight="1">
      <c r="A1195" s="19" t="s">
        <v>7686</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7776</v>
      </c>
    </row>
    <row r="1196" spans="1:20" ht="37" customHeight="1">
      <c r="A1196" s="19" t="s">
        <v>7687</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7776</v>
      </c>
    </row>
    <row r="1197" spans="1:20" ht="37" customHeight="1">
      <c r="A1197" s="19" t="s">
        <v>7688</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7776</v>
      </c>
    </row>
    <row r="1198" spans="1:20" ht="37" customHeight="1">
      <c r="A1198" s="19" t="s">
        <v>7689</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7776</v>
      </c>
    </row>
    <row r="1199" spans="1:20" ht="37" customHeight="1">
      <c r="A1199" s="19" t="s">
        <v>7690</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7776</v>
      </c>
    </row>
    <row r="1200" spans="1:20" ht="37" customHeight="1">
      <c r="A1200" s="19" t="s">
        <v>7691</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7776</v>
      </c>
    </row>
    <row r="1201" spans="1:20" ht="37" customHeight="1">
      <c r="A1201" s="19" t="s">
        <v>7692</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7776</v>
      </c>
    </row>
    <row r="1202" spans="1:20" ht="37" customHeight="1">
      <c r="A1202" s="19" t="s">
        <v>7760</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7776</v>
      </c>
    </row>
    <row r="1203" spans="1:20" ht="37" customHeight="1">
      <c r="A1203" s="19" t="s">
        <v>7761</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7776</v>
      </c>
    </row>
    <row r="1204" spans="1:20" ht="37" customHeight="1">
      <c r="A1204" s="19" t="s">
        <v>7762</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7776</v>
      </c>
    </row>
    <row r="1205" spans="1:20" ht="37" customHeight="1">
      <c r="A1205" s="19" t="s">
        <v>7763</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7776</v>
      </c>
    </row>
    <row r="1206" spans="1:20" ht="37" customHeight="1">
      <c r="A1206" s="19" t="s">
        <v>7764</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7776</v>
      </c>
    </row>
    <row r="1207" spans="1:20" ht="37" customHeight="1">
      <c r="A1207" s="19" t="s">
        <v>7765</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7776</v>
      </c>
    </row>
    <row r="1208" spans="1:20" ht="37" customHeight="1">
      <c r="A1208" s="19" t="s">
        <v>7766</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7776</v>
      </c>
    </row>
    <row r="1209" spans="1:20" ht="37" customHeight="1">
      <c r="A1209" s="19" t="s">
        <v>7670</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7776</v>
      </c>
    </row>
    <row r="1210" spans="1:20" ht="37" customHeight="1">
      <c r="A1210" s="19" t="s">
        <v>7767</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7776</v>
      </c>
    </row>
    <row r="1211" spans="1:20" ht="37" customHeight="1">
      <c r="A1211" s="19" t="s">
        <v>7768</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7776</v>
      </c>
    </row>
    <row r="1212" spans="1:20" ht="37" customHeight="1">
      <c r="A1212" s="19" t="s">
        <v>7769</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7776</v>
      </c>
    </row>
    <row r="1213" spans="1:20" ht="37" customHeight="1">
      <c r="A1213" s="19" t="s">
        <v>7770</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7776</v>
      </c>
    </row>
    <row r="1214" spans="1:20" ht="37" customHeight="1">
      <c r="A1214" s="19" t="s">
        <v>7771</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7776</v>
      </c>
    </row>
    <row r="1215" spans="1:20" ht="37" customHeight="1">
      <c r="A1215" s="19" t="s">
        <v>7772</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7776</v>
      </c>
    </row>
    <row r="1216" spans="1:20" ht="37" customHeight="1">
      <c r="A1216" s="19" t="s">
        <v>7773</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7776</v>
      </c>
    </row>
    <row r="1217" spans="1:20" ht="37" customHeight="1">
      <c r="A1217" s="19" t="s">
        <v>7774</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7776</v>
      </c>
    </row>
    <row r="1218" spans="1:20" ht="33.5" customHeight="1">
      <c r="A1218" s="19" t="s">
        <v>7852</v>
      </c>
      <c r="B1218" s="204" t="s">
        <v>32</v>
      </c>
      <c r="C1218" s="204" t="s">
        <v>2645</v>
      </c>
      <c r="D1218" s="204" t="s">
        <v>2649</v>
      </c>
      <c r="E1218" s="204" t="s">
        <v>137</v>
      </c>
      <c r="F1218" s="204" t="s">
        <v>2276</v>
      </c>
      <c r="G1218" s="204" t="s">
        <v>2276</v>
      </c>
      <c r="H1218" s="204" t="s">
        <v>2276</v>
      </c>
      <c r="I1218" s="204" t="s">
        <v>2276</v>
      </c>
      <c r="J1218" s="204" t="s">
        <v>2276</v>
      </c>
      <c r="K1218" s="204" t="s">
        <v>534</v>
      </c>
      <c r="L1218" s="204" t="s">
        <v>2276</v>
      </c>
      <c r="M1218" s="204" t="s">
        <v>2276</v>
      </c>
      <c r="N1218" s="204" t="s">
        <v>2276</v>
      </c>
      <c r="O1218" s="204" t="s">
        <v>2276</v>
      </c>
      <c r="P1218" s="204" t="s">
        <v>2276</v>
      </c>
      <c r="Q1218" s="204" t="s">
        <v>2276</v>
      </c>
      <c r="R1218" s="204" t="s">
        <v>2276</v>
      </c>
      <c r="S1218" s="204" t="s">
        <v>2276</v>
      </c>
      <c r="T1218" s="204"/>
    </row>
    <row r="1219" spans="1:20" ht="34.5" customHeight="1">
      <c r="A1219" s="19" t="s">
        <v>7855</v>
      </c>
      <c r="B1219" s="204" t="s">
        <v>1197</v>
      </c>
      <c r="C1219" s="204" t="s">
        <v>2646</v>
      </c>
      <c r="D1219" s="204" t="s">
        <v>137</v>
      </c>
      <c r="E1219" s="204" t="s">
        <v>2276</v>
      </c>
      <c r="F1219" s="204" t="s">
        <v>2276</v>
      </c>
      <c r="G1219" s="204" t="s">
        <v>2276</v>
      </c>
      <c r="H1219" s="204" t="s">
        <v>2276</v>
      </c>
      <c r="I1219" s="204" t="s">
        <v>2276</v>
      </c>
      <c r="J1219" s="204" t="s">
        <v>2276</v>
      </c>
      <c r="K1219" s="204" t="s">
        <v>534</v>
      </c>
      <c r="L1219" s="204" t="s">
        <v>2276</v>
      </c>
      <c r="M1219" s="204" t="s">
        <v>2276</v>
      </c>
      <c r="N1219" s="204" t="s">
        <v>2276</v>
      </c>
      <c r="O1219" s="204" t="s">
        <v>2276</v>
      </c>
      <c r="P1219" s="204" t="s">
        <v>2276</v>
      </c>
      <c r="Q1219" s="204" t="s">
        <v>2276</v>
      </c>
      <c r="R1219" s="204" t="s">
        <v>2276</v>
      </c>
      <c r="S1219" s="204" t="s">
        <v>2276</v>
      </c>
      <c r="T1219" s="204"/>
    </row>
    <row r="1220" spans="1:20" ht="36" customHeight="1">
      <c r="A1220" s="19" t="s">
        <v>7873</v>
      </c>
      <c r="B1220" s="204" t="s">
        <v>2276</v>
      </c>
      <c r="C1220" s="204" t="s">
        <v>12</v>
      </c>
      <c r="D1220" s="204" t="s">
        <v>45</v>
      </c>
      <c r="E1220" s="204" t="s">
        <v>130</v>
      </c>
      <c r="F1220" s="204" t="s">
        <v>863</v>
      </c>
      <c r="G1220" s="204" t="s">
        <v>3854</v>
      </c>
      <c r="H1220" s="204" t="s">
        <v>2276</v>
      </c>
      <c r="I1220" s="204" t="s">
        <v>2276</v>
      </c>
      <c r="J1220" s="204" t="s">
        <v>2276</v>
      </c>
      <c r="K1220" s="204" t="s">
        <v>534</v>
      </c>
      <c r="L1220" s="204" t="s">
        <v>2276</v>
      </c>
      <c r="M1220" s="204" t="s">
        <v>2276</v>
      </c>
      <c r="N1220" s="204" t="s">
        <v>2276</v>
      </c>
      <c r="O1220" s="204" t="s">
        <v>2276</v>
      </c>
      <c r="P1220" s="204" t="s">
        <v>2276</v>
      </c>
      <c r="Q1220" s="204" t="s">
        <v>2276</v>
      </c>
      <c r="R1220" s="204" t="s">
        <v>2276</v>
      </c>
      <c r="S1220" s="204" t="s">
        <v>2276</v>
      </c>
      <c r="T1220" s="204"/>
    </row>
    <row r="1221" spans="1:20" ht="32" customHeight="1">
      <c r="A1221" s="19" t="s">
        <v>7886</v>
      </c>
      <c r="B1221" s="204" t="s">
        <v>2276</v>
      </c>
      <c r="C1221" s="204" t="s">
        <v>395</v>
      </c>
      <c r="D1221" s="204" t="s">
        <v>5005</v>
      </c>
      <c r="E1221" s="204" t="s">
        <v>45</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row>
    <row r="1222" spans="1:20" ht="33.5" customHeight="1">
      <c r="A1222" s="19" t="s">
        <v>7895</v>
      </c>
      <c r="B1222" s="204" t="s">
        <v>1197</v>
      </c>
      <c r="C1222" s="204" t="s">
        <v>2645</v>
      </c>
      <c r="D1222" s="204" t="s">
        <v>137</v>
      </c>
      <c r="E1222" s="204" t="s">
        <v>45</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t="s">
        <v>2276</v>
      </c>
      <c r="S1222" s="204" t="s">
        <v>2276</v>
      </c>
      <c r="T1222" s="204"/>
    </row>
    <row r="1223" spans="1:20" ht="32.5" customHeight="1">
      <c r="A1223" s="19" t="s">
        <v>7901</v>
      </c>
      <c r="B1223" s="204" t="s">
        <v>1197</v>
      </c>
      <c r="C1223" s="204" t="s">
        <v>2645</v>
      </c>
      <c r="D1223" s="204" t="s">
        <v>137</v>
      </c>
      <c r="E1223" s="204" t="s">
        <v>2649</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26" customHeight="1">
      <c r="A1224" s="55" t="s">
        <v>7907</v>
      </c>
      <c r="B1224" s="204" t="s">
        <v>1197</v>
      </c>
      <c r="C1224" s="204" t="s">
        <v>2646</v>
      </c>
      <c r="D1224" s="204" t="s">
        <v>137</v>
      </c>
      <c r="E1224" s="204" t="s">
        <v>2276</v>
      </c>
      <c r="F1224" s="204" t="s">
        <v>2276</v>
      </c>
      <c r="G1224" s="204" t="s">
        <v>2276</v>
      </c>
      <c r="H1224" s="21">
        <f>1/63.671</f>
        <v>1.5705737305837821E-2</v>
      </c>
      <c r="I1224" s="204" t="s">
        <v>2276</v>
      </c>
      <c r="J1224" s="204" t="s">
        <v>2276</v>
      </c>
      <c r="K1224" s="204" t="s">
        <v>2276</v>
      </c>
      <c r="L1224" s="204" t="s">
        <v>2276</v>
      </c>
      <c r="M1224" s="204" t="s">
        <v>2276</v>
      </c>
      <c r="N1224" s="204" t="s">
        <v>2276</v>
      </c>
      <c r="O1224" s="204" t="s">
        <v>2276</v>
      </c>
      <c r="P1224" s="204" t="s">
        <v>2276</v>
      </c>
      <c r="Q1224" s="204" t="s">
        <v>2276</v>
      </c>
      <c r="R1224" s="204" t="s">
        <v>2276</v>
      </c>
      <c r="S1224" s="204" t="s">
        <v>2276</v>
      </c>
      <c r="T1224" s="204"/>
    </row>
    <row r="1225" spans="1:20" ht="26" customHeight="1">
      <c r="A1225" s="19" t="s">
        <v>7910</v>
      </c>
      <c r="B1225" s="204" t="s">
        <v>1197</v>
      </c>
      <c r="C1225" s="204" t="s">
        <v>2646</v>
      </c>
      <c r="D1225" s="204" t="s">
        <v>137</v>
      </c>
      <c r="E1225" s="204" t="s">
        <v>2276</v>
      </c>
      <c r="F1225" s="204" t="s">
        <v>2276</v>
      </c>
      <c r="G1225" s="204" t="s">
        <v>2276</v>
      </c>
      <c r="H1225" s="21">
        <f>1/46.714</f>
        <v>2.1406858757545919E-2</v>
      </c>
      <c r="I1225" s="204" t="s">
        <v>2276</v>
      </c>
      <c r="J1225" s="204" t="s">
        <v>2276</v>
      </c>
      <c r="K1225" s="204" t="s">
        <v>2276</v>
      </c>
      <c r="L1225" s="204" t="s">
        <v>2276</v>
      </c>
      <c r="M1225" s="204" t="s">
        <v>2276</v>
      </c>
      <c r="N1225" s="204" t="s">
        <v>2276</v>
      </c>
      <c r="O1225" s="204" t="s">
        <v>2276</v>
      </c>
      <c r="P1225" s="204" t="s">
        <v>2276</v>
      </c>
      <c r="Q1225" s="204" t="s">
        <v>2276</v>
      </c>
      <c r="R1225" s="204" t="s">
        <v>2276</v>
      </c>
      <c r="S1225" s="204" t="s">
        <v>2276</v>
      </c>
      <c r="T1225" s="204"/>
    </row>
    <row r="1226" spans="1:20" ht="26" customHeight="1">
      <c r="A1226" s="19" t="s">
        <v>7911</v>
      </c>
      <c r="B1226" s="204" t="s">
        <v>1197</v>
      </c>
      <c r="C1226" s="204" t="s">
        <v>2646</v>
      </c>
      <c r="D1226" s="204" t="s">
        <v>137</v>
      </c>
      <c r="E1226" s="204" t="s">
        <v>2276</v>
      </c>
      <c r="F1226" s="204" t="s">
        <v>2276</v>
      </c>
      <c r="G1226" s="204" t="s">
        <v>2276</v>
      </c>
      <c r="H1226" s="21">
        <f>1/13.613</f>
        <v>7.3459193418056276E-2</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26" customHeight="1">
      <c r="A1227" s="19" t="s">
        <v>7912</v>
      </c>
      <c r="B1227" s="204" t="s">
        <v>1197</v>
      </c>
      <c r="C1227" s="204" t="s">
        <v>2646</v>
      </c>
      <c r="D1227" s="204" t="s">
        <v>137</v>
      </c>
      <c r="E1227" s="204" t="s">
        <v>2276</v>
      </c>
      <c r="F1227" s="204" t="s">
        <v>2276</v>
      </c>
      <c r="G1227" s="204" t="s">
        <v>2276</v>
      </c>
      <c r="H1227" s="21">
        <f>1/14.408</f>
        <v>6.9405885619100507E-2</v>
      </c>
      <c r="I1227" s="204" t="s">
        <v>2276</v>
      </c>
      <c r="J1227" s="204" t="s">
        <v>2276</v>
      </c>
      <c r="K1227" s="204" t="s">
        <v>2276</v>
      </c>
      <c r="L1227" s="204" t="s">
        <v>2276</v>
      </c>
      <c r="M1227" s="204" t="s">
        <v>2276</v>
      </c>
      <c r="N1227" s="204" t="s">
        <v>2276</v>
      </c>
      <c r="O1227" s="204" t="s">
        <v>2276</v>
      </c>
      <c r="P1227" s="204" t="s">
        <v>2276</v>
      </c>
      <c r="Q1227" s="204" t="s">
        <v>2276</v>
      </c>
      <c r="R1227" s="204" t="s">
        <v>2276</v>
      </c>
      <c r="S1227" s="204" t="s">
        <v>2276</v>
      </c>
      <c r="T1227" s="204"/>
    </row>
    <row r="1228" spans="1:20" ht="26" customHeight="1">
      <c r="A1228" s="19" t="s">
        <v>7913</v>
      </c>
      <c r="B1228" s="204" t="s">
        <v>70</v>
      </c>
      <c r="C1228" s="204" t="s">
        <v>2645</v>
      </c>
      <c r="D1228" s="204" t="s">
        <v>2647</v>
      </c>
      <c r="E1228" s="204" t="s">
        <v>2276</v>
      </c>
      <c r="F1228" s="204" t="s">
        <v>2276</v>
      </c>
      <c r="G1228" s="204" t="s">
        <v>2276</v>
      </c>
      <c r="H1228" s="21">
        <f>1/2.092</f>
        <v>0.47801147227533458</v>
      </c>
      <c r="I1228" s="204" t="s">
        <v>2276</v>
      </c>
      <c r="J1228" s="204" t="s">
        <v>2276</v>
      </c>
      <c r="K1228" s="204" t="s">
        <v>2276</v>
      </c>
      <c r="L1228" s="204" t="s">
        <v>2276</v>
      </c>
      <c r="M1228" s="204" t="s">
        <v>2276</v>
      </c>
      <c r="N1228" s="204" t="s">
        <v>2276</v>
      </c>
      <c r="O1228" s="204" t="s">
        <v>2276</v>
      </c>
      <c r="P1228" s="204" t="s">
        <v>2276</v>
      </c>
      <c r="Q1228" s="204" t="s">
        <v>2276</v>
      </c>
      <c r="R1228" s="204" t="s">
        <v>2276</v>
      </c>
      <c r="S1228" s="204" t="s">
        <v>2276</v>
      </c>
      <c r="T1228" s="204"/>
    </row>
    <row r="1229" spans="1:20" ht="26" customHeight="1">
      <c r="A1229" s="19" t="s">
        <v>7914</v>
      </c>
      <c r="B1229" s="204" t="s">
        <v>70</v>
      </c>
      <c r="C1229" s="204" t="s">
        <v>2645</v>
      </c>
      <c r="D1229" s="204" t="s">
        <v>2647</v>
      </c>
      <c r="E1229" s="204" t="s">
        <v>2276</v>
      </c>
      <c r="F1229" s="204" t="s">
        <v>2276</v>
      </c>
      <c r="G1229" s="204" t="s">
        <v>2276</v>
      </c>
      <c r="H1229" s="21">
        <f>1/1.963</f>
        <v>0.50942435048395307</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7915</v>
      </c>
      <c r="B1230" s="204" t="s">
        <v>70</v>
      </c>
      <c r="C1230" s="204" t="s">
        <v>2645</v>
      </c>
      <c r="D1230" s="204" t="s">
        <v>2647</v>
      </c>
      <c r="E1230" s="204" t="s">
        <v>2276</v>
      </c>
      <c r="F1230" s="204" t="s">
        <v>2276</v>
      </c>
      <c r="G1230" s="204" t="s">
        <v>2276</v>
      </c>
      <c r="H1230" s="21">
        <f>1/1.251</f>
        <v>0.79936051159072752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7916</v>
      </c>
      <c r="B1231" s="204" t="s">
        <v>69</v>
      </c>
      <c r="C1231" s="204" t="s">
        <v>395</v>
      </c>
      <c r="D1231" s="204" t="s">
        <v>5005</v>
      </c>
      <c r="E1231" s="204" t="s">
        <v>2276</v>
      </c>
      <c r="F1231" s="204" t="s">
        <v>2276</v>
      </c>
      <c r="G1231" s="204" t="s">
        <v>2276</v>
      </c>
      <c r="H1231" s="21">
        <f>1/1.071</f>
        <v>0.93370681605975725</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36" customHeight="1">
      <c r="A1232" s="19" t="s">
        <v>7930</v>
      </c>
      <c r="B1232" s="204" t="s">
        <v>1197</v>
      </c>
      <c r="C1232" s="204" t="s">
        <v>12</v>
      </c>
      <c r="D1232" s="204" t="s">
        <v>137</v>
      </c>
      <c r="E1232" s="204" t="s">
        <v>45</v>
      </c>
      <c r="F1232" s="204" t="s">
        <v>863</v>
      </c>
      <c r="G1232" s="204" t="s">
        <v>2276</v>
      </c>
      <c r="H1232" s="204" t="s">
        <v>2276</v>
      </c>
      <c r="I1232" s="204" t="s">
        <v>2276</v>
      </c>
      <c r="J1232" s="204" t="s">
        <v>2276</v>
      </c>
      <c r="K1232" s="204" t="s">
        <v>534</v>
      </c>
      <c r="L1232" s="204" t="s">
        <v>2276</v>
      </c>
      <c r="M1232" s="204" t="s">
        <v>2276</v>
      </c>
      <c r="N1232" s="204" t="s">
        <v>2276</v>
      </c>
      <c r="O1232" s="204" t="s">
        <v>2276</v>
      </c>
      <c r="P1232" s="204" t="s">
        <v>2276</v>
      </c>
      <c r="Q1232" s="204" t="s">
        <v>2276</v>
      </c>
      <c r="R1232" s="204" t="s">
        <v>2276</v>
      </c>
      <c r="S1232" s="21">
        <v>0.33</v>
      </c>
      <c r="T1232" s="204"/>
    </row>
    <row r="1233" spans="1:20" ht="29.5" customHeight="1">
      <c r="A1233" s="19" t="s">
        <v>7939</v>
      </c>
      <c r="B1233" s="204" t="s">
        <v>1197</v>
      </c>
      <c r="C1233" s="204" t="s">
        <v>2645</v>
      </c>
      <c r="D1233" s="204" t="s">
        <v>84</v>
      </c>
      <c r="E1233" s="204" t="s">
        <v>45</v>
      </c>
      <c r="F1233" s="204" t="s">
        <v>2276</v>
      </c>
      <c r="G1233" s="204" t="s">
        <v>2276</v>
      </c>
      <c r="H1233" s="204" t="s">
        <v>2276</v>
      </c>
      <c r="I1233" s="204" t="s">
        <v>2276</v>
      </c>
      <c r="J1233" s="204" t="s">
        <v>2276</v>
      </c>
      <c r="K1233" s="204" t="s">
        <v>2276</v>
      </c>
      <c r="L1233" s="204" t="s">
        <v>2276</v>
      </c>
      <c r="M1233" s="204" t="s">
        <v>2276</v>
      </c>
      <c r="N1233" s="204" t="s">
        <v>2276</v>
      </c>
      <c r="O1233" s="21">
        <v>28.65</v>
      </c>
      <c r="P1233" s="21">
        <v>28.65</v>
      </c>
      <c r="Q1233" s="204" t="s">
        <v>2276</v>
      </c>
      <c r="R1233" s="21">
        <f>100-P1233-O1233</f>
        <v>42.699999999999996</v>
      </c>
      <c r="S1233" s="204" t="s">
        <v>2276</v>
      </c>
      <c r="T1233" s="4" t="s">
        <v>7957</v>
      </c>
    </row>
    <row r="1234" spans="1:20" ht="29.5" customHeight="1">
      <c r="A1234" s="19" t="s">
        <v>7940</v>
      </c>
      <c r="B1234" s="204" t="s">
        <v>1197</v>
      </c>
      <c r="C1234" s="204" t="s">
        <v>2645</v>
      </c>
      <c r="D1234" s="204" t="s">
        <v>84</v>
      </c>
      <c r="E1234" s="204" t="s">
        <v>45</v>
      </c>
      <c r="F1234" s="204" t="s">
        <v>2276</v>
      </c>
      <c r="G1234" s="204" t="s">
        <v>2276</v>
      </c>
      <c r="H1234" s="204" t="s">
        <v>2276</v>
      </c>
      <c r="I1234" s="204" t="s">
        <v>2276</v>
      </c>
      <c r="J1234" s="204" t="s">
        <v>2276</v>
      </c>
      <c r="K1234" s="204" t="s">
        <v>2276</v>
      </c>
      <c r="L1234" s="204" t="s">
        <v>2276</v>
      </c>
      <c r="M1234" s="204" t="s">
        <v>2276</v>
      </c>
      <c r="N1234" s="204" t="s">
        <v>2276</v>
      </c>
      <c r="O1234" s="21">
        <v>19.3</v>
      </c>
      <c r="P1234" s="21">
        <v>19.3</v>
      </c>
      <c r="Q1234" s="204" t="s">
        <v>2276</v>
      </c>
      <c r="R1234" s="21">
        <f t="shared" ref="R1234:R1237" si="4">100-P1234-O1234</f>
        <v>61.400000000000006</v>
      </c>
      <c r="S1234" s="204" t="s">
        <v>2276</v>
      </c>
      <c r="T1234" s="4" t="s">
        <v>7957</v>
      </c>
    </row>
    <row r="1235" spans="1:20" ht="29.5" customHeight="1">
      <c r="A1235" s="19" t="s">
        <v>7941</v>
      </c>
      <c r="B1235" s="204" t="s">
        <v>1197</v>
      </c>
      <c r="C1235" s="204" t="s">
        <v>2645</v>
      </c>
      <c r="D1235" s="204" t="s">
        <v>84</v>
      </c>
      <c r="E1235" s="204" t="s">
        <v>45</v>
      </c>
      <c r="F1235" s="204" t="s">
        <v>2276</v>
      </c>
      <c r="G1235" s="204" t="s">
        <v>2276</v>
      </c>
      <c r="H1235" s="204" t="s">
        <v>2276</v>
      </c>
      <c r="I1235" s="204" t="s">
        <v>2276</v>
      </c>
      <c r="J1235" s="204" t="s">
        <v>2276</v>
      </c>
      <c r="K1235" s="204" t="s">
        <v>2276</v>
      </c>
      <c r="L1235" s="204" t="s">
        <v>2276</v>
      </c>
      <c r="M1235" s="204" t="s">
        <v>2276</v>
      </c>
      <c r="N1235" s="204" t="s">
        <v>2276</v>
      </c>
      <c r="O1235" s="21">
        <v>24.5</v>
      </c>
      <c r="P1235" s="21">
        <v>24.5</v>
      </c>
      <c r="Q1235" s="204" t="s">
        <v>2276</v>
      </c>
      <c r="R1235" s="21">
        <f t="shared" si="4"/>
        <v>51</v>
      </c>
      <c r="S1235" s="204" t="s">
        <v>2276</v>
      </c>
      <c r="T1235" s="4" t="s">
        <v>7957</v>
      </c>
    </row>
    <row r="1236" spans="1:20" ht="29.5" customHeight="1">
      <c r="A1236" s="19" t="s">
        <v>7942</v>
      </c>
      <c r="B1236" s="204" t="s">
        <v>1197</v>
      </c>
      <c r="C1236" s="204" t="s">
        <v>2645</v>
      </c>
      <c r="D1236" s="204" t="s">
        <v>84</v>
      </c>
      <c r="E1236" s="204" t="s">
        <v>45</v>
      </c>
      <c r="F1236" s="204" t="s">
        <v>2276</v>
      </c>
      <c r="G1236" s="204" t="s">
        <v>2276</v>
      </c>
      <c r="H1236" s="204" t="s">
        <v>2276</v>
      </c>
      <c r="I1236" s="204" t="s">
        <v>2276</v>
      </c>
      <c r="J1236" s="204" t="s">
        <v>2276</v>
      </c>
      <c r="K1236" s="204" t="s">
        <v>2276</v>
      </c>
      <c r="L1236" s="204" t="s">
        <v>2276</v>
      </c>
      <c r="M1236" s="204" t="s">
        <v>2276</v>
      </c>
      <c r="N1236" s="204" t="s">
        <v>2276</v>
      </c>
      <c r="O1236" s="21">
        <v>9.1</v>
      </c>
      <c r="P1236" s="21">
        <v>9.1</v>
      </c>
      <c r="Q1236" s="204" t="s">
        <v>2276</v>
      </c>
      <c r="R1236" s="21">
        <f t="shared" si="4"/>
        <v>81.800000000000011</v>
      </c>
      <c r="S1236" s="204" t="s">
        <v>2276</v>
      </c>
      <c r="T1236" s="4" t="s">
        <v>7957</v>
      </c>
    </row>
    <row r="1237" spans="1:20" ht="29.5" customHeight="1">
      <c r="A1237" s="19" t="s">
        <v>7943</v>
      </c>
      <c r="B1237" s="204" t="s">
        <v>1197</v>
      </c>
      <c r="C1237" s="204" t="s">
        <v>2645</v>
      </c>
      <c r="D1237" s="204" t="s">
        <v>84</v>
      </c>
      <c r="E1237" s="204" t="s">
        <v>45</v>
      </c>
      <c r="F1237" s="204" t="s">
        <v>2276</v>
      </c>
      <c r="G1237" s="204" t="s">
        <v>2276</v>
      </c>
      <c r="H1237" s="204" t="s">
        <v>2276</v>
      </c>
      <c r="I1237" s="204" t="s">
        <v>2276</v>
      </c>
      <c r="J1237" s="204" t="s">
        <v>2276</v>
      </c>
      <c r="K1237" s="204" t="s">
        <v>2276</v>
      </c>
      <c r="L1237" s="204" t="s">
        <v>2276</v>
      </c>
      <c r="M1237" s="204" t="s">
        <v>2276</v>
      </c>
      <c r="N1237" s="204" t="s">
        <v>2276</v>
      </c>
      <c r="O1237" s="21">
        <v>26.45</v>
      </c>
      <c r="P1237" s="21">
        <v>26.45</v>
      </c>
      <c r="Q1237" s="204" t="s">
        <v>2276</v>
      </c>
      <c r="R1237" s="21">
        <f t="shared" si="4"/>
        <v>47.099999999999994</v>
      </c>
      <c r="S1237" s="204" t="s">
        <v>2276</v>
      </c>
      <c r="T1237" s="4" t="s">
        <v>7957</v>
      </c>
    </row>
    <row r="1238" spans="1:20" ht="29.5" customHeight="1">
      <c r="A1238" s="19" t="s">
        <v>7946</v>
      </c>
      <c r="B1238" s="204" t="s">
        <v>32</v>
      </c>
      <c r="C1238" s="204" t="s">
        <v>2646</v>
      </c>
      <c r="D1238" s="204" t="s">
        <v>137</v>
      </c>
      <c r="E1238" s="204" t="s">
        <v>5801</v>
      </c>
      <c r="F1238" s="204" t="s">
        <v>84</v>
      </c>
      <c r="G1238" s="204" t="s">
        <v>45</v>
      </c>
      <c r="H1238" s="204" t="s">
        <v>2276</v>
      </c>
      <c r="I1238" s="204" t="s">
        <v>2276</v>
      </c>
      <c r="J1238" s="204" t="s">
        <v>2276</v>
      </c>
      <c r="K1238" s="204" t="s">
        <v>2276</v>
      </c>
      <c r="L1238" s="204" t="s">
        <v>2276</v>
      </c>
      <c r="M1238" s="204" t="s">
        <v>2276</v>
      </c>
      <c r="N1238" s="204" t="s">
        <v>2276</v>
      </c>
      <c r="O1238" s="21">
        <v>23.45</v>
      </c>
      <c r="P1238" s="21">
        <v>23.45</v>
      </c>
      <c r="Q1238" s="21">
        <f>(P1233-P1238)*2</f>
        <v>10.399999999999999</v>
      </c>
      <c r="R1238" s="21">
        <f>100-P1238-O1238-Q1238</f>
        <v>42.699999999999996</v>
      </c>
      <c r="S1238" s="204" t="s">
        <v>2276</v>
      </c>
      <c r="T1238" s="4" t="s">
        <v>7957</v>
      </c>
    </row>
    <row r="1239" spans="1:20" ht="29.5" customHeight="1">
      <c r="A1239" s="19" t="s">
        <v>7947</v>
      </c>
      <c r="B1239" s="204" t="s">
        <v>32</v>
      </c>
      <c r="C1239" s="204" t="s">
        <v>2646</v>
      </c>
      <c r="D1239" s="204" t="s">
        <v>137</v>
      </c>
      <c r="E1239" s="204" t="s">
        <v>5801</v>
      </c>
      <c r="F1239" s="204" t="s">
        <v>84</v>
      </c>
      <c r="G1239" s="204" t="s">
        <v>45</v>
      </c>
      <c r="H1239" s="204" t="s">
        <v>2276</v>
      </c>
      <c r="I1239" s="204" t="s">
        <v>2276</v>
      </c>
      <c r="J1239" s="204" t="s">
        <v>2276</v>
      </c>
      <c r="K1239" s="204" t="s">
        <v>2276</v>
      </c>
      <c r="L1239" s="204" t="s">
        <v>2276</v>
      </c>
      <c r="M1239" s="204" t="s">
        <v>2276</v>
      </c>
      <c r="N1239" s="204" t="s">
        <v>2276</v>
      </c>
      <c r="O1239" s="21">
        <v>11.9</v>
      </c>
      <c r="P1239" s="21">
        <v>11.9</v>
      </c>
      <c r="Q1239" s="21">
        <f t="shared" ref="Q1239:Q1242" si="5">(P1234-P1239)*2</f>
        <v>14.8</v>
      </c>
      <c r="R1239" s="21">
        <f t="shared" ref="R1239:R1242" si="6">100-P1239-O1239-Q1239</f>
        <v>61.399999999999991</v>
      </c>
      <c r="S1239" s="204" t="s">
        <v>2276</v>
      </c>
      <c r="T1239" s="4" t="s">
        <v>7957</v>
      </c>
    </row>
    <row r="1240" spans="1:20" ht="29.5" customHeight="1">
      <c r="A1240" s="19" t="s">
        <v>7948</v>
      </c>
      <c r="B1240" s="204" t="s">
        <v>32</v>
      </c>
      <c r="C1240" s="204" t="s">
        <v>2646</v>
      </c>
      <c r="D1240" s="204" t="s">
        <v>137</v>
      </c>
      <c r="E1240" s="204" t="s">
        <v>5801</v>
      </c>
      <c r="F1240" s="204" t="s">
        <v>84</v>
      </c>
      <c r="G1240" s="204" t="s">
        <v>45</v>
      </c>
      <c r="H1240" s="204" t="s">
        <v>2276</v>
      </c>
      <c r="I1240" s="204" t="s">
        <v>2276</v>
      </c>
      <c r="J1240" s="204" t="s">
        <v>2276</v>
      </c>
      <c r="K1240" s="204" t="s">
        <v>2276</v>
      </c>
      <c r="L1240" s="204" t="s">
        <v>2276</v>
      </c>
      <c r="M1240" s="204" t="s">
        <v>2276</v>
      </c>
      <c r="N1240" s="204" t="s">
        <v>2276</v>
      </c>
      <c r="O1240" s="21">
        <v>9.1</v>
      </c>
      <c r="P1240" s="21">
        <v>9.1</v>
      </c>
      <c r="Q1240" s="21">
        <f t="shared" si="5"/>
        <v>30.8</v>
      </c>
      <c r="R1240" s="21">
        <f t="shared" si="6"/>
        <v>51.000000000000014</v>
      </c>
      <c r="S1240" s="204" t="s">
        <v>2276</v>
      </c>
      <c r="T1240" s="4" t="s">
        <v>7957</v>
      </c>
    </row>
    <row r="1241" spans="1:20" ht="29.5" customHeight="1">
      <c r="A1241" s="19" t="s">
        <v>7949</v>
      </c>
      <c r="B1241" s="204" t="s">
        <v>32</v>
      </c>
      <c r="C1241" s="204" t="s">
        <v>2646</v>
      </c>
      <c r="D1241" s="204" t="s">
        <v>137</v>
      </c>
      <c r="E1241" s="204" t="s">
        <v>5801</v>
      </c>
      <c r="F1241" s="204" t="s">
        <v>84</v>
      </c>
      <c r="G1241" s="204" t="s">
        <v>45</v>
      </c>
      <c r="H1241" s="204" t="s">
        <v>2276</v>
      </c>
      <c r="I1241" s="204" t="s">
        <v>2276</v>
      </c>
      <c r="J1241" s="204" t="s">
        <v>2276</v>
      </c>
      <c r="K1241" s="204" t="s">
        <v>2276</v>
      </c>
      <c r="L1241" s="204" t="s">
        <v>2276</v>
      </c>
      <c r="M1241" s="204" t="s">
        <v>2276</v>
      </c>
      <c r="N1241" s="204" t="s">
        <v>2276</v>
      </c>
      <c r="O1241" s="21">
        <v>3.55</v>
      </c>
      <c r="P1241" s="21">
        <v>3.55</v>
      </c>
      <c r="Q1241" s="21">
        <f t="shared" si="5"/>
        <v>11.1</v>
      </c>
      <c r="R1241" s="21">
        <f t="shared" si="6"/>
        <v>81.800000000000011</v>
      </c>
      <c r="S1241" s="204" t="s">
        <v>2276</v>
      </c>
      <c r="T1241" s="4" t="s">
        <v>7957</v>
      </c>
    </row>
    <row r="1242" spans="1:20" ht="29.5" customHeight="1">
      <c r="A1242" s="19" t="s">
        <v>7950</v>
      </c>
      <c r="B1242" s="204" t="s">
        <v>32</v>
      </c>
      <c r="C1242" s="204" t="s">
        <v>2646</v>
      </c>
      <c r="D1242" s="204" t="s">
        <v>137</v>
      </c>
      <c r="E1242" s="204" t="s">
        <v>5801</v>
      </c>
      <c r="F1242" s="204" t="s">
        <v>84</v>
      </c>
      <c r="G1242" s="204" t="s">
        <v>45</v>
      </c>
      <c r="H1242" s="204" t="s">
        <v>2276</v>
      </c>
      <c r="I1242" s="204" t="s">
        <v>2276</v>
      </c>
      <c r="J1242" s="204" t="s">
        <v>2276</v>
      </c>
      <c r="K1242" s="204" t="s">
        <v>2276</v>
      </c>
      <c r="L1242" s="204" t="s">
        <v>2276</v>
      </c>
      <c r="M1242" s="204" t="s">
        <v>2276</v>
      </c>
      <c r="N1242" s="204" t="s">
        <v>2276</v>
      </c>
      <c r="O1242" s="21">
        <v>14.35</v>
      </c>
      <c r="P1242" s="21">
        <v>14.35</v>
      </c>
      <c r="Q1242" s="21">
        <f t="shared" si="5"/>
        <v>24.2</v>
      </c>
      <c r="R1242" s="21">
        <f t="shared" si="6"/>
        <v>47.100000000000009</v>
      </c>
      <c r="S1242" s="204" t="s">
        <v>2276</v>
      </c>
      <c r="T1242" s="4" t="s">
        <v>7957</v>
      </c>
    </row>
    <row r="1243" spans="1:20" ht="35.5" customHeight="1">
      <c r="A1243" s="19" t="s">
        <v>7976</v>
      </c>
      <c r="B1243" s="204" t="s">
        <v>1197</v>
      </c>
      <c r="C1243" s="204" t="s">
        <v>2645</v>
      </c>
      <c r="D1243" s="204" t="s">
        <v>84</v>
      </c>
      <c r="E1243" s="204" t="s">
        <v>45</v>
      </c>
      <c r="F1243" s="204" t="s">
        <v>2647</v>
      </c>
      <c r="G1243" s="204" t="s">
        <v>2276</v>
      </c>
      <c r="H1243" s="204" t="s">
        <v>2276</v>
      </c>
      <c r="I1243" s="204" t="s">
        <v>2276</v>
      </c>
      <c r="J1243" s="204" t="s">
        <v>2276</v>
      </c>
      <c r="K1243" s="204" t="s">
        <v>2276</v>
      </c>
      <c r="L1243" s="204" t="s">
        <v>2276</v>
      </c>
      <c r="M1243" s="204" t="s">
        <v>2276</v>
      </c>
      <c r="N1243" s="204" t="s">
        <v>2276</v>
      </c>
      <c r="O1243" s="204" t="s">
        <v>2276</v>
      </c>
      <c r="P1243" s="204" t="s">
        <v>2276</v>
      </c>
      <c r="Q1243" s="204" t="s">
        <v>2276</v>
      </c>
      <c r="R1243" s="204" t="s">
        <v>2276</v>
      </c>
      <c r="S1243" s="204" t="s">
        <v>2276</v>
      </c>
      <c r="T1243" s="204"/>
    </row>
    <row r="1244" spans="1:20" ht="31" customHeight="1">
      <c r="A1244" s="19" t="s">
        <v>7977</v>
      </c>
      <c r="B1244" s="204" t="s">
        <v>70</v>
      </c>
      <c r="C1244" s="204" t="s">
        <v>2645</v>
      </c>
      <c r="D1244" s="204" t="s">
        <v>84</v>
      </c>
      <c r="E1244" s="204" t="s">
        <v>2647</v>
      </c>
      <c r="F1244" s="204" t="s">
        <v>5801</v>
      </c>
      <c r="G1244" s="204" t="s">
        <v>2276</v>
      </c>
      <c r="H1244" s="204" t="s">
        <v>2276</v>
      </c>
      <c r="I1244" s="204" t="s">
        <v>2276</v>
      </c>
      <c r="J1244" s="204" t="s">
        <v>2276</v>
      </c>
      <c r="K1244" s="204" t="s">
        <v>2276</v>
      </c>
      <c r="L1244" s="204" t="s">
        <v>2276</v>
      </c>
      <c r="M1244" s="204" t="s">
        <v>2276</v>
      </c>
      <c r="N1244" s="204" t="s">
        <v>2276</v>
      </c>
      <c r="O1244" s="204" t="s">
        <v>2276</v>
      </c>
      <c r="P1244" s="204" t="s">
        <v>2276</v>
      </c>
      <c r="Q1244" s="204" t="s">
        <v>2276</v>
      </c>
      <c r="R1244" s="204" t="s">
        <v>2276</v>
      </c>
      <c r="S1244" s="204" t="s">
        <v>2276</v>
      </c>
      <c r="T1244" s="204"/>
    </row>
    <row r="1245" spans="1:20" ht="29.5" customHeight="1">
      <c r="A1245" s="19" t="s">
        <v>7991</v>
      </c>
      <c r="B1245" s="204" t="s">
        <v>70</v>
      </c>
      <c r="C1245" s="204" t="s">
        <v>2645</v>
      </c>
      <c r="D1245" s="204" t="s">
        <v>2647</v>
      </c>
      <c r="E1245" s="204" t="s">
        <v>45</v>
      </c>
      <c r="F1245" s="204" t="s">
        <v>2276</v>
      </c>
      <c r="G1245" s="204" t="s">
        <v>2276</v>
      </c>
      <c r="H1245" s="204" t="s">
        <v>2276</v>
      </c>
      <c r="I1245" s="204">
        <v>263</v>
      </c>
      <c r="J1245" s="204" t="s">
        <v>2276</v>
      </c>
      <c r="K1245" s="204" t="s">
        <v>2276</v>
      </c>
      <c r="L1245" s="204" t="s">
        <v>2276</v>
      </c>
      <c r="M1245" s="204" t="s">
        <v>2276</v>
      </c>
      <c r="N1245" s="204" t="s">
        <v>2276</v>
      </c>
      <c r="O1245" s="204" t="s">
        <v>2276</v>
      </c>
      <c r="P1245" s="204" t="s">
        <v>2276</v>
      </c>
      <c r="Q1245" s="204" t="s">
        <v>2276</v>
      </c>
      <c r="R1245" s="204" t="s">
        <v>2276</v>
      </c>
      <c r="S1245" s="204" t="s">
        <v>2276</v>
      </c>
      <c r="T1245" s="204" t="s">
        <v>7993</v>
      </c>
    </row>
    <row r="1246" spans="1:20" ht="27" customHeight="1">
      <c r="A1246" s="19" t="s">
        <v>8000</v>
      </c>
      <c r="B1246" s="204" t="s">
        <v>1197</v>
      </c>
      <c r="C1246" s="204" t="s">
        <v>2646</v>
      </c>
      <c r="D1246" s="204" t="s">
        <v>137</v>
      </c>
      <c r="E1246" s="204" t="s">
        <v>2653</v>
      </c>
      <c r="F1246" s="204" t="s">
        <v>45</v>
      </c>
      <c r="G1246" s="204" t="s">
        <v>2647</v>
      </c>
      <c r="H1246" s="204" t="s">
        <v>2276</v>
      </c>
      <c r="I1246" s="204" t="s">
        <v>2276</v>
      </c>
      <c r="J1246" s="204" t="s">
        <v>2276</v>
      </c>
      <c r="K1246" s="204" t="s">
        <v>2276</v>
      </c>
      <c r="L1246" s="204" t="s">
        <v>2276</v>
      </c>
      <c r="M1246" s="204" t="s">
        <v>2276</v>
      </c>
      <c r="N1246" s="204" t="s">
        <v>2276</v>
      </c>
      <c r="O1246" s="204" t="s">
        <v>2276</v>
      </c>
      <c r="P1246" s="204" t="s">
        <v>2276</v>
      </c>
      <c r="Q1246" s="204" t="s">
        <v>2276</v>
      </c>
      <c r="R1246" s="204" t="s">
        <v>2276</v>
      </c>
      <c r="S1246" s="204" t="s">
        <v>2276</v>
      </c>
      <c r="T1246" s="204"/>
    </row>
    <row r="1247" spans="1:20" ht="27" customHeight="1">
      <c r="A1247" s="19" t="s">
        <v>8006</v>
      </c>
      <c r="B1247" s="204" t="s">
        <v>1197</v>
      </c>
      <c r="C1247" s="204" t="s">
        <v>2646</v>
      </c>
      <c r="D1247" s="204" t="s">
        <v>137</v>
      </c>
      <c r="E1247" s="204" t="s">
        <v>2653</v>
      </c>
      <c r="F1247" s="204" t="s">
        <v>45</v>
      </c>
      <c r="G1247" s="204" t="s">
        <v>2647</v>
      </c>
      <c r="H1247" s="204" t="s">
        <v>2276</v>
      </c>
      <c r="I1247" s="204" t="s">
        <v>2276</v>
      </c>
      <c r="J1247" s="204" t="s">
        <v>2276</v>
      </c>
      <c r="K1247" s="204" t="s">
        <v>2276</v>
      </c>
      <c r="L1247" s="204" t="s">
        <v>2276</v>
      </c>
      <c r="M1247" s="204" t="s">
        <v>2276</v>
      </c>
      <c r="N1247" s="204" t="s">
        <v>2276</v>
      </c>
      <c r="O1247" s="204" t="s">
        <v>2276</v>
      </c>
      <c r="P1247" s="204" t="s">
        <v>2276</v>
      </c>
      <c r="Q1247" s="204" t="s">
        <v>2276</v>
      </c>
      <c r="R1247" s="204" t="s">
        <v>2276</v>
      </c>
      <c r="S1247" s="204" t="s">
        <v>2276</v>
      </c>
      <c r="T1247" s="204"/>
    </row>
    <row r="1248" spans="1:20" ht="27" customHeight="1">
      <c r="A1248" s="19" t="s">
        <v>8007</v>
      </c>
      <c r="B1248" s="204" t="s">
        <v>1197</v>
      </c>
      <c r="C1248" s="204" t="s">
        <v>2646</v>
      </c>
      <c r="D1248" s="204" t="s">
        <v>137</v>
      </c>
      <c r="E1248" s="204" t="s">
        <v>2653</v>
      </c>
      <c r="F1248" s="204" t="s">
        <v>45</v>
      </c>
      <c r="G1248" s="204" t="s">
        <v>2647</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35" customHeight="1">
      <c r="A1249" s="19" t="s">
        <v>8013</v>
      </c>
      <c r="B1249" s="204" t="s">
        <v>2276</v>
      </c>
      <c r="C1249" s="204" t="s">
        <v>12</v>
      </c>
      <c r="D1249" s="4" t="s">
        <v>396</v>
      </c>
      <c r="E1249" s="204" t="s">
        <v>45</v>
      </c>
      <c r="F1249" s="204" t="s">
        <v>5801</v>
      </c>
      <c r="G1249" s="204" t="s">
        <v>2653</v>
      </c>
      <c r="H1249" s="204" t="s">
        <v>2276</v>
      </c>
      <c r="I1249" s="204" t="s">
        <v>2276</v>
      </c>
      <c r="J1249" s="204" t="s">
        <v>2276</v>
      </c>
      <c r="K1249" s="204" t="s">
        <v>2276</v>
      </c>
      <c r="L1249" s="204" t="s">
        <v>2276</v>
      </c>
      <c r="M1249" s="204" t="s">
        <v>2276</v>
      </c>
      <c r="N1249" s="204" t="s">
        <v>2276</v>
      </c>
      <c r="O1249" s="204" t="s">
        <v>2276</v>
      </c>
      <c r="P1249" s="21">
        <f>100*110000/295200</f>
        <v>37.262872628726285</v>
      </c>
      <c r="Q1249" s="204" t="s">
        <v>2276</v>
      </c>
      <c r="R1249" s="21">
        <v>40</v>
      </c>
      <c r="S1249" s="204" t="s">
        <v>2276</v>
      </c>
      <c r="T1249" s="204"/>
    </row>
    <row r="1250" spans="1:20" ht="39.5" customHeight="1">
      <c r="A1250" s="19" t="s">
        <v>8019</v>
      </c>
      <c r="B1250" s="204" t="s">
        <v>1197</v>
      </c>
      <c r="C1250" s="204" t="s">
        <v>2645</v>
      </c>
      <c r="D1250" s="204" t="s">
        <v>137</v>
      </c>
      <c r="E1250" s="204" t="s">
        <v>2276</v>
      </c>
      <c r="F1250" s="204" t="s">
        <v>2276</v>
      </c>
      <c r="G1250" s="204" t="s">
        <v>2276</v>
      </c>
      <c r="H1250" s="21">
        <v>0</v>
      </c>
      <c r="I1250" s="204" t="s">
        <v>2276</v>
      </c>
      <c r="J1250" s="204" t="s">
        <v>2276</v>
      </c>
      <c r="K1250" s="204" t="s">
        <v>2276</v>
      </c>
      <c r="L1250" s="204" t="s">
        <v>2276</v>
      </c>
      <c r="M1250" s="204" t="s">
        <v>2276</v>
      </c>
      <c r="N1250" s="204" t="s">
        <v>2276</v>
      </c>
      <c r="O1250" s="204" t="s">
        <v>2276</v>
      </c>
      <c r="P1250" s="204" t="s">
        <v>2276</v>
      </c>
      <c r="Q1250" s="204" t="s">
        <v>2276</v>
      </c>
      <c r="R1250" s="204" t="s">
        <v>2276</v>
      </c>
      <c r="S1250" s="204" t="s">
        <v>2276</v>
      </c>
      <c r="T1250" s="204"/>
    </row>
    <row r="1251" spans="1:20" ht="36" customHeight="1">
      <c r="A1251" s="19" t="s">
        <v>8020</v>
      </c>
      <c r="B1251" s="204" t="s">
        <v>69</v>
      </c>
      <c r="C1251" s="204" t="s">
        <v>395</v>
      </c>
      <c r="D1251" s="204" t="s">
        <v>45</v>
      </c>
      <c r="E1251" s="204" t="s">
        <v>2276</v>
      </c>
      <c r="F1251" s="204" t="s">
        <v>2276</v>
      </c>
      <c r="G1251" s="204" t="s">
        <v>2276</v>
      </c>
      <c r="H1251" s="21">
        <v>0.39324300000000001</v>
      </c>
      <c r="I1251" s="204">
        <v>298.99299999999999</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33.5" customHeight="1">
      <c r="A1252" s="19" t="s">
        <v>8030</v>
      </c>
      <c r="B1252" s="204" t="s">
        <v>69</v>
      </c>
      <c r="C1252" s="204" t="s">
        <v>395</v>
      </c>
      <c r="D1252" s="204" t="s">
        <v>116</v>
      </c>
      <c r="E1252" s="204" t="s">
        <v>2276</v>
      </c>
      <c r="F1252" s="204" t="s">
        <v>2276</v>
      </c>
      <c r="G1252" s="204" t="s">
        <v>2276</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t="s">
        <v>8032</v>
      </c>
    </row>
    <row r="1253" spans="1:20" ht="33" customHeight="1">
      <c r="A1253" s="19" t="s">
        <v>8038</v>
      </c>
      <c r="B1253" s="204" t="s">
        <v>70</v>
      </c>
      <c r="C1253" s="204" t="s">
        <v>2645</v>
      </c>
      <c r="D1253" s="204" t="s">
        <v>2647</v>
      </c>
      <c r="E1253" s="204" t="s">
        <v>45</v>
      </c>
      <c r="F1253" s="204" t="s">
        <v>2276</v>
      </c>
      <c r="G1253" s="204" t="s">
        <v>2276</v>
      </c>
      <c r="H1253" s="204" t="s">
        <v>2276</v>
      </c>
      <c r="I1253" s="204">
        <v>500</v>
      </c>
      <c r="J1253" s="204" t="s">
        <v>2276</v>
      </c>
      <c r="K1253" s="204" t="s">
        <v>2276</v>
      </c>
      <c r="L1253" s="204" t="s">
        <v>2276</v>
      </c>
      <c r="M1253" s="204" t="s">
        <v>2276</v>
      </c>
      <c r="N1253" s="204" t="s">
        <v>2276</v>
      </c>
      <c r="O1253" s="204" t="s">
        <v>2276</v>
      </c>
      <c r="P1253" s="204" t="s">
        <v>2276</v>
      </c>
      <c r="Q1253" s="204" t="s">
        <v>2276</v>
      </c>
      <c r="R1253" s="204" t="s">
        <v>2276</v>
      </c>
      <c r="S1253" s="204" t="s">
        <v>2276</v>
      </c>
      <c r="T1253" s="204"/>
    </row>
    <row r="1254" spans="1:20" ht="33" customHeight="1">
      <c r="A1254" s="19" t="s">
        <v>8040</v>
      </c>
      <c r="B1254" s="204" t="s">
        <v>70</v>
      </c>
      <c r="C1254" s="204" t="s">
        <v>2645</v>
      </c>
      <c r="D1254" s="204" t="s">
        <v>2647</v>
      </c>
      <c r="E1254" s="204" t="s">
        <v>45</v>
      </c>
      <c r="F1254" s="204" t="s">
        <v>2276</v>
      </c>
      <c r="G1254" s="204" t="s">
        <v>2276</v>
      </c>
      <c r="H1254" s="204" t="s">
        <v>2276</v>
      </c>
      <c r="I1254" s="204">
        <v>500</v>
      </c>
      <c r="J1254" s="204" t="s">
        <v>2276</v>
      </c>
      <c r="K1254" s="204" t="s">
        <v>2276</v>
      </c>
      <c r="L1254" s="204" t="s">
        <v>2276</v>
      </c>
      <c r="M1254" s="204" t="s">
        <v>2276</v>
      </c>
      <c r="N1254" s="204" t="s">
        <v>2276</v>
      </c>
      <c r="O1254" s="204" t="s">
        <v>2276</v>
      </c>
      <c r="P1254" s="204" t="s">
        <v>2276</v>
      </c>
      <c r="Q1254" s="204" t="s">
        <v>2276</v>
      </c>
      <c r="R1254" s="204" t="s">
        <v>2276</v>
      </c>
      <c r="S1254" s="204" t="s">
        <v>2276</v>
      </c>
      <c r="T1254" s="204"/>
    </row>
    <row r="1255" spans="1:20" ht="33.5" customHeight="1">
      <c r="A1255" s="19" t="s">
        <v>8056</v>
      </c>
      <c r="B1255" s="204" t="s">
        <v>70</v>
      </c>
      <c r="C1255" s="204" t="s">
        <v>12</v>
      </c>
      <c r="D1255" s="204" t="s">
        <v>45</v>
      </c>
      <c r="E1255" s="204" t="s">
        <v>863</v>
      </c>
      <c r="F1255" s="204" t="s">
        <v>2276</v>
      </c>
      <c r="G1255" s="204" t="s">
        <v>2276</v>
      </c>
      <c r="H1255" s="204" t="s">
        <v>2276</v>
      </c>
      <c r="I1255" s="21">
        <f>49190/30/0.263</f>
        <v>6234.4740177439799</v>
      </c>
      <c r="J1255" s="204" t="s">
        <v>2276</v>
      </c>
      <c r="K1255" s="204" t="s">
        <v>534</v>
      </c>
      <c r="L1255" s="204" t="s">
        <v>2276</v>
      </c>
      <c r="M1255" s="204" t="s">
        <v>2276</v>
      </c>
      <c r="N1255" s="204" t="s">
        <v>2276</v>
      </c>
      <c r="O1255" s="21">
        <v>26.3</v>
      </c>
      <c r="P1255" s="204" t="s">
        <v>2276</v>
      </c>
      <c r="Q1255" s="204" t="s">
        <v>2276</v>
      </c>
      <c r="R1255" s="21">
        <v>73.7</v>
      </c>
      <c r="S1255" s="21">
        <v>1.7</v>
      </c>
      <c r="T1255" s="204"/>
    </row>
    <row r="1256" spans="1:20" ht="35.5" customHeight="1">
      <c r="A1256" s="19" t="s">
        <v>8063</v>
      </c>
      <c r="B1256" s="204" t="s">
        <v>32</v>
      </c>
      <c r="C1256" s="204" t="s">
        <v>2645</v>
      </c>
      <c r="D1256" s="204" t="s">
        <v>137</v>
      </c>
      <c r="E1256" s="204" t="s">
        <v>2276</v>
      </c>
      <c r="F1256" s="204" t="s">
        <v>2276</v>
      </c>
      <c r="G1256" s="204" t="s">
        <v>2276</v>
      </c>
      <c r="H1256" s="204" t="s">
        <v>2276</v>
      </c>
      <c r="I1256" s="204" t="s">
        <v>2276</v>
      </c>
      <c r="J1256" s="204" t="s">
        <v>2276</v>
      </c>
      <c r="K1256" s="204" t="s">
        <v>2276</v>
      </c>
      <c r="L1256" s="204" t="s">
        <v>2276</v>
      </c>
      <c r="M1256" s="204" t="s">
        <v>2276</v>
      </c>
      <c r="N1256" s="204" t="s">
        <v>2276</v>
      </c>
      <c r="O1256" s="204" t="s">
        <v>2276</v>
      </c>
      <c r="P1256" s="204" t="s">
        <v>2276</v>
      </c>
      <c r="Q1256" s="204" t="s">
        <v>2276</v>
      </c>
      <c r="R1256" s="204" t="s">
        <v>2276</v>
      </c>
      <c r="S1256" s="204" t="s">
        <v>2276</v>
      </c>
      <c r="T1256" s="204"/>
    </row>
    <row r="1257" spans="1:20" ht="33.5" customHeight="1">
      <c r="A1257" s="55" t="s">
        <v>8069</v>
      </c>
      <c r="B1257" s="38" t="s">
        <v>2276</v>
      </c>
      <c r="C1257" s="38" t="s">
        <v>12</v>
      </c>
      <c r="D1257" s="38" t="s">
        <v>45</v>
      </c>
      <c r="E1257" s="38" t="s">
        <v>2647</v>
      </c>
      <c r="F1257" s="38" t="s">
        <v>2276</v>
      </c>
      <c r="G1257" s="38" t="s">
        <v>2276</v>
      </c>
      <c r="H1257" s="38" t="s">
        <v>2276</v>
      </c>
      <c r="I1257" s="203">
        <f>(25*236+20*24)/45</f>
        <v>141.77777777777777</v>
      </c>
      <c r="J1257" s="38" t="s">
        <v>2276</v>
      </c>
      <c r="K1257" s="38" t="s">
        <v>2276</v>
      </c>
      <c r="L1257" s="38" t="s">
        <v>2276</v>
      </c>
      <c r="M1257" s="38" t="s">
        <v>2276</v>
      </c>
      <c r="N1257" s="38" t="s">
        <v>2276</v>
      </c>
      <c r="O1257" s="38" t="s">
        <v>2276</v>
      </c>
      <c r="P1257" s="38" t="s">
        <v>2276</v>
      </c>
      <c r="Q1257" s="38" t="s">
        <v>2276</v>
      </c>
      <c r="R1257" s="38" t="s">
        <v>2276</v>
      </c>
      <c r="S1257" s="38" t="s">
        <v>2276</v>
      </c>
      <c r="T1257" s="38"/>
    </row>
    <row r="1258" spans="1:20" ht="33" customHeight="1">
      <c r="A1258" s="19" t="s">
        <v>8076</v>
      </c>
      <c r="B1258" s="204" t="s">
        <v>70</v>
      </c>
      <c r="C1258" s="204" t="s">
        <v>12</v>
      </c>
      <c r="D1258" s="204" t="s">
        <v>45</v>
      </c>
      <c r="E1258" s="4" t="s">
        <v>3855</v>
      </c>
      <c r="F1258" s="204" t="s">
        <v>5801</v>
      </c>
      <c r="G1258" s="204" t="s">
        <v>2276</v>
      </c>
      <c r="H1258" s="21">
        <f>(0.15*165+36)/32.7</f>
        <v>1.8577981651376145</v>
      </c>
      <c r="I1258" s="204">
        <v>32.700000000000003</v>
      </c>
      <c r="J1258" s="204" t="s">
        <v>2276</v>
      </c>
      <c r="K1258" s="204" t="s">
        <v>2276</v>
      </c>
      <c r="L1258" s="204" t="s">
        <v>2276</v>
      </c>
      <c r="M1258" s="204" t="s">
        <v>2276</v>
      </c>
      <c r="N1258" s="204" t="s">
        <v>2276</v>
      </c>
      <c r="O1258" s="21">
        <f>(32.7*24)/125</f>
        <v>6.2784000000000004</v>
      </c>
      <c r="P1258" s="204" t="s">
        <v>2276</v>
      </c>
      <c r="Q1258" s="204" t="s">
        <v>2276</v>
      </c>
      <c r="R1258" s="204" t="s">
        <v>2276</v>
      </c>
      <c r="S1258" s="204" t="s">
        <v>2276</v>
      </c>
      <c r="T1258" s="204"/>
    </row>
    <row r="1259" spans="1:20" ht="49.5" customHeight="1">
      <c r="A1259" s="19" t="s">
        <v>8082</v>
      </c>
      <c r="B1259" s="204" t="s">
        <v>2276</v>
      </c>
      <c r="C1259" s="204" t="s">
        <v>395</v>
      </c>
      <c r="D1259" s="204" t="s">
        <v>5005</v>
      </c>
      <c r="E1259" s="4" t="s">
        <v>397</v>
      </c>
      <c r="F1259" s="4" t="s">
        <v>3854</v>
      </c>
      <c r="G1259" s="204" t="s">
        <v>2276</v>
      </c>
      <c r="H1259" s="204" t="s">
        <v>2276</v>
      </c>
      <c r="I1259" s="204" t="s">
        <v>2276</v>
      </c>
      <c r="J1259" s="204" t="s">
        <v>2276</v>
      </c>
      <c r="K1259" s="204" t="s">
        <v>534</v>
      </c>
      <c r="L1259" s="204" t="s">
        <v>2276</v>
      </c>
      <c r="M1259" s="204" t="s">
        <v>2276</v>
      </c>
      <c r="N1259" s="204" t="s">
        <v>2276</v>
      </c>
      <c r="O1259" s="204" t="s">
        <v>2276</v>
      </c>
      <c r="P1259" s="204" t="s">
        <v>2276</v>
      </c>
      <c r="Q1259" s="204" t="s">
        <v>2276</v>
      </c>
      <c r="R1259" s="204" t="s">
        <v>2276</v>
      </c>
      <c r="S1259" s="204" t="s">
        <v>2276</v>
      </c>
      <c r="T1259" s="204"/>
    </row>
    <row r="1260" spans="1:20" ht="50" customHeight="1">
      <c r="A1260" s="19" t="s">
        <v>8085</v>
      </c>
      <c r="B1260" s="204" t="s">
        <v>2276</v>
      </c>
      <c r="C1260" s="204" t="s">
        <v>12</v>
      </c>
      <c r="D1260" s="204" t="s">
        <v>5801</v>
      </c>
      <c r="E1260" s="204" t="s">
        <v>5005</v>
      </c>
      <c r="F1260" s="4" t="s">
        <v>397</v>
      </c>
      <c r="G1260" s="4" t="s">
        <v>3854</v>
      </c>
      <c r="H1260" s="204" t="s">
        <v>2276</v>
      </c>
      <c r="I1260" s="204" t="s">
        <v>2276</v>
      </c>
      <c r="J1260" s="204" t="s">
        <v>2276</v>
      </c>
      <c r="K1260" s="204" t="s">
        <v>534</v>
      </c>
      <c r="L1260" s="204" t="s">
        <v>2276</v>
      </c>
      <c r="M1260" s="204" t="s">
        <v>2276</v>
      </c>
      <c r="N1260" s="204" t="s">
        <v>2276</v>
      </c>
      <c r="O1260" s="204" t="s">
        <v>2276</v>
      </c>
      <c r="P1260" s="204" t="s">
        <v>2276</v>
      </c>
      <c r="Q1260" s="204" t="s">
        <v>2276</v>
      </c>
      <c r="R1260" s="204" t="s">
        <v>2276</v>
      </c>
      <c r="S1260" s="204" t="s">
        <v>2276</v>
      </c>
      <c r="T1260" s="204" t="s">
        <v>8087</v>
      </c>
    </row>
    <row r="1261" spans="1:20" ht="53.5" customHeight="1">
      <c r="A1261" s="19" t="s">
        <v>8095</v>
      </c>
      <c r="B1261" s="204" t="s">
        <v>70</v>
      </c>
      <c r="C1261" s="204" t="s">
        <v>12</v>
      </c>
      <c r="D1261" s="4" t="s">
        <v>3854</v>
      </c>
      <c r="E1261" s="4" t="s">
        <v>3855</v>
      </c>
      <c r="F1261" s="204" t="s">
        <v>45</v>
      </c>
      <c r="G1261" s="204" t="s">
        <v>2276</v>
      </c>
      <c r="H1261" s="21">
        <v>0.5</v>
      </c>
      <c r="I1261" s="204" t="s">
        <v>2276</v>
      </c>
      <c r="J1261" s="204" t="s">
        <v>2276</v>
      </c>
      <c r="K1261" s="204" t="s">
        <v>2276</v>
      </c>
      <c r="L1261" s="204" t="s">
        <v>2276</v>
      </c>
      <c r="M1261" s="204" t="s">
        <v>2276</v>
      </c>
      <c r="N1261" s="204" t="s">
        <v>2276</v>
      </c>
      <c r="O1261" s="204" t="s">
        <v>2276</v>
      </c>
      <c r="P1261" s="204" t="s">
        <v>2276</v>
      </c>
      <c r="Q1261" s="204" t="s">
        <v>2276</v>
      </c>
      <c r="R1261" s="204" t="s">
        <v>2276</v>
      </c>
      <c r="S1261" s="204" t="s">
        <v>2276</v>
      </c>
      <c r="T1261" s="204"/>
    </row>
    <row r="1262" spans="1:20" ht="39.5" customHeight="1">
      <c r="A1262" s="19" t="s">
        <v>8104</v>
      </c>
      <c r="B1262" s="4" t="s">
        <v>1197</v>
      </c>
      <c r="C1262" s="204" t="s">
        <v>12</v>
      </c>
      <c r="D1262" s="204" t="s">
        <v>137</v>
      </c>
      <c r="E1262" s="204" t="s">
        <v>45</v>
      </c>
      <c r="F1262" s="4" t="s">
        <v>396</v>
      </c>
      <c r="G1262" s="176" t="s">
        <v>5801</v>
      </c>
      <c r="H1262" s="204" t="s">
        <v>2276</v>
      </c>
      <c r="I1262" s="204" t="s">
        <v>2276</v>
      </c>
      <c r="J1262" s="204" t="s">
        <v>2276</v>
      </c>
      <c r="K1262" s="204" t="s">
        <v>2276</v>
      </c>
      <c r="L1262" s="204" t="s">
        <v>2276</v>
      </c>
      <c r="M1262" s="204" t="s">
        <v>2276</v>
      </c>
      <c r="N1262" s="204" t="s">
        <v>2276</v>
      </c>
      <c r="O1262" s="204" t="s">
        <v>2276</v>
      </c>
      <c r="P1262" s="204" t="s">
        <v>2276</v>
      </c>
      <c r="Q1262" s="204" t="s">
        <v>2276</v>
      </c>
      <c r="R1262" s="204" t="s">
        <v>2276</v>
      </c>
      <c r="S1262" s="204" t="s">
        <v>2276</v>
      </c>
      <c r="T1262" s="204" t="s">
        <v>8107</v>
      </c>
    </row>
    <row r="1263" spans="1:20" ht="32.5" customHeight="1">
      <c r="A1263" s="19" t="s">
        <v>8115</v>
      </c>
      <c r="B1263" s="4" t="s">
        <v>1197</v>
      </c>
      <c r="C1263" s="204" t="s">
        <v>12</v>
      </c>
      <c r="D1263" s="4" t="s">
        <v>396</v>
      </c>
      <c r="E1263" s="204" t="s">
        <v>2653</v>
      </c>
      <c r="F1263" s="204" t="s">
        <v>45</v>
      </c>
      <c r="G1263" s="204" t="s">
        <v>2276</v>
      </c>
      <c r="H1263" s="204" t="s">
        <v>2276</v>
      </c>
      <c r="I1263" s="204" t="s">
        <v>2276</v>
      </c>
      <c r="J1263" s="204" t="s">
        <v>2276</v>
      </c>
      <c r="K1263" s="204" t="s">
        <v>2276</v>
      </c>
      <c r="L1263" s="204" t="s">
        <v>2276</v>
      </c>
      <c r="M1263" s="204" t="s">
        <v>2276</v>
      </c>
      <c r="N1263" s="204" t="s">
        <v>2276</v>
      </c>
      <c r="O1263" s="204" t="s">
        <v>2276</v>
      </c>
      <c r="P1263" s="204" t="s">
        <v>2276</v>
      </c>
      <c r="Q1263" s="204" t="s">
        <v>2276</v>
      </c>
      <c r="R1263" s="21">
        <f>27884/'Record info'!K1263</f>
        <v>38.81511177928116</v>
      </c>
      <c r="S1263" s="204" t="s">
        <v>2276</v>
      </c>
      <c r="T1263" s="204"/>
    </row>
    <row r="1264" spans="1:20" ht="32.5" customHeight="1">
      <c r="A1264" s="19" t="s">
        <v>8122</v>
      </c>
      <c r="B1264" s="4" t="s">
        <v>1197</v>
      </c>
      <c r="C1264" s="204" t="s">
        <v>12</v>
      </c>
      <c r="D1264" s="204" t="s">
        <v>45</v>
      </c>
      <c r="E1264" s="204" t="s">
        <v>137</v>
      </c>
      <c r="F1264" s="4" t="s">
        <v>396</v>
      </c>
      <c r="G1264" s="204" t="s">
        <v>2276</v>
      </c>
      <c r="H1264" s="204" t="s">
        <v>2276</v>
      </c>
      <c r="I1264" s="204" t="s">
        <v>2276</v>
      </c>
      <c r="J1264" s="204" t="s">
        <v>2276</v>
      </c>
      <c r="K1264" s="204" t="s">
        <v>2276</v>
      </c>
      <c r="L1264" s="204" t="s">
        <v>2276</v>
      </c>
      <c r="M1264" s="204" t="s">
        <v>2276</v>
      </c>
      <c r="N1264" s="204" t="s">
        <v>2276</v>
      </c>
      <c r="O1264" s="204" t="s">
        <v>2276</v>
      </c>
      <c r="P1264" s="204" t="s">
        <v>2276</v>
      </c>
      <c r="Q1264" s="204" t="s">
        <v>2276</v>
      </c>
      <c r="R1264" s="21">
        <f>50640/'Record info'!K1264</f>
        <v>19.328244274809162</v>
      </c>
      <c r="S1264" s="204" t="s">
        <v>2276</v>
      </c>
      <c r="T1264" s="204"/>
    </row>
    <row r="1265" spans="1:20" ht="32.5" customHeight="1">
      <c r="A1265" s="19" t="s">
        <v>8123</v>
      </c>
      <c r="B1265" s="204" t="s">
        <v>32</v>
      </c>
      <c r="C1265" s="204" t="s">
        <v>12</v>
      </c>
      <c r="D1265" s="204" t="s">
        <v>45</v>
      </c>
      <c r="E1265" s="204" t="s">
        <v>137</v>
      </c>
      <c r="F1265" s="204" t="s">
        <v>2653</v>
      </c>
      <c r="G1265" s="4" t="s">
        <v>396</v>
      </c>
      <c r="H1265" s="204" t="s">
        <v>2276</v>
      </c>
      <c r="I1265" s="204" t="s">
        <v>2276</v>
      </c>
      <c r="J1265" s="204" t="s">
        <v>2276</v>
      </c>
      <c r="K1265" s="204" t="s">
        <v>2276</v>
      </c>
      <c r="L1265" s="204" t="s">
        <v>2276</v>
      </c>
      <c r="M1265" s="204" t="s">
        <v>2276</v>
      </c>
      <c r="N1265" s="204" t="s">
        <v>2276</v>
      </c>
      <c r="O1265" s="204" t="s">
        <v>2276</v>
      </c>
      <c r="P1265" s="204" t="s">
        <v>2276</v>
      </c>
      <c r="Q1265" s="204" t="s">
        <v>2276</v>
      </c>
      <c r="R1265" s="21">
        <f>24975/'Record info'!K1265</f>
        <v>4.8605475341114097</v>
      </c>
      <c r="S1265" s="204" t="s">
        <v>2276</v>
      </c>
      <c r="T1265" s="204"/>
    </row>
    <row r="1266" spans="1:20" ht="32.5" customHeight="1">
      <c r="A1266" s="19" t="s">
        <v>8124</v>
      </c>
      <c r="B1266" s="204" t="s">
        <v>32</v>
      </c>
      <c r="C1266" s="204" t="s">
        <v>12</v>
      </c>
      <c r="D1266" s="204" t="s">
        <v>137</v>
      </c>
      <c r="E1266" s="4" t="s">
        <v>396</v>
      </c>
      <c r="F1266" s="204" t="s">
        <v>2276</v>
      </c>
      <c r="G1266" s="204" t="s">
        <v>2276</v>
      </c>
      <c r="H1266" s="204" t="s">
        <v>2276</v>
      </c>
      <c r="I1266" s="204" t="s">
        <v>2276</v>
      </c>
      <c r="J1266" s="204" t="s">
        <v>2276</v>
      </c>
      <c r="K1266" s="204" t="s">
        <v>2276</v>
      </c>
      <c r="L1266" s="204" t="s">
        <v>2276</v>
      </c>
      <c r="M1266" s="204" t="s">
        <v>2276</v>
      </c>
      <c r="N1266" s="204" t="s">
        <v>2276</v>
      </c>
      <c r="O1266" s="204" t="s">
        <v>2276</v>
      </c>
      <c r="P1266" s="204" t="s">
        <v>2276</v>
      </c>
      <c r="Q1266" s="204" t="s">
        <v>2276</v>
      </c>
      <c r="R1266" s="21">
        <f>270000/'Record info'!K1266</f>
        <v>27.014560848297229</v>
      </c>
      <c r="S1266" s="204" t="s">
        <v>2276</v>
      </c>
      <c r="T1266" s="204"/>
    </row>
    <row r="1267" spans="1:20" ht="32.5" customHeight="1">
      <c r="A1267" s="19" t="s">
        <v>8158</v>
      </c>
      <c r="B1267" s="204" t="s">
        <v>69</v>
      </c>
      <c r="C1267" s="204" t="s">
        <v>395</v>
      </c>
      <c r="D1267" s="204" t="s">
        <v>116</v>
      </c>
      <c r="E1267" s="204" t="s">
        <v>2276</v>
      </c>
      <c r="F1267" s="204" t="s">
        <v>2276</v>
      </c>
      <c r="G1267" s="204" t="s">
        <v>2276</v>
      </c>
      <c r="H1267" s="204" t="s">
        <v>2276</v>
      </c>
      <c r="I1267" s="204" t="s">
        <v>2276</v>
      </c>
      <c r="J1267" s="204" t="s">
        <v>2276</v>
      </c>
      <c r="K1267" s="204" t="s">
        <v>2276</v>
      </c>
      <c r="L1267" s="204" t="s">
        <v>2276</v>
      </c>
      <c r="M1267" s="204" t="s">
        <v>2276</v>
      </c>
      <c r="N1267" s="204" t="s">
        <v>2276</v>
      </c>
      <c r="O1267" s="204" t="s">
        <v>2276</v>
      </c>
      <c r="P1267" s="204" t="s">
        <v>2276</v>
      </c>
      <c r="Q1267" s="204" t="s">
        <v>2276</v>
      </c>
      <c r="R1267" s="204" t="s">
        <v>2276</v>
      </c>
      <c r="S1267" s="204" t="s">
        <v>2276</v>
      </c>
      <c r="T1267" s="204"/>
    </row>
    <row r="1268" spans="1:20" ht="33.5" customHeight="1">
      <c r="A1268" s="19" t="s">
        <v>8167</v>
      </c>
      <c r="B1268" s="204" t="s">
        <v>69</v>
      </c>
      <c r="C1268" s="204" t="s">
        <v>395</v>
      </c>
      <c r="D1268" s="204" t="s">
        <v>130</v>
      </c>
      <c r="E1268" s="204" t="s">
        <v>116</v>
      </c>
      <c r="F1268" s="204" t="s">
        <v>45</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04" t="s">
        <v>2276</v>
      </c>
      <c r="S1268" s="204" t="s">
        <v>2276</v>
      </c>
      <c r="T1268" s="204"/>
    </row>
    <row r="1269" spans="1:20" ht="33.5" customHeight="1">
      <c r="A1269" s="19" t="s">
        <v>8168</v>
      </c>
      <c r="B1269" s="204" t="s">
        <v>69</v>
      </c>
      <c r="C1269" s="204" t="s">
        <v>395</v>
      </c>
      <c r="D1269" s="204" t="s">
        <v>130</v>
      </c>
      <c r="E1269" s="204" t="s">
        <v>116</v>
      </c>
      <c r="F1269" s="204" t="s">
        <v>45</v>
      </c>
      <c r="G1269" s="204" t="s">
        <v>2276</v>
      </c>
      <c r="H1269" s="204" t="s">
        <v>2276</v>
      </c>
      <c r="I1269" s="204" t="s">
        <v>2276</v>
      </c>
      <c r="J1269" s="204" t="s">
        <v>2276</v>
      </c>
      <c r="K1269" s="204" t="s">
        <v>2276</v>
      </c>
      <c r="L1269" s="204" t="s">
        <v>2276</v>
      </c>
      <c r="M1269" s="204" t="s">
        <v>2276</v>
      </c>
      <c r="N1269" s="204" t="s">
        <v>2276</v>
      </c>
      <c r="O1269" s="204" t="s">
        <v>2276</v>
      </c>
      <c r="P1269" s="204" t="s">
        <v>2276</v>
      </c>
      <c r="Q1269" s="204" t="s">
        <v>2276</v>
      </c>
      <c r="R1269" s="204" t="s">
        <v>2276</v>
      </c>
      <c r="S1269" s="204" t="s">
        <v>2276</v>
      </c>
      <c r="T1269" s="204"/>
    </row>
    <row r="1270" spans="1:20" ht="32.5" customHeight="1">
      <c r="A1270" s="19" t="s">
        <v>8191</v>
      </c>
      <c r="B1270" s="204" t="s">
        <v>2276</v>
      </c>
      <c r="C1270" s="204" t="s">
        <v>2646</v>
      </c>
      <c r="D1270" s="204" t="s">
        <v>137</v>
      </c>
      <c r="E1270" s="204" t="s">
        <v>2653</v>
      </c>
      <c r="F1270" s="204" t="s">
        <v>2276</v>
      </c>
      <c r="G1270" s="204" t="s">
        <v>2276</v>
      </c>
      <c r="H1270" s="204" t="s">
        <v>2276</v>
      </c>
      <c r="I1270" s="204" t="s">
        <v>2276</v>
      </c>
      <c r="J1270" s="204" t="s">
        <v>2276</v>
      </c>
      <c r="K1270" s="204" t="s">
        <v>2276</v>
      </c>
      <c r="L1270" s="204" t="s">
        <v>2276</v>
      </c>
      <c r="M1270" s="204" t="s">
        <v>2276</v>
      </c>
      <c r="N1270" s="204" t="s">
        <v>2276</v>
      </c>
      <c r="O1270" s="204" t="s">
        <v>2276</v>
      </c>
      <c r="P1270" s="204" t="s">
        <v>2276</v>
      </c>
      <c r="Q1270" s="204" t="s">
        <v>2276</v>
      </c>
      <c r="R1270" s="204" t="s">
        <v>2276</v>
      </c>
      <c r="S1270" s="204" t="s">
        <v>2276</v>
      </c>
      <c r="T1270" s="204"/>
    </row>
    <row r="1271" spans="1:20" ht="27" customHeight="1">
      <c r="A1271" s="19" t="s">
        <v>8202</v>
      </c>
      <c r="B1271" s="204" t="s">
        <v>32</v>
      </c>
      <c r="C1271" s="204" t="s">
        <v>2645</v>
      </c>
      <c r="D1271" s="204" t="s">
        <v>137</v>
      </c>
      <c r="E1271" s="204" t="s">
        <v>2652</v>
      </c>
      <c r="F1271" s="204" t="s">
        <v>2649</v>
      </c>
      <c r="G1271" s="204" t="s">
        <v>2276</v>
      </c>
      <c r="H1271" s="204" t="s">
        <v>2276</v>
      </c>
      <c r="I1271" s="204" t="s">
        <v>2276</v>
      </c>
      <c r="J1271" s="204" t="s">
        <v>2276</v>
      </c>
      <c r="K1271" s="204" t="s">
        <v>534</v>
      </c>
      <c r="L1271" s="204" t="s">
        <v>2276</v>
      </c>
      <c r="M1271" s="204" t="s">
        <v>2276</v>
      </c>
      <c r="N1271" s="204" t="s">
        <v>2276</v>
      </c>
      <c r="O1271" s="204" t="s">
        <v>2276</v>
      </c>
      <c r="P1271" s="204" t="s">
        <v>2276</v>
      </c>
      <c r="Q1271" s="204" t="s">
        <v>2276</v>
      </c>
      <c r="R1271" s="204" t="s">
        <v>2276</v>
      </c>
      <c r="S1271" s="204" t="s">
        <v>2276</v>
      </c>
      <c r="T1271" s="204"/>
    </row>
    <row r="1272" spans="1:20" ht="27" customHeight="1">
      <c r="A1272" s="19" t="s">
        <v>8208</v>
      </c>
      <c r="B1272" s="204" t="s">
        <v>32</v>
      </c>
      <c r="C1272" s="204" t="s">
        <v>2645</v>
      </c>
      <c r="D1272" s="204" t="s">
        <v>137</v>
      </c>
      <c r="E1272" s="204" t="s">
        <v>2652</v>
      </c>
      <c r="F1272" s="204" t="s">
        <v>2649</v>
      </c>
      <c r="G1272" s="204" t="s">
        <v>2276</v>
      </c>
      <c r="H1272" s="204" t="s">
        <v>2276</v>
      </c>
      <c r="I1272" s="204" t="s">
        <v>2276</v>
      </c>
      <c r="J1272" s="204" t="s">
        <v>2276</v>
      </c>
      <c r="K1272" s="204" t="s">
        <v>534</v>
      </c>
      <c r="L1272" s="204" t="s">
        <v>2276</v>
      </c>
      <c r="M1272" s="204" t="s">
        <v>2276</v>
      </c>
      <c r="N1272" s="204" t="s">
        <v>2276</v>
      </c>
      <c r="O1272" s="204" t="s">
        <v>2276</v>
      </c>
      <c r="P1272" s="204" t="s">
        <v>2276</v>
      </c>
      <c r="Q1272" s="204" t="s">
        <v>2276</v>
      </c>
      <c r="R1272" s="204" t="s">
        <v>2276</v>
      </c>
      <c r="S1272" s="204" t="s">
        <v>2276</v>
      </c>
      <c r="T1272" s="204"/>
    </row>
    <row r="1273" spans="1:20" ht="27" customHeight="1">
      <c r="A1273" s="19" t="s">
        <v>8209</v>
      </c>
      <c r="B1273" s="204" t="s">
        <v>32</v>
      </c>
      <c r="C1273" s="204" t="s">
        <v>2645</v>
      </c>
      <c r="D1273" s="204" t="s">
        <v>137</v>
      </c>
      <c r="E1273" s="204" t="s">
        <v>2652</v>
      </c>
      <c r="F1273" s="204" t="s">
        <v>2649</v>
      </c>
      <c r="G1273" s="204" t="s">
        <v>2276</v>
      </c>
      <c r="H1273" s="204" t="s">
        <v>2276</v>
      </c>
      <c r="I1273" s="204" t="s">
        <v>2276</v>
      </c>
      <c r="J1273" s="204" t="s">
        <v>2276</v>
      </c>
      <c r="K1273" s="204" t="s">
        <v>534</v>
      </c>
      <c r="L1273" s="204" t="s">
        <v>2276</v>
      </c>
      <c r="M1273" s="204" t="s">
        <v>2276</v>
      </c>
      <c r="N1273" s="204" t="s">
        <v>2276</v>
      </c>
      <c r="O1273" s="204" t="s">
        <v>2276</v>
      </c>
      <c r="P1273" s="204" t="s">
        <v>2276</v>
      </c>
      <c r="Q1273" s="204" t="s">
        <v>2276</v>
      </c>
      <c r="R1273" s="204" t="s">
        <v>2276</v>
      </c>
      <c r="S1273" s="204" t="s">
        <v>2276</v>
      </c>
      <c r="T1273" s="204"/>
    </row>
    <row r="1274" spans="1:20" ht="27" customHeight="1">
      <c r="A1274" s="19" t="s">
        <v>8210</v>
      </c>
      <c r="B1274" s="204" t="s">
        <v>32</v>
      </c>
      <c r="C1274" s="204" t="s">
        <v>2645</v>
      </c>
      <c r="D1274" s="204" t="s">
        <v>137</v>
      </c>
      <c r="E1274" s="204" t="s">
        <v>2652</v>
      </c>
      <c r="F1274" s="204" t="s">
        <v>2649</v>
      </c>
      <c r="G1274" s="204" t="s">
        <v>2276</v>
      </c>
      <c r="H1274" s="204" t="s">
        <v>2276</v>
      </c>
      <c r="I1274" s="204" t="s">
        <v>2276</v>
      </c>
      <c r="J1274" s="204" t="s">
        <v>2276</v>
      </c>
      <c r="K1274" s="204" t="s">
        <v>534</v>
      </c>
      <c r="L1274" s="204" t="s">
        <v>2276</v>
      </c>
      <c r="M1274" s="204" t="s">
        <v>2276</v>
      </c>
      <c r="N1274" s="204" t="s">
        <v>2276</v>
      </c>
      <c r="O1274" s="204" t="s">
        <v>2276</v>
      </c>
      <c r="P1274" s="204" t="s">
        <v>2276</v>
      </c>
      <c r="Q1274" s="204" t="s">
        <v>2276</v>
      </c>
      <c r="R1274" s="204" t="s">
        <v>2276</v>
      </c>
      <c r="S1274" s="204" t="s">
        <v>2276</v>
      </c>
      <c r="T1274" s="204"/>
    </row>
    <row r="1275" spans="1:20" ht="27" customHeight="1">
      <c r="A1275" s="19" t="s">
        <v>8217</v>
      </c>
      <c r="B1275" s="204" t="s">
        <v>32</v>
      </c>
      <c r="C1275" s="204" t="s">
        <v>2645</v>
      </c>
      <c r="D1275" s="204" t="s">
        <v>137</v>
      </c>
      <c r="E1275" s="204" t="s">
        <v>2652</v>
      </c>
      <c r="F1275" s="204" t="s">
        <v>2649</v>
      </c>
      <c r="G1275" s="204" t="s">
        <v>2276</v>
      </c>
      <c r="H1275" s="204" t="s">
        <v>2276</v>
      </c>
      <c r="I1275" s="204" t="s">
        <v>2276</v>
      </c>
      <c r="J1275" s="204" t="s">
        <v>2276</v>
      </c>
      <c r="K1275" s="204" t="s">
        <v>534</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8218</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8219</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8236</v>
      </c>
      <c r="B1278" s="204" t="s">
        <v>32</v>
      </c>
      <c r="C1278" s="204" t="s">
        <v>2646</v>
      </c>
      <c r="D1278" s="204" t="s">
        <v>2652</v>
      </c>
      <c r="E1278" s="204" t="s">
        <v>116</v>
      </c>
      <c r="F1278" s="204" t="s">
        <v>2276</v>
      </c>
      <c r="G1278" s="204" t="s">
        <v>2276</v>
      </c>
      <c r="H1278" s="204" t="s">
        <v>2276</v>
      </c>
      <c r="I1278" s="204" t="s">
        <v>2276</v>
      </c>
      <c r="J1278" s="204" t="s">
        <v>2276</v>
      </c>
      <c r="K1278" s="204" t="s">
        <v>2276</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8240</v>
      </c>
      <c r="B1279" s="204" t="s">
        <v>32</v>
      </c>
      <c r="C1279" s="204" t="s">
        <v>2646</v>
      </c>
      <c r="D1279" s="204" t="s">
        <v>2652</v>
      </c>
      <c r="E1279" s="204" t="s">
        <v>116</v>
      </c>
      <c r="F1279" s="204" t="s">
        <v>2276</v>
      </c>
      <c r="G1279" s="204" t="s">
        <v>2276</v>
      </c>
      <c r="H1279" s="204" t="s">
        <v>2276</v>
      </c>
      <c r="I1279" s="204" t="s">
        <v>2276</v>
      </c>
      <c r="J1279" s="204" t="s">
        <v>2276</v>
      </c>
      <c r="K1279" s="204" t="s">
        <v>2276</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8241</v>
      </c>
      <c r="B1280" s="204" t="s">
        <v>32</v>
      </c>
      <c r="C1280" s="204" t="s">
        <v>2646</v>
      </c>
      <c r="D1280" s="204" t="s">
        <v>2652</v>
      </c>
      <c r="E1280" s="204" t="s">
        <v>116</v>
      </c>
      <c r="F1280" s="204" t="s">
        <v>2276</v>
      </c>
      <c r="G1280" s="204" t="s">
        <v>2276</v>
      </c>
      <c r="H1280" s="204" t="s">
        <v>2276</v>
      </c>
      <c r="I1280" s="204" t="s">
        <v>2276</v>
      </c>
      <c r="J1280" s="204" t="s">
        <v>2276</v>
      </c>
      <c r="K1280" s="204" t="s">
        <v>2276</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8242</v>
      </c>
      <c r="B1281" s="204" t="s">
        <v>32</v>
      </c>
      <c r="C1281" s="204" t="s">
        <v>2646</v>
      </c>
      <c r="D1281" s="204" t="s">
        <v>2652</v>
      </c>
      <c r="E1281" s="204" t="s">
        <v>116</v>
      </c>
      <c r="F1281" s="204" t="s">
        <v>2276</v>
      </c>
      <c r="G1281" s="204" t="s">
        <v>2276</v>
      </c>
      <c r="H1281" s="204" t="s">
        <v>2276</v>
      </c>
      <c r="I1281" s="204" t="s">
        <v>2276</v>
      </c>
      <c r="J1281" s="204" t="s">
        <v>2276</v>
      </c>
      <c r="K1281" s="204" t="s">
        <v>2276</v>
      </c>
      <c r="L1281" s="204" t="s">
        <v>2276</v>
      </c>
      <c r="M1281" s="204" t="s">
        <v>2276</v>
      </c>
      <c r="N1281" s="204" t="s">
        <v>2276</v>
      </c>
      <c r="O1281" s="204" t="s">
        <v>2276</v>
      </c>
      <c r="P1281" s="204" t="s">
        <v>2276</v>
      </c>
      <c r="Q1281" s="204" t="s">
        <v>2276</v>
      </c>
      <c r="R1281" s="204" t="s">
        <v>2276</v>
      </c>
      <c r="S1281" s="204" t="s">
        <v>2276</v>
      </c>
      <c r="T1281" s="204"/>
    </row>
    <row r="1282" spans="1:20" ht="31" customHeight="1">
      <c r="A1282" s="19" t="s">
        <v>8257</v>
      </c>
      <c r="B1282" s="4" t="s">
        <v>1197</v>
      </c>
      <c r="C1282" s="204" t="s">
        <v>2646</v>
      </c>
      <c r="D1282" s="204" t="s">
        <v>116</v>
      </c>
      <c r="E1282" s="204" t="s">
        <v>137</v>
      </c>
      <c r="F1282" s="204" t="s">
        <v>2276</v>
      </c>
      <c r="G1282" s="204" t="s">
        <v>2276</v>
      </c>
      <c r="H1282" s="204" t="s">
        <v>2276</v>
      </c>
      <c r="I1282" s="204" t="s">
        <v>2276</v>
      </c>
      <c r="J1282" s="204" t="s">
        <v>2276</v>
      </c>
      <c r="K1282" s="204" t="s">
        <v>2276</v>
      </c>
      <c r="L1282" s="204" t="s">
        <v>2276</v>
      </c>
      <c r="M1282" s="204" t="s">
        <v>2276</v>
      </c>
      <c r="N1282" s="204" t="s">
        <v>2276</v>
      </c>
      <c r="O1282" s="204" t="s">
        <v>2276</v>
      </c>
      <c r="P1282" s="204" t="s">
        <v>2276</v>
      </c>
      <c r="Q1282" s="204" t="s">
        <v>2276</v>
      </c>
      <c r="R1282" s="204" t="s">
        <v>2276</v>
      </c>
      <c r="S1282" s="204" t="s">
        <v>2276</v>
      </c>
      <c r="T1282" s="204"/>
    </row>
    <row r="1283" spans="1:20" ht="34.5" customHeight="1">
      <c r="A1283" s="19" t="s">
        <v>8271</v>
      </c>
      <c r="B1283" s="204" t="s">
        <v>69</v>
      </c>
      <c r="C1283" s="204" t="s">
        <v>395</v>
      </c>
      <c r="D1283" s="204" t="s">
        <v>116</v>
      </c>
      <c r="E1283" s="204" t="s">
        <v>2276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9" customHeight="1">
      <c r="A1284" s="19" t="s">
        <v>8284</v>
      </c>
      <c r="B1284" s="204" t="s">
        <v>32</v>
      </c>
      <c r="C1284" s="204" t="s">
        <v>2646</v>
      </c>
      <c r="D1284" s="204" t="s">
        <v>116</v>
      </c>
      <c r="E1284" s="204" t="s">
        <v>137</v>
      </c>
      <c r="F1284" s="204" t="s">
        <v>3209</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9" customHeight="1">
      <c r="A1285" s="19" t="s">
        <v>8285</v>
      </c>
      <c r="B1285" s="204" t="s">
        <v>32</v>
      </c>
      <c r="C1285" s="204" t="s">
        <v>2646</v>
      </c>
      <c r="D1285" s="204" t="s">
        <v>116</v>
      </c>
      <c r="E1285" s="204" t="s">
        <v>137</v>
      </c>
      <c r="F1285" s="204" t="s">
        <v>3209</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29" customHeight="1">
      <c r="A1286" s="19" t="s">
        <v>8286</v>
      </c>
      <c r="B1286" s="204" t="s">
        <v>32</v>
      </c>
      <c r="C1286" s="204" t="s">
        <v>2646</v>
      </c>
      <c r="D1286" s="204" t="s">
        <v>116</v>
      </c>
      <c r="E1286" s="204" t="s">
        <v>137</v>
      </c>
      <c r="F1286" s="204" t="s">
        <v>3209</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7.5" customHeight="1">
      <c r="A1287" s="19" t="s">
        <v>8299</v>
      </c>
      <c r="B1287" s="204" t="s">
        <v>32</v>
      </c>
      <c r="C1287" s="204" t="s">
        <v>2645</v>
      </c>
      <c r="D1287" s="204" t="s">
        <v>116</v>
      </c>
      <c r="E1287" s="204" t="s">
        <v>2649</v>
      </c>
      <c r="F1287" s="4" t="s">
        <v>397</v>
      </c>
      <c r="G1287" s="204" t="s">
        <v>2653</v>
      </c>
      <c r="H1287" s="204" t="s">
        <v>2276</v>
      </c>
      <c r="I1287" s="204" t="s">
        <v>2276</v>
      </c>
      <c r="J1287" s="204" t="s">
        <v>2276</v>
      </c>
      <c r="K1287" s="204" t="s">
        <v>534</v>
      </c>
      <c r="L1287" s="204" t="s">
        <v>2276</v>
      </c>
      <c r="M1287" s="204" t="s">
        <v>2276</v>
      </c>
      <c r="N1287" s="204" t="s">
        <v>2276</v>
      </c>
      <c r="O1287" s="204" t="s">
        <v>2276</v>
      </c>
      <c r="P1287" s="204" t="s">
        <v>2276</v>
      </c>
      <c r="Q1287" s="204" t="s">
        <v>2276</v>
      </c>
      <c r="R1287" s="204" t="s">
        <v>2276</v>
      </c>
      <c r="S1287" s="204" t="s">
        <v>2276</v>
      </c>
      <c r="T1287" s="204"/>
    </row>
    <row r="1288" spans="1:20" ht="50" customHeight="1">
      <c r="A1288" s="19" t="s">
        <v>8314</v>
      </c>
      <c r="B1288" s="204" t="s">
        <v>2258</v>
      </c>
      <c r="C1288" s="204" t="s">
        <v>12</v>
      </c>
      <c r="D1288" s="4" t="s">
        <v>3854</v>
      </c>
      <c r="E1288" s="204" t="s">
        <v>2276</v>
      </c>
      <c r="F1288" s="204" t="s">
        <v>2276</v>
      </c>
      <c r="G1288" s="204" t="s">
        <v>2276</v>
      </c>
      <c r="H1288" s="204" t="s">
        <v>2276</v>
      </c>
      <c r="I1288" s="204" t="s">
        <v>2276</v>
      </c>
      <c r="J1288" s="204" t="s">
        <v>2276</v>
      </c>
      <c r="K1288" s="204" t="s">
        <v>2276</v>
      </c>
      <c r="L1288" s="204" t="s">
        <v>2276</v>
      </c>
      <c r="M1288" s="204" t="s">
        <v>2276</v>
      </c>
      <c r="N1288" s="204" t="s">
        <v>2276</v>
      </c>
      <c r="O1288" s="204" t="s">
        <v>2276</v>
      </c>
      <c r="P1288" s="204">
        <v>2.2000000000000002</v>
      </c>
      <c r="Q1288" s="204">
        <v>13.8</v>
      </c>
      <c r="R1288" s="204">
        <f>14.5+71.7</f>
        <v>86.2</v>
      </c>
      <c r="S1288" s="204" t="s">
        <v>2276</v>
      </c>
      <c r="T1288" s="204"/>
    </row>
    <row r="1289" spans="1:20" ht="50" customHeight="1">
      <c r="A1289" s="19" t="s">
        <v>8315</v>
      </c>
      <c r="B1289" s="204" t="s">
        <v>2258</v>
      </c>
      <c r="C1289" s="204" t="s">
        <v>12</v>
      </c>
      <c r="D1289" s="4" t="s">
        <v>3854</v>
      </c>
      <c r="E1289" s="204" t="s">
        <v>2276</v>
      </c>
      <c r="F1289" s="204" t="s">
        <v>2276</v>
      </c>
      <c r="G1289" s="204" t="s">
        <v>2276</v>
      </c>
      <c r="H1289" s="204" t="s">
        <v>2276</v>
      </c>
      <c r="I1289" s="204" t="s">
        <v>2276</v>
      </c>
      <c r="J1289" s="204" t="s">
        <v>2276</v>
      </c>
      <c r="K1289" s="204" t="s">
        <v>2276</v>
      </c>
      <c r="L1289" s="204" t="s">
        <v>2276</v>
      </c>
      <c r="M1289" s="204" t="s">
        <v>2276</v>
      </c>
      <c r="N1289" s="204" t="s">
        <v>2276</v>
      </c>
      <c r="O1289" s="204" t="s">
        <v>2276</v>
      </c>
      <c r="P1289" s="204">
        <v>2.4</v>
      </c>
      <c r="Q1289" s="21">
        <f>10</f>
        <v>10</v>
      </c>
      <c r="R1289" s="21">
        <f>80.7+6.9</f>
        <v>87.600000000000009</v>
      </c>
      <c r="S1289" s="204" t="s">
        <v>2276</v>
      </c>
      <c r="T1289" s="204"/>
    </row>
    <row r="1290" spans="1:20" ht="50" customHeight="1">
      <c r="A1290" s="19" t="s">
        <v>8318</v>
      </c>
      <c r="B1290" s="204" t="s">
        <v>2258</v>
      </c>
      <c r="C1290" s="204" t="s">
        <v>12</v>
      </c>
      <c r="D1290" s="4" t="s">
        <v>3854</v>
      </c>
      <c r="E1290" s="204" t="s">
        <v>2653</v>
      </c>
      <c r="F1290" s="204" t="s">
        <v>2276</v>
      </c>
      <c r="G1290" s="204" t="s">
        <v>2276</v>
      </c>
      <c r="H1290" s="204" t="s">
        <v>2276</v>
      </c>
      <c r="I1290" s="204" t="s">
        <v>2276</v>
      </c>
      <c r="J1290" s="204" t="s">
        <v>2276</v>
      </c>
      <c r="K1290" s="204" t="s">
        <v>2276</v>
      </c>
      <c r="L1290" s="204" t="s">
        <v>2276</v>
      </c>
      <c r="M1290" s="204" t="s">
        <v>2276</v>
      </c>
      <c r="N1290" s="204" t="s">
        <v>2276</v>
      </c>
      <c r="O1290" s="204" t="s">
        <v>2276</v>
      </c>
      <c r="P1290" s="204">
        <v>49.6</v>
      </c>
      <c r="Q1290" s="204">
        <v>4.3</v>
      </c>
      <c r="R1290" s="21">
        <f>6.5+39.6</f>
        <v>46.1</v>
      </c>
      <c r="S1290" s="204" t="s">
        <v>2276</v>
      </c>
      <c r="T1290" s="204" t="s">
        <v>8324</v>
      </c>
    </row>
    <row r="1291" spans="1:20" ht="50" customHeight="1">
      <c r="A1291" s="19" t="s">
        <v>8319</v>
      </c>
      <c r="B1291" s="204" t="s">
        <v>2258</v>
      </c>
      <c r="C1291" s="204" t="s">
        <v>12</v>
      </c>
      <c r="D1291" s="4" t="s">
        <v>3854</v>
      </c>
      <c r="E1291" s="204" t="s">
        <v>2653</v>
      </c>
      <c r="F1291" s="204" t="s">
        <v>2276</v>
      </c>
      <c r="G1291" s="204" t="s">
        <v>2276</v>
      </c>
      <c r="H1291" s="204" t="s">
        <v>2276</v>
      </c>
      <c r="I1291" s="204" t="s">
        <v>2276</v>
      </c>
      <c r="J1291" s="204" t="s">
        <v>2276</v>
      </c>
      <c r="K1291" s="204" t="s">
        <v>2276</v>
      </c>
      <c r="L1291" s="204" t="s">
        <v>2276</v>
      </c>
      <c r="M1291" s="204" t="s">
        <v>2276</v>
      </c>
      <c r="N1291" s="204" t="s">
        <v>2276</v>
      </c>
      <c r="O1291" s="204" t="s">
        <v>2276</v>
      </c>
      <c r="P1291" s="204">
        <v>30.6</v>
      </c>
      <c r="Q1291" s="204">
        <v>8.3000000000000007</v>
      </c>
      <c r="R1291" s="21">
        <f>57.6+2.2</f>
        <v>59.800000000000004</v>
      </c>
      <c r="S1291" s="204" t="s">
        <v>2276</v>
      </c>
      <c r="T1291" s="204" t="s">
        <v>8324</v>
      </c>
    </row>
    <row r="1292" spans="1:20" ht="50" customHeight="1">
      <c r="A1292" s="19" t="s">
        <v>8356</v>
      </c>
      <c r="B1292" s="204" t="s">
        <v>2258</v>
      </c>
      <c r="C1292" s="204" t="s">
        <v>12</v>
      </c>
      <c r="D1292" s="4" t="s">
        <v>3854</v>
      </c>
      <c r="E1292" s="204" t="s">
        <v>2653</v>
      </c>
      <c r="F1292" s="204" t="s">
        <v>2276</v>
      </c>
      <c r="G1292" s="204" t="s">
        <v>2276</v>
      </c>
      <c r="H1292" s="204" t="s">
        <v>2276</v>
      </c>
      <c r="I1292" s="204" t="s">
        <v>2276</v>
      </c>
      <c r="J1292" s="204" t="s">
        <v>2276</v>
      </c>
      <c r="K1292" s="204" t="s">
        <v>2276</v>
      </c>
      <c r="L1292" s="204" t="s">
        <v>2276</v>
      </c>
      <c r="M1292" s="204" t="s">
        <v>2276</v>
      </c>
      <c r="N1292" s="204" t="s">
        <v>2276</v>
      </c>
      <c r="O1292" s="204" t="s">
        <v>2276</v>
      </c>
      <c r="P1292" s="204" t="s">
        <v>2276</v>
      </c>
      <c r="Q1292" s="204" t="s">
        <v>2276</v>
      </c>
      <c r="R1292" s="204" t="s">
        <v>2276</v>
      </c>
      <c r="S1292" s="204" t="s">
        <v>2276</v>
      </c>
      <c r="T1292" s="11" t="s">
        <v>8360</v>
      </c>
    </row>
    <row r="1293" spans="1:20" ht="50" customHeight="1">
      <c r="A1293" s="19" t="s">
        <v>8357</v>
      </c>
      <c r="B1293" s="204" t="s">
        <v>2258</v>
      </c>
      <c r="C1293" s="204" t="s">
        <v>12</v>
      </c>
      <c r="D1293" s="4" t="s">
        <v>3854</v>
      </c>
      <c r="E1293" s="204" t="s">
        <v>2653</v>
      </c>
      <c r="F1293" s="204" t="s">
        <v>2276</v>
      </c>
      <c r="G1293" s="204" t="s">
        <v>2276</v>
      </c>
      <c r="H1293" s="204" t="s">
        <v>2276</v>
      </c>
      <c r="I1293" s="204" t="s">
        <v>2276</v>
      </c>
      <c r="J1293" s="204" t="s">
        <v>2276</v>
      </c>
      <c r="K1293" s="204" t="s">
        <v>2276</v>
      </c>
      <c r="L1293" s="204" t="s">
        <v>2276</v>
      </c>
      <c r="M1293" s="204" t="s">
        <v>2276</v>
      </c>
      <c r="N1293" s="204" t="s">
        <v>2276</v>
      </c>
      <c r="O1293" s="204" t="s">
        <v>2276</v>
      </c>
      <c r="P1293" s="204" t="s">
        <v>2276</v>
      </c>
      <c r="Q1293" s="204" t="s">
        <v>2276</v>
      </c>
      <c r="R1293" s="204" t="s">
        <v>2276</v>
      </c>
      <c r="S1293" s="204" t="s">
        <v>2276</v>
      </c>
      <c r="T1293" s="11" t="s">
        <v>8361</v>
      </c>
    </row>
    <row r="1294" spans="1:20" ht="50" customHeight="1">
      <c r="A1294" s="19" t="s">
        <v>8355</v>
      </c>
      <c r="B1294" s="204" t="s">
        <v>2276</v>
      </c>
      <c r="C1294" s="204" t="s">
        <v>12</v>
      </c>
      <c r="D1294" s="4" t="s">
        <v>396</v>
      </c>
      <c r="E1294" s="204" t="s">
        <v>2276</v>
      </c>
      <c r="F1294" s="204" t="s">
        <v>2276</v>
      </c>
      <c r="G1294" s="204" t="s">
        <v>2276</v>
      </c>
      <c r="H1294" s="204" t="s">
        <v>2276</v>
      </c>
      <c r="I1294" s="204" t="s">
        <v>2276</v>
      </c>
      <c r="J1294" s="204" t="s">
        <v>2276</v>
      </c>
      <c r="K1294" s="204" t="s">
        <v>2276</v>
      </c>
      <c r="L1294" s="204" t="s">
        <v>2276</v>
      </c>
      <c r="M1294" s="204" t="s">
        <v>2276</v>
      </c>
      <c r="N1294" s="204" t="s">
        <v>2276</v>
      </c>
      <c r="O1294" s="204" t="s">
        <v>2276</v>
      </c>
      <c r="P1294" s="204" t="s">
        <v>2276</v>
      </c>
      <c r="Q1294" s="204" t="s">
        <v>2276</v>
      </c>
      <c r="R1294" s="204" t="s">
        <v>2276</v>
      </c>
      <c r="S1294" s="204" t="s">
        <v>2276</v>
      </c>
      <c r="T1294" s="204"/>
    </row>
    <row r="1295" spans="1:20" ht="50" customHeight="1">
      <c r="A1295" s="19" t="s">
        <v>8384</v>
      </c>
      <c r="B1295" s="204" t="s">
        <v>2276</v>
      </c>
      <c r="C1295" s="204" t="s">
        <v>12</v>
      </c>
      <c r="D1295" s="4" t="s">
        <v>396</v>
      </c>
      <c r="E1295" s="204" t="s">
        <v>2276</v>
      </c>
      <c r="F1295" s="204" t="s">
        <v>2276</v>
      </c>
      <c r="G1295" s="204" t="s">
        <v>2276</v>
      </c>
      <c r="H1295" s="204" t="s">
        <v>2276</v>
      </c>
      <c r="I1295" s="204" t="s">
        <v>2276</v>
      </c>
      <c r="J1295" s="204" t="s">
        <v>2276</v>
      </c>
      <c r="K1295" s="204" t="s">
        <v>2276</v>
      </c>
      <c r="L1295" s="204" t="s">
        <v>2276</v>
      </c>
      <c r="M1295" s="204" t="s">
        <v>2276</v>
      </c>
      <c r="N1295" s="204" t="s">
        <v>2276</v>
      </c>
      <c r="O1295" s="204" t="s">
        <v>2276</v>
      </c>
      <c r="P1295" s="204" t="s">
        <v>2276</v>
      </c>
      <c r="Q1295" s="204" t="s">
        <v>2276</v>
      </c>
      <c r="R1295" s="204" t="s">
        <v>2276</v>
      </c>
      <c r="S1295" s="204" t="s">
        <v>2276</v>
      </c>
      <c r="T1295" s="204"/>
    </row>
    <row r="1296" spans="1:20" ht="43.5" customHeight="1">
      <c r="A1296" s="19" t="s">
        <v>8390</v>
      </c>
      <c r="B1296" s="204" t="s">
        <v>2276</v>
      </c>
      <c r="C1296" s="204" t="s">
        <v>12</v>
      </c>
      <c r="D1296" s="4" t="s">
        <v>396</v>
      </c>
      <c r="E1296" s="4" t="s">
        <v>397</v>
      </c>
      <c r="F1296" s="204" t="s">
        <v>2276</v>
      </c>
      <c r="G1296" s="204" t="s">
        <v>2276</v>
      </c>
      <c r="H1296" s="204" t="s">
        <v>2276</v>
      </c>
      <c r="I1296" s="204" t="s">
        <v>2276</v>
      </c>
      <c r="J1296" s="204" t="s">
        <v>2276</v>
      </c>
      <c r="K1296" s="204" t="s">
        <v>2276</v>
      </c>
      <c r="L1296" s="204" t="s">
        <v>2276</v>
      </c>
      <c r="M1296" s="204" t="s">
        <v>2276</v>
      </c>
      <c r="N1296" s="204" t="s">
        <v>2276</v>
      </c>
      <c r="O1296" s="204" t="s">
        <v>2276</v>
      </c>
      <c r="P1296" s="204" t="s">
        <v>2276</v>
      </c>
      <c r="Q1296" s="204" t="s">
        <v>2276</v>
      </c>
      <c r="R1296" s="204" t="s">
        <v>2276</v>
      </c>
      <c r="S1296" s="204" t="s">
        <v>2276</v>
      </c>
      <c r="T1296" s="204"/>
    </row>
    <row r="1297" spans="1:20" ht="42" customHeight="1">
      <c r="A1297" s="19" t="s">
        <v>8416</v>
      </c>
      <c r="B1297" s="204" t="s">
        <v>2276</v>
      </c>
      <c r="C1297" s="204" t="s">
        <v>2645</v>
      </c>
      <c r="D1297" s="204" t="s">
        <v>84</v>
      </c>
      <c r="E1297" s="204" t="s">
        <v>2276</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204"/>
    </row>
    <row r="1298" spans="1:20" ht="37" customHeight="1">
      <c r="A1298" s="19" t="s">
        <v>8421</v>
      </c>
      <c r="B1298" s="204" t="s">
        <v>2276</v>
      </c>
      <c r="C1298" s="204" t="s">
        <v>2645</v>
      </c>
      <c r="D1298" s="204" t="s">
        <v>84</v>
      </c>
      <c r="E1298" s="204" t="s">
        <v>2276</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204"/>
    </row>
    <row r="1299" spans="1:20" ht="36.5" customHeight="1">
      <c r="A1299" s="19" t="s">
        <v>8425</v>
      </c>
      <c r="B1299" s="204" t="s">
        <v>2276</v>
      </c>
      <c r="C1299" s="204" t="s">
        <v>2645</v>
      </c>
      <c r="D1299" s="204" t="s">
        <v>84</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32.5" customHeight="1">
      <c r="A1300" s="151" t="s">
        <v>8434</v>
      </c>
      <c r="B1300" s="38" t="s">
        <v>2276</v>
      </c>
      <c r="C1300" s="38" t="s">
        <v>2645</v>
      </c>
      <c r="D1300" s="38" t="s">
        <v>84</v>
      </c>
      <c r="E1300" s="38" t="s">
        <v>2276</v>
      </c>
      <c r="F1300" s="38" t="s">
        <v>2276</v>
      </c>
      <c r="G1300" s="38" t="s">
        <v>2276</v>
      </c>
      <c r="H1300" s="38" t="s">
        <v>2276</v>
      </c>
      <c r="I1300" s="38" t="s">
        <v>2276</v>
      </c>
      <c r="J1300" s="38" t="s">
        <v>2276</v>
      </c>
      <c r="K1300" s="38" t="s">
        <v>2276</v>
      </c>
      <c r="L1300" s="38" t="s">
        <v>2276</v>
      </c>
      <c r="M1300" s="38" t="s">
        <v>2276</v>
      </c>
      <c r="N1300" s="38" t="s">
        <v>2276</v>
      </c>
      <c r="O1300" s="38" t="s">
        <v>2276</v>
      </c>
      <c r="P1300" s="38" t="s">
        <v>2276</v>
      </c>
      <c r="Q1300" s="38" t="s">
        <v>2276</v>
      </c>
      <c r="R1300" s="38" t="s">
        <v>2276</v>
      </c>
      <c r="S1300" s="38" t="s">
        <v>2276</v>
      </c>
      <c r="T1300" s="38"/>
    </row>
    <row r="1301" spans="1:20" ht="41" customHeight="1">
      <c r="A1301" s="19" t="s">
        <v>8439</v>
      </c>
      <c r="B1301" s="204" t="s">
        <v>2276</v>
      </c>
      <c r="C1301" s="204" t="s">
        <v>12</v>
      </c>
      <c r="D1301" s="4" t="s">
        <v>397</v>
      </c>
      <c r="E1301" s="4" t="s">
        <v>396</v>
      </c>
      <c r="F1301" s="4" t="s">
        <v>130</v>
      </c>
      <c r="G1301" s="204" t="s">
        <v>2276</v>
      </c>
      <c r="H1301" s="204" t="s">
        <v>2276</v>
      </c>
      <c r="I1301" s="204">
        <v>13</v>
      </c>
      <c r="J1301" s="204" t="s">
        <v>2276</v>
      </c>
      <c r="K1301" s="204" t="s">
        <v>2276</v>
      </c>
      <c r="L1301" s="204" t="s">
        <v>2276</v>
      </c>
      <c r="M1301" s="204" t="s">
        <v>2276</v>
      </c>
      <c r="N1301" s="204" t="s">
        <v>2276</v>
      </c>
      <c r="O1301" s="204" t="s">
        <v>2276</v>
      </c>
      <c r="P1301" s="204" t="s">
        <v>2276</v>
      </c>
      <c r="Q1301" s="204" t="s">
        <v>2276</v>
      </c>
      <c r="R1301" s="204" t="s">
        <v>2276</v>
      </c>
      <c r="S1301" s="204" t="s">
        <v>2276</v>
      </c>
      <c r="T1301" s="204"/>
    </row>
    <row r="1302" spans="1:20" ht="40" customHeight="1">
      <c r="A1302" s="19" t="s">
        <v>8451</v>
      </c>
      <c r="B1302" s="204" t="s">
        <v>2276</v>
      </c>
      <c r="C1302" s="204" t="s">
        <v>12</v>
      </c>
      <c r="D1302" s="4" t="s">
        <v>397</v>
      </c>
      <c r="E1302" s="204" t="s">
        <v>2276</v>
      </c>
      <c r="F1302" s="204" t="s">
        <v>2276</v>
      </c>
      <c r="G1302" s="204" t="s">
        <v>2276</v>
      </c>
      <c r="H1302" s="204" t="s">
        <v>2276</v>
      </c>
      <c r="I1302" s="204" t="s">
        <v>2276</v>
      </c>
      <c r="J1302" s="204" t="s">
        <v>2276</v>
      </c>
      <c r="K1302" s="204" t="s">
        <v>2276</v>
      </c>
      <c r="L1302" s="204" t="s">
        <v>2276</v>
      </c>
      <c r="M1302" s="204" t="s">
        <v>2276</v>
      </c>
      <c r="N1302" s="204" t="s">
        <v>2276</v>
      </c>
      <c r="O1302" s="204" t="s">
        <v>2276</v>
      </c>
      <c r="P1302" s="204" t="s">
        <v>2276</v>
      </c>
      <c r="Q1302" s="204" t="s">
        <v>2276</v>
      </c>
      <c r="R1302" s="204" t="s">
        <v>2276</v>
      </c>
      <c r="S1302" s="204" t="s">
        <v>2276</v>
      </c>
      <c r="T1302" s="204"/>
    </row>
    <row r="1303" spans="1:20" ht="34.5" customHeight="1">
      <c r="A1303" s="151" t="s">
        <v>8461</v>
      </c>
      <c r="B1303" s="38" t="s">
        <v>2276</v>
      </c>
      <c r="C1303" s="38" t="s">
        <v>12</v>
      </c>
      <c r="D1303" s="168" t="s">
        <v>396</v>
      </c>
      <c r="E1303" s="38" t="s">
        <v>2276</v>
      </c>
      <c r="F1303" s="38" t="s">
        <v>2276</v>
      </c>
      <c r="G1303" s="38" t="s">
        <v>2276</v>
      </c>
      <c r="H1303" s="38" t="s">
        <v>2276</v>
      </c>
      <c r="I1303" s="38" t="s">
        <v>2276</v>
      </c>
      <c r="J1303" s="38" t="s">
        <v>2276</v>
      </c>
      <c r="K1303" s="38" t="s">
        <v>2276</v>
      </c>
      <c r="L1303" s="38" t="s">
        <v>2276</v>
      </c>
      <c r="M1303" s="38" t="s">
        <v>2276</v>
      </c>
      <c r="N1303" s="4">
        <v>0</v>
      </c>
      <c r="O1303" s="4">
        <v>0</v>
      </c>
      <c r="P1303" s="73">
        <v>100</v>
      </c>
      <c r="Q1303" s="4">
        <v>0</v>
      </c>
      <c r="R1303" s="4">
        <v>0</v>
      </c>
      <c r="S1303" s="4">
        <v>0</v>
      </c>
      <c r="T1303" s="38"/>
    </row>
    <row r="1304" spans="1:20" ht="38" customHeight="1">
      <c r="A1304" s="55" t="s">
        <v>8465</v>
      </c>
      <c r="B1304" s="38" t="s">
        <v>2276</v>
      </c>
      <c r="C1304" s="38" t="s">
        <v>12</v>
      </c>
      <c r="D1304" s="168" t="s">
        <v>396</v>
      </c>
      <c r="E1304" s="38" t="s">
        <v>2276</v>
      </c>
      <c r="F1304" s="38" t="s">
        <v>2276</v>
      </c>
      <c r="G1304" s="38" t="s">
        <v>2276</v>
      </c>
      <c r="H1304" s="38" t="s">
        <v>2276</v>
      </c>
      <c r="I1304" s="38" t="s">
        <v>2276</v>
      </c>
      <c r="J1304" s="38" t="s">
        <v>2276</v>
      </c>
      <c r="K1304" s="38" t="s">
        <v>2276</v>
      </c>
      <c r="L1304" s="38" t="s">
        <v>2276</v>
      </c>
      <c r="M1304" s="38" t="s">
        <v>2276</v>
      </c>
      <c r="N1304" s="4">
        <v>0</v>
      </c>
      <c r="O1304" s="4">
        <v>0</v>
      </c>
      <c r="P1304" s="73">
        <v>100</v>
      </c>
      <c r="Q1304" s="4">
        <v>0</v>
      </c>
      <c r="R1304" s="4">
        <v>0</v>
      </c>
      <c r="S1304" s="4">
        <v>0</v>
      </c>
      <c r="T1304" s="38"/>
    </row>
    <row r="1305" spans="1:20" ht="40" customHeight="1">
      <c r="A1305" s="19" t="s">
        <v>8472</v>
      </c>
      <c r="B1305" s="204" t="s">
        <v>2276</v>
      </c>
      <c r="C1305" s="204" t="s">
        <v>2645</v>
      </c>
      <c r="D1305" s="204" t="s">
        <v>84</v>
      </c>
      <c r="E1305" s="4" t="s">
        <v>396</v>
      </c>
      <c r="F1305" s="204" t="s">
        <v>2276</v>
      </c>
      <c r="G1305" s="204" t="s">
        <v>2276</v>
      </c>
      <c r="H1305" s="204" t="s">
        <v>2276</v>
      </c>
      <c r="I1305" s="204" t="s">
        <v>2276</v>
      </c>
      <c r="J1305" s="204" t="s">
        <v>2276</v>
      </c>
      <c r="K1305" s="204" t="s">
        <v>2276</v>
      </c>
      <c r="L1305" s="204" t="s">
        <v>2276</v>
      </c>
      <c r="M1305" s="204" t="s">
        <v>2276</v>
      </c>
      <c r="N1305" s="4">
        <v>0</v>
      </c>
      <c r="O1305" s="4">
        <v>0</v>
      </c>
      <c r="P1305" s="21">
        <v>100</v>
      </c>
      <c r="Q1305" s="4">
        <v>0</v>
      </c>
      <c r="R1305" s="4">
        <v>0</v>
      </c>
      <c r="S1305" s="4">
        <v>0</v>
      </c>
      <c r="T1305" s="204"/>
    </row>
    <row r="1306" spans="1:20" ht="39" customHeight="1">
      <c r="A1306" s="19" t="s">
        <v>8474</v>
      </c>
      <c r="B1306" s="204" t="s">
        <v>2276</v>
      </c>
      <c r="C1306" s="204" t="s">
        <v>2276</v>
      </c>
      <c r="D1306" s="204" t="s">
        <v>2653</v>
      </c>
      <c r="E1306" s="204" t="s">
        <v>2276</v>
      </c>
      <c r="F1306" s="204" t="s">
        <v>2276</v>
      </c>
      <c r="G1306" s="204" t="s">
        <v>2276</v>
      </c>
      <c r="H1306" s="204" t="s">
        <v>2276</v>
      </c>
      <c r="I1306" s="204" t="s">
        <v>2276</v>
      </c>
      <c r="J1306" s="204" t="s">
        <v>2276</v>
      </c>
      <c r="K1306" s="204" t="s">
        <v>2276</v>
      </c>
      <c r="L1306" s="204" t="s">
        <v>2276</v>
      </c>
      <c r="M1306" s="204" t="s">
        <v>2276</v>
      </c>
      <c r="N1306" s="204" t="s">
        <v>2276</v>
      </c>
      <c r="O1306" s="204" t="s">
        <v>2276</v>
      </c>
      <c r="P1306" s="204" t="s">
        <v>2276</v>
      </c>
      <c r="Q1306" s="204" t="s">
        <v>2276</v>
      </c>
      <c r="R1306" s="204" t="s">
        <v>2276</v>
      </c>
      <c r="S1306" s="204" t="s">
        <v>2276</v>
      </c>
      <c r="T1306" s="204"/>
    </row>
    <row r="1307" spans="1:20" ht="29">
      <c r="A1307" s="19" t="s">
        <v>8475</v>
      </c>
      <c r="B1307" s="204" t="s">
        <v>2276</v>
      </c>
      <c r="C1307" s="204" t="s">
        <v>2645</v>
      </c>
      <c r="D1307" s="204" t="s">
        <v>84</v>
      </c>
      <c r="E1307" s="4" t="s">
        <v>396</v>
      </c>
      <c r="F1307" s="204" t="s">
        <v>2276</v>
      </c>
      <c r="G1307" s="204" t="s">
        <v>2276</v>
      </c>
      <c r="H1307" s="204" t="s">
        <v>2276</v>
      </c>
      <c r="I1307" s="204" t="s">
        <v>2276</v>
      </c>
      <c r="J1307" s="204" t="s">
        <v>2276</v>
      </c>
      <c r="K1307" s="204" t="s">
        <v>2276</v>
      </c>
      <c r="L1307" s="204" t="s">
        <v>2276</v>
      </c>
      <c r="M1307" s="204" t="s">
        <v>2276</v>
      </c>
      <c r="N1307" s="4">
        <v>0</v>
      </c>
      <c r="O1307" s="4">
        <v>0</v>
      </c>
      <c r="P1307" s="21">
        <v>100</v>
      </c>
      <c r="Q1307" s="4">
        <v>0</v>
      </c>
      <c r="R1307" s="4">
        <v>0</v>
      </c>
      <c r="S1307" s="4">
        <v>0</v>
      </c>
      <c r="T1307" s="204"/>
    </row>
    <row r="1308" spans="1:20" ht="29">
      <c r="A1308" s="19" t="s">
        <v>8476</v>
      </c>
      <c r="B1308" s="204" t="s">
        <v>2276</v>
      </c>
      <c r="C1308" s="204" t="s">
        <v>2645</v>
      </c>
      <c r="D1308" s="204" t="s">
        <v>84</v>
      </c>
      <c r="E1308" s="4" t="s">
        <v>396</v>
      </c>
      <c r="F1308" s="204" t="s">
        <v>2276</v>
      </c>
      <c r="G1308" s="204" t="s">
        <v>2276</v>
      </c>
      <c r="H1308" s="204" t="s">
        <v>2276</v>
      </c>
      <c r="I1308" s="204" t="s">
        <v>2276</v>
      </c>
      <c r="J1308" s="204" t="s">
        <v>2276</v>
      </c>
      <c r="K1308" s="204" t="s">
        <v>2276</v>
      </c>
      <c r="L1308" s="204" t="s">
        <v>2276</v>
      </c>
      <c r="M1308" s="204" t="s">
        <v>2276</v>
      </c>
      <c r="N1308" s="4">
        <v>0</v>
      </c>
      <c r="O1308" s="4">
        <v>0</v>
      </c>
      <c r="P1308" s="21">
        <v>100</v>
      </c>
      <c r="Q1308" s="4">
        <v>0</v>
      </c>
      <c r="R1308" s="4">
        <v>0</v>
      </c>
      <c r="S1308" s="4">
        <v>0</v>
      </c>
      <c r="T1308" s="204"/>
    </row>
    <row r="1309" spans="1:20" ht="29">
      <c r="A1309" s="19" t="s">
        <v>8477</v>
      </c>
      <c r="B1309" s="204" t="s">
        <v>2276</v>
      </c>
      <c r="C1309" s="204" t="s">
        <v>2645</v>
      </c>
      <c r="D1309" s="204" t="s">
        <v>84</v>
      </c>
      <c r="E1309" s="4" t="s">
        <v>396</v>
      </c>
      <c r="F1309" s="204" t="s">
        <v>2276</v>
      </c>
      <c r="G1309" s="204" t="s">
        <v>2276</v>
      </c>
      <c r="H1309" s="204" t="s">
        <v>2276</v>
      </c>
      <c r="I1309" s="204" t="s">
        <v>2276</v>
      </c>
      <c r="J1309" s="204" t="s">
        <v>2276</v>
      </c>
      <c r="K1309" s="204" t="s">
        <v>2276</v>
      </c>
      <c r="L1309" s="204" t="s">
        <v>2276</v>
      </c>
      <c r="M1309" s="204" t="s">
        <v>2276</v>
      </c>
      <c r="N1309" s="4">
        <v>0</v>
      </c>
      <c r="O1309" s="4">
        <v>0</v>
      </c>
      <c r="P1309" s="21">
        <v>100</v>
      </c>
      <c r="Q1309" s="4">
        <v>0</v>
      </c>
      <c r="R1309" s="4">
        <v>0</v>
      </c>
      <c r="S1309" s="4">
        <v>0</v>
      </c>
      <c r="T1309" s="204"/>
    </row>
    <row r="1310" spans="1:20" ht="29">
      <c r="A1310" s="19" t="s">
        <v>8478</v>
      </c>
      <c r="B1310" s="204" t="s">
        <v>2276</v>
      </c>
      <c r="C1310" s="204" t="s">
        <v>2645</v>
      </c>
      <c r="D1310" s="204" t="s">
        <v>84</v>
      </c>
      <c r="E1310" s="4" t="s">
        <v>396</v>
      </c>
      <c r="F1310" s="204" t="s">
        <v>2276</v>
      </c>
      <c r="G1310" s="204" t="s">
        <v>2276</v>
      </c>
      <c r="H1310" s="204" t="s">
        <v>2276</v>
      </c>
      <c r="I1310" s="204" t="s">
        <v>2276</v>
      </c>
      <c r="J1310" s="204" t="s">
        <v>2276</v>
      </c>
      <c r="K1310" s="204" t="s">
        <v>2276</v>
      </c>
      <c r="L1310" s="204" t="s">
        <v>2276</v>
      </c>
      <c r="M1310" s="204" t="s">
        <v>2276</v>
      </c>
      <c r="N1310" s="4">
        <v>0</v>
      </c>
      <c r="O1310" s="4">
        <v>0</v>
      </c>
      <c r="P1310" s="21">
        <v>100</v>
      </c>
      <c r="Q1310" s="4">
        <v>0</v>
      </c>
      <c r="R1310" s="4">
        <v>0</v>
      </c>
      <c r="S1310" s="4">
        <v>0</v>
      </c>
      <c r="T1310" s="204"/>
    </row>
    <row r="1311" spans="1:20" ht="29">
      <c r="A1311" s="19" t="s">
        <v>8479</v>
      </c>
      <c r="B1311" s="204" t="s">
        <v>2276</v>
      </c>
      <c r="C1311" s="204" t="s">
        <v>2645</v>
      </c>
      <c r="D1311" s="204" t="s">
        <v>84</v>
      </c>
      <c r="E1311" s="4" t="s">
        <v>396</v>
      </c>
      <c r="F1311" s="204" t="s">
        <v>2276</v>
      </c>
      <c r="G1311" s="204" t="s">
        <v>2276</v>
      </c>
      <c r="H1311" s="204" t="s">
        <v>2276</v>
      </c>
      <c r="I1311" s="204" t="s">
        <v>2276</v>
      </c>
      <c r="J1311" s="204" t="s">
        <v>2276</v>
      </c>
      <c r="K1311" s="204" t="s">
        <v>2276</v>
      </c>
      <c r="L1311" s="204" t="s">
        <v>2276</v>
      </c>
      <c r="M1311" s="204" t="s">
        <v>2276</v>
      </c>
      <c r="N1311" s="4">
        <v>0</v>
      </c>
      <c r="O1311" s="4">
        <v>0</v>
      </c>
      <c r="P1311" s="21">
        <v>100</v>
      </c>
      <c r="Q1311" s="4">
        <v>0</v>
      </c>
      <c r="R1311" s="4">
        <v>0</v>
      </c>
      <c r="S1311" s="4">
        <v>0</v>
      </c>
      <c r="T1311" s="204"/>
    </row>
    <row r="1312" spans="1:20" ht="29">
      <c r="A1312" s="19" t="s">
        <v>8480</v>
      </c>
      <c r="B1312" s="204" t="s">
        <v>2276</v>
      </c>
      <c r="C1312" s="204" t="s">
        <v>2645</v>
      </c>
      <c r="D1312" s="204" t="s">
        <v>84</v>
      </c>
      <c r="E1312" s="4" t="s">
        <v>396</v>
      </c>
      <c r="F1312" s="204" t="s">
        <v>2276</v>
      </c>
      <c r="G1312" s="204" t="s">
        <v>2276</v>
      </c>
      <c r="H1312" s="204" t="s">
        <v>2276</v>
      </c>
      <c r="I1312" s="204" t="s">
        <v>2276</v>
      </c>
      <c r="J1312" s="204" t="s">
        <v>2276</v>
      </c>
      <c r="K1312" s="204" t="s">
        <v>2276</v>
      </c>
      <c r="L1312" s="204" t="s">
        <v>2276</v>
      </c>
      <c r="M1312" s="204" t="s">
        <v>2276</v>
      </c>
      <c r="N1312" s="4">
        <v>0</v>
      </c>
      <c r="O1312" s="4">
        <v>0</v>
      </c>
      <c r="P1312" s="21">
        <v>100</v>
      </c>
      <c r="Q1312" s="4">
        <v>0</v>
      </c>
      <c r="R1312" s="4">
        <v>0</v>
      </c>
      <c r="S1312" s="4">
        <v>0</v>
      </c>
      <c r="T1312" s="204"/>
    </row>
    <row r="1313" spans="1:20" ht="29">
      <c r="A1313" s="19" t="s">
        <v>8481</v>
      </c>
      <c r="B1313" s="204" t="s">
        <v>2276</v>
      </c>
      <c r="C1313" s="204" t="s">
        <v>2645</v>
      </c>
      <c r="D1313" s="204" t="s">
        <v>84</v>
      </c>
      <c r="E1313" s="4" t="s">
        <v>396</v>
      </c>
      <c r="F1313" s="204" t="s">
        <v>2276</v>
      </c>
      <c r="G1313" s="204" t="s">
        <v>2276</v>
      </c>
      <c r="H1313" s="204" t="s">
        <v>2276</v>
      </c>
      <c r="I1313" s="204" t="s">
        <v>2276</v>
      </c>
      <c r="J1313" s="204" t="s">
        <v>2276</v>
      </c>
      <c r="K1313" s="204" t="s">
        <v>2276</v>
      </c>
      <c r="L1313" s="204" t="s">
        <v>2276</v>
      </c>
      <c r="M1313" s="204" t="s">
        <v>2276</v>
      </c>
      <c r="N1313" s="4">
        <v>0</v>
      </c>
      <c r="O1313" s="4">
        <v>0</v>
      </c>
      <c r="P1313" s="21">
        <v>100</v>
      </c>
      <c r="Q1313" s="4">
        <v>0</v>
      </c>
      <c r="R1313" s="4">
        <v>0</v>
      </c>
      <c r="S1313" s="4">
        <v>0</v>
      </c>
      <c r="T1313" s="204"/>
    </row>
    <row r="1314" spans="1:20" ht="42.5" customHeight="1">
      <c r="A1314" s="19" t="s">
        <v>8482</v>
      </c>
      <c r="B1314" s="204" t="s">
        <v>2276</v>
      </c>
      <c r="C1314" s="204" t="s">
        <v>2276</v>
      </c>
      <c r="D1314" s="204" t="s">
        <v>2653</v>
      </c>
      <c r="E1314" s="204" t="s">
        <v>2276</v>
      </c>
      <c r="F1314" s="204" t="s">
        <v>2276</v>
      </c>
      <c r="G1314" s="204" t="s">
        <v>2276</v>
      </c>
      <c r="H1314" s="204" t="s">
        <v>2276</v>
      </c>
      <c r="I1314" s="204" t="s">
        <v>2276</v>
      </c>
      <c r="J1314" s="204" t="s">
        <v>2276</v>
      </c>
      <c r="K1314" s="204" t="s">
        <v>2276</v>
      </c>
      <c r="L1314" s="204" t="s">
        <v>2276</v>
      </c>
      <c r="M1314" s="204" t="s">
        <v>2276</v>
      </c>
      <c r="N1314" s="204" t="s">
        <v>2276</v>
      </c>
      <c r="O1314" s="204" t="s">
        <v>2276</v>
      </c>
      <c r="P1314" s="204" t="s">
        <v>2276</v>
      </c>
      <c r="Q1314" s="204" t="s">
        <v>2276</v>
      </c>
      <c r="R1314" s="204" t="s">
        <v>2276</v>
      </c>
      <c r="S1314" s="204" t="s">
        <v>2276</v>
      </c>
      <c r="T1314" s="204"/>
    </row>
    <row r="1315" spans="1:20" ht="29">
      <c r="A1315" s="19" t="s">
        <v>8483</v>
      </c>
      <c r="B1315" s="204" t="s">
        <v>2276</v>
      </c>
      <c r="C1315" s="204" t="s">
        <v>2645</v>
      </c>
      <c r="D1315" s="204" t="s">
        <v>84</v>
      </c>
      <c r="E1315" s="4" t="s">
        <v>396</v>
      </c>
      <c r="F1315" s="204" t="s">
        <v>2276</v>
      </c>
      <c r="G1315" s="204" t="s">
        <v>2276</v>
      </c>
      <c r="H1315" s="204" t="s">
        <v>2276</v>
      </c>
      <c r="I1315" s="204" t="s">
        <v>2276</v>
      </c>
      <c r="J1315" s="204" t="s">
        <v>2276</v>
      </c>
      <c r="K1315" s="204" t="s">
        <v>2276</v>
      </c>
      <c r="L1315" s="204" t="s">
        <v>2276</v>
      </c>
      <c r="M1315" s="204" t="s">
        <v>2276</v>
      </c>
      <c r="N1315" s="4">
        <v>0</v>
      </c>
      <c r="O1315" s="4">
        <v>0</v>
      </c>
      <c r="P1315" s="21">
        <v>100</v>
      </c>
      <c r="Q1315" s="4">
        <v>0</v>
      </c>
      <c r="R1315" s="4">
        <v>0</v>
      </c>
      <c r="S1315" s="4">
        <v>0</v>
      </c>
      <c r="T1315" s="204"/>
    </row>
    <row r="1316" spans="1:20" ht="29">
      <c r="A1316" s="19" t="s">
        <v>8484</v>
      </c>
      <c r="B1316" s="204" t="s">
        <v>2276</v>
      </c>
      <c r="C1316" s="204" t="s">
        <v>2645</v>
      </c>
      <c r="D1316" s="204" t="s">
        <v>84</v>
      </c>
      <c r="E1316" s="4" t="s">
        <v>396</v>
      </c>
      <c r="F1316" s="204" t="s">
        <v>2276</v>
      </c>
      <c r="G1316" s="204" t="s">
        <v>2276</v>
      </c>
      <c r="H1316" s="204" t="s">
        <v>2276</v>
      </c>
      <c r="I1316" s="204" t="s">
        <v>2276</v>
      </c>
      <c r="J1316" s="204" t="s">
        <v>2276</v>
      </c>
      <c r="K1316" s="204" t="s">
        <v>2276</v>
      </c>
      <c r="L1316" s="204" t="s">
        <v>2276</v>
      </c>
      <c r="M1316" s="204" t="s">
        <v>2276</v>
      </c>
      <c r="N1316" s="4">
        <v>0</v>
      </c>
      <c r="O1316" s="4">
        <v>0</v>
      </c>
      <c r="P1316" s="21">
        <v>100</v>
      </c>
      <c r="Q1316" s="4">
        <v>0</v>
      </c>
      <c r="R1316" s="4">
        <v>0</v>
      </c>
      <c r="S1316" s="4">
        <v>0</v>
      </c>
      <c r="T1316" s="204"/>
    </row>
    <row r="1317" spans="1:20" ht="31" customHeight="1">
      <c r="A1317" s="19" t="s">
        <v>8485</v>
      </c>
      <c r="B1317" s="204" t="s">
        <v>2276</v>
      </c>
      <c r="C1317" s="204" t="s">
        <v>2276</v>
      </c>
      <c r="D1317" s="204" t="s">
        <v>2653</v>
      </c>
      <c r="E1317" s="204" t="s">
        <v>2276</v>
      </c>
      <c r="F1317" s="204" t="s">
        <v>2276</v>
      </c>
      <c r="G1317" s="204" t="s">
        <v>2276</v>
      </c>
      <c r="H1317" s="204" t="s">
        <v>2276</v>
      </c>
      <c r="I1317" s="204" t="s">
        <v>2276</v>
      </c>
      <c r="J1317" s="204" t="s">
        <v>2276</v>
      </c>
      <c r="K1317" s="204" t="s">
        <v>2276</v>
      </c>
      <c r="L1317" s="204" t="s">
        <v>2276</v>
      </c>
      <c r="M1317" s="204" t="s">
        <v>2276</v>
      </c>
      <c r="N1317" s="204" t="s">
        <v>2276</v>
      </c>
      <c r="O1317" s="204" t="s">
        <v>2276</v>
      </c>
      <c r="P1317" s="204" t="s">
        <v>2276</v>
      </c>
      <c r="Q1317" s="204" t="s">
        <v>2276</v>
      </c>
      <c r="R1317" s="204" t="s">
        <v>2276</v>
      </c>
      <c r="S1317" s="204" t="s">
        <v>2276</v>
      </c>
      <c r="T1317" s="204"/>
    </row>
    <row r="1318" spans="1:20" ht="31" customHeight="1">
      <c r="A1318" s="19" t="s">
        <v>8486</v>
      </c>
      <c r="B1318" s="204" t="s">
        <v>2276</v>
      </c>
      <c r="C1318" s="204" t="s">
        <v>2276</v>
      </c>
      <c r="D1318" s="204" t="s">
        <v>2653</v>
      </c>
      <c r="E1318" s="204" t="s">
        <v>2276</v>
      </c>
      <c r="F1318" s="204" t="s">
        <v>2276</v>
      </c>
      <c r="G1318" s="204" t="s">
        <v>2276</v>
      </c>
      <c r="H1318" s="204" t="s">
        <v>2276</v>
      </c>
      <c r="I1318" s="204" t="s">
        <v>2276</v>
      </c>
      <c r="J1318" s="204" t="s">
        <v>2276</v>
      </c>
      <c r="K1318" s="204" t="s">
        <v>2276</v>
      </c>
      <c r="L1318" s="204" t="s">
        <v>2276</v>
      </c>
      <c r="M1318" s="204" t="s">
        <v>2276</v>
      </c>
      <c r="N1318" s="204" t="s">
        <v>2276</v>
      </c>
      <c r="O1318" s="204" t="s">
        <v>2276</v>
      </c>
      <c r="P1318" s="204" t="s">
        <v>2276</v>
      </c>
      <c r="Q1318" s="204" t="s">
        <v>2276</v>
      </c>
      <c r="R1318" s="204" t="s">
        <v>2276</v>
      </c>
      <c r="S1318" s="204" t="s">
        <v>2276</v>
      </c>
      <c r="T1318" s="204"/>
    </row>
    <row r="1319" spans="1:20" ht="29">
      <c r="A1319" s="19" t="s">
        <v>8487</v>
      </c>
      <c r="B1319" s="204" t="s">
        <v>2276</v>
      </c>
      <c r="C1319" s="204" t="s">
        <v>2645</v>
      </c>
      <c r="D1319" s="204" t="s">
        <v>84</v>
      </c>
      <c r="E1319" s="4" t="s">
        <v>396</v>
      </c>
      <c r="F1319" s="204" t="s">
        <v>2276</v>
      </c>
      <c r="G1319" s="204" t="s">
        <v>2276</v>
      </c>
      <c r="H1319" s="204" t="s">
        <v>2276</v>
      </c>
      <c r="I1319" s="204" t="s">
        <v>2276</v>
      </c>
      <c r="J1319" s="204" t="s">
        <v>2276</v>
      </c>
      <c r="K1319" s="204" t="s">
        <v>2276</v>
      </c>
      <c r="L1319" s="204" t="s">
        <v>2276</v>
      </c>
      <c r="M1319" s="204" t="s">
        <v>2276</v>
      </c>
      <c r="N1319" s="4">
        <v>0</v>
      </c>
      <c r="O1319" s="4">
        <v>0</v>
      </c>
      <c r="P1319" s="21">
        <v>100</v>
      </c>
      <c r="Q1319" s="4">
        <v>0</v>
      </c>
      <c r="R1319" s="4">
        <v>0</v>
      </c>
      <c r="S1319" s="4">
        <v>0</v>
      </c>
      <c r="T1319" s="204"/>
    </row>
    <row r="1320" spans="1:20" ht="40" customHeight="1">
      <c r="A1320" s="19" t="s">
        <v>8488</v>
      </c>
      <c r="B1320" s="204" t="s">
        <v>2276</v>
      </c>
      <c r="C1320" s="204" t="s">
        <v>2645</v>
      </c>
      <c r="D1320" s="204" t="s">
        <v>84</v>
      </c>
      <c r="E1320" s="4" t="s">
        <v>396</v>
      </c>
      <c r="F1320" s="204" t="s">
        <v>2276</v>
      </c>
      <c r="G1320" s="204" t="s">
        <v>2276</v>
      </c>
      <c r="H1320" s="204" t="s">
        <v>2276</v>
      </c>
      <c r="I1320" s="204" t="s">
        <v>2276</v>
      </c>
      <c r="J1320" s="204" t="s">
        <v>2276</v>
      </c>
      <c r="K1320" s="204" t="s">
        <v>2276</v>
      </c>
      <c r="L1320" s="204" t="s">
        <v>2276</v>
      </c>
      <c r="M1320" s="204" t="s">
        <v>2276</v>
      </c>
      <c r="N1320" s="4">
        <v>0</v>
      </c>
      <c r="O1320" s="4">
        <v>0</v>
      </c>
      <c r="P1320" s="21">
        <v>100</v>
      </c>
      <c r="Q1320" s="4">
        <v>0</v>
      </c>
      <c r="R1320" s="4">
        <v>0</v>
      </c>
      <c r="S1320" s="4">
        <v>0</v>
      </c>
      <c r="T1320" s="204"/>
    </row>
    <row r="1321" spans="1:20" ht="44.5" customHeight="1">
      <c r="A1321" s="19" t="s">
        <v>8527</v>
      </c>
      <c r="B1321" s="204" t="s">
        <v>2276</v>
      </c>
      <c r="C1321" s="204" t="s">
        <v>12</v>
      </c>
      <c r="D1321" s="4" t="s">
        <v>397</v>
      </c>
      <c r="E1321" s="4" t="s">
        <v>396</v>
      </c>
      <c r="F1321" s="204" t="s">
        <v>2276</v>
      </c>
      <c r="G1321" s="204" t="s">
        <v>2276</v>
      </c>
      <c r="H1321" s="204" t="s">
        <v>2276</v>
      </c>
      <c r="I1321" s="204" t="s">
        <v>2276</v>
      </c>
      <c r="J1321" s="204" t="s">
        <v>2276</v>
      </c>
      <c r="K1321" s="204" t="s">
        <v>2276</v>
      </c>
      <c r="L1321" s="204" t="s">
        <v>2276</v>
      </c>
      <c r="M1321" s="204" t="s">
        <v>2276</v>
      </c>
      <c r="N1321" s="4">
        <v>0</v>
      </c>
      <c r="O1321" s="4">
        <v>0</v>
      </c>
      <c r="P1321" s="21">
        <v>100</v>
      </c>
      <c r="Q1321" s="4">
        <v>0</v>
      </c>
      <c r="R1321" s="4">
        <v>0</v>
      </c>
      <c r="S1321" s="4">
        <v>0</v>
      </c>
      <c r="T1321" s="204"/>
    </row>
    <row r="1322" spans="1:20" ht="44" customHeight="1">
      <c r="A1322" s="19" t="s">
        <v>8537</v>
      </c>
      <c r="B1322" s="204" t="s">
        <v>2276</v>
      </c>
      <c r="C1322" s="204" t="s">
        <v>2645</v>
      </c>
      <c r="D1322" s="4" t="s">
        <v>84</v>
      </c>
      <c r="E1322" s="4" t="s">
        <v>396</v>
      </c>
      <c r="F1322" s="204" t="s">
        <v>2276</v>
      </c>
      <c r="G1322" s="204" t="s">
        <v>2276</v>
      </c>
      <c r="H1322" s="204" t="s">
        <v>2276</v>
      </c>
      <c r="I1322" s="204" t="s">
        <v>2276</v>
      </c>
      <c r="J1322" s="204" t="s">
        <v>2276</v>
      </c>
      <c r="K1322" s="204" t="s">
        <v>2276</v>
      </c>
      <c r="L1322" s="204" t="s">
        <v>2276</v>
      </c>
      <c r="M1322" s="204" t="s">
        <v>2276</v>
      </c>
      <c r="N1322" s="204" t="s">
        <v>2276</v>
      </c>
      <c r="O1322" s="204" t="s">
        <v>2276</v>
      </c>
      <c r="P1322" s="204" t="s">
        <v>2276</v>
      </c>
      <c r="Q1322" s="204" t="s">
        <v>2276</v>
      </c>
      <c r="R1322" s="204" t="s">
        <v>2276</v>
      </c>
      <c r="S1322" s="204" t="s">
        <v>2276</v>
      </c>
      <c r="T1322" s="204"/>
    </row>
    <row r="1323" spans="1:20" ht="44" customHeight="1">
      <c r="A1323" s="53" t="s">
        <v>8540</v>
      </c>
      <c r="B1323" s="204" t="s">
        <v>2276</v>
      </c>
      <c r="C1323" s="204" t="s">
        <v>2645</v>
      </c>
      <c r="D1323" s="4" t="s">
        <v>84</v>
      </c>
      <c r="E1323" s="204" t="s">
        <v>2276</v>
      </c>
      <c r="F1323" s="204" t="s">
        <v>2276</v>
      </c>
      <c r="G1323" s="204" t="s">
        <v>2276</v>
      </c>
      <c r="H1323" s="204" t="s">
        <v>2276</v>
      </c>
      <c r="I1323" s="204" t="s">
        <v>2276</v>
      </c>
      <c r="J1323" s="204" t="s">
        <v>2276</v>
      </c>
      <c r="K1323" s="204" t="s">
        <v>2276</v>
      </c>
      <c r="L1323" s="204" t="s">
        <v>2276</v>
      </c>
      <c r="M1323" s="204" t="s">
        <v>2276</v>
      </c>
      <c r="N1323" s="204" t="s">
        <v>2276</v>
      </c>
      <c r="O1323" s="204" t="s">
        <v>2276</v>
      </c>
      <c r="P1323" s="204" t="s">
        <v>2276</v>
      </c>
      <c r="Q1323" s="204" t="s">
        <v>2276</v>
      </c>
      <c r="R1323" s="204" t="s">
        <v>2276</v>
      </c>
      <c r="S1323" s="204" t="s">
        <v>2276</v>
      </c>
      <c r="T1323" s="204"/>
    </row>
    <row r="1324" spans="1:20" ht="44" customHeight="1">
      <c r="A1324" s="19" t="s">
        <v>8541</v>
      </c>
      <c r="B1324" s="204" t="s">
        <v>2276</v>
      </c>
      <c r="C1324" s="204" t="s">
        <v>2645</v>
      </c>
      <c r="D1324" s="4" t="s">
        <v>84</v>
      </c>
      <c r="E1324" s="204" t="s">
        <v>2276</v>
      </c>
      <c r="F1324" s="204" t="s">
        <v>2276</v>
      </c>
      <c r="G1324" s="204" t="s">
        <v>2276</v>
      </c>
      <c r="H1324" s="204" t="s">
        <v>2276</v>
      </c>
      <c r="I1324" s="204" t="s">
        <v>2276</v>
      </c>
      <c r="J1324" s="204" t="s">
        <v>2276</v>
      </c>
      <c r="K1324" s="204" t="s">
        <v>2276</v>
      </c>
      <c r="L1324" s="204" t="s">
        <v>2276</v>
      </c>
      <c r="M1324" s="204" t="s">
        <v>2276</v>
      </c>
      <c r="N1324" s="204" t="s">
        <v>2276</v>
      </c>
      <c r="O1324" s="204" t="s">
        <v>2276</v>
      </c>
      <c r="P1324" s="204" t="s">
        <v>2276</v>
      </c>
      <c r="Q1324" s="204" t="s">
        <v>2276</v>
      </c>
      <c r="R1324" s="204" t="s">
        <v>2276</v>
      </c>
      <c r="S1324" s="204" t="s">
        <v>2276</v>
      </c>
      <c r="T1324" s="204"/>
    </row>
    <row r="1325" spans="1:20" ht="36.5" customHeight="1">
      <c r="A1325" s="19" t="s">
        <v>8550</v>
      </c>
      <c r="B1325" s="204" t="s">
        <v>2276</v>
      </c>
      <c r="C1325" s="204" t="s">
        <v>2645</v>
      </c>
      <c r="D1325" s="4" t="s">
        <v>396</v>
      </c>
      <c r="E1325" s="4" t="s">
        <v>84</v>
      </c>
      <c r="F1325" s="204" t="s">
        <v>2276</v>
      </c>
      <c r="G1325" s="204" t="s">
        <v>2276</v>
      </c>
      <c r="H1325" s="204" t="s">
        <v>2276</v>
      </c>
      <c r="I1325" s="204" t="s">
        <v>2276</v>
      </c>
      <c r="J1325" s="204" t="s">
        <v>2276</v>
      </c>
      <c r="K1325" s="204" t="s">
        <v>2276</v>
      </c>
      <c r="L1325" s="204" t="s">
        <v>2276</v>
      </c>
      <c r="M1325" s="204" t="s">
        <v>2276</v>
      </c>
      <c r="N1325" s="204" t="s">
        <v>2276</v>
      </c>
      <c r="O1325" s="204" t="s">
        <v>2276</v>
      </c>
      <c r="P1325" s="204" t="s">
        <v>2276</v>
      </c>
      <c r="Q1325" s="204" t="s">
        <v>2276</v>
      </c>
      <c r="R1325" s="204" t="s">
        <v>2276</v>
      </c>
      <c r="S1325" s="204" t="s">
        <v>2276</v>
      </c>
      <c r="T1325" s="204"/>
    </row>
    <row r="1326" spans="1:20" ht="28" customHeight="1">
      <c r="A1326" s="19" t="s">
        <v>8555</v>
      </c>
      <c r="B1326" s="204" t="s">
        <v>2276</v>
      </c>
      <c r="C1326" s="204" t="s">
        <v>2276</v>
      </c>
      <c r="D1326" s="204" t="s">
        <v>2653</v>
      </c>
      <c r="E1326" s="204" t="s">
        <v>2276</v>
      </c>
      <c r="F1326" s="204" t="s">
        <v>2276</v>
      </c>
      <c r="G1326" s="204" t="s">
        <v>2276</v>
      </c>
      <c r="H1326" s="204" t="s">
        <v>2276</v>
      </c>
      <c r="I1326" s="204" t="s">
        <v>2276</v>
      </c>
      <c r="J1326" s="204" t="s">
        <v>2276</v>
      </c>
      <c r="K1326" s="204" t="s">
        <v>2276</v>
      </c>
      <c r="L1326" s="204" t="s">
        <v>2276</v>
      </c>
      <c r="M1326" s="204" t="s">
        <v>2276</v>
      </c>
      <c r="N1326" s="204" t="s">
        <v>2276</v>
      </c>
      <c r="O1326" s="204" t="s">
        <v>2276</v>
      </c>
      <c r="P1326" s="204" t="s">
        <v>2276</v>
      </c>
      <c r="Q1326" s="204" t="s">
        <v>2276</v>
      </c>
      <c r="R1326" s="204" t="s">
        <v>2276</v>
      </c>
      <c r="S1326" s="204" t="s">
        <v>2276</v>
      </c>
      <c r="T1326" s="204"/>
    </row>
    <row r="1327" spans="1:20" ht="28" customHeight="1">
      <c r="A1327" s="19" t="s">
        <v>8556</v>
      </c>
      <c r="B1327" s="204" t="s">
        <v>2276</v>
      </c>
      <c r="C1327" s="204" t="s">
        <v>2276</v>
      </c>
      <c r="D1327" s="4" t="s">
        <v>396</v>
      </c>
      <c r="E1327" s="204" t="s">
        <v>2276</v>
      </c>
      <c r="F1327" s="204" t="s">
        <v>2276</v>
      </c>
      <c r="G1327" s="204" t="s">
        <v>2276</v>
      </c>
      <c r="H1327" s="204" t="s">
        <v>2276</v>
      </c>
      <c r="I1327" s="204" t="s">
        <v>2276</v>
      </c>
      <c r="J1327" s="204" t="s">
        <v>2276</v>
      </c>
      <c r="K1327" s="204" t="s">
        <v>2276</v>
      </c>
      <c r="L1327" s="204" t="s">
        <v>2276</v>
      </c>
      <c r="M1327" s="204" t="s">
        <v>2276</v>
      </c>
      <c r="N1327" s="204" t="s">
        <v>2276</v>
      </c>
      <c r="O1327" s="204" t="s">
        <v>2276</v>
      </c>
      <c r="P1327" s="204" t="s">
        <v>2276</v>
      </c>
      <c r="Q1327" s="204" t="s">
        <v>2276</v>
      </c>
      <c r="R1327" s="204" t="s">
        <v>2276</v>
      </c>
      <c r="S1327" s="204" t="s">
        <v>2276</v>
      </c>
      <c r="T1327" s="204"/>
    </row>
    <row r="1328" spans="1:20" ht="28" customHeight="1">
      <c r="A1328" s="19" t="s">
        <v>8557</v>
      </c>
      <c r="B1328" s="204" t="s">
        <v>2276</v>
      </c>
      <c r="C1328" s="204" t="s">
        <v>2276</v>
      </c>
      <c r="D1328" s="4" t="s">
        <v>396</v>
      </c>
      <c r="E1328" s="204" t="s">
        <v>2276</v>
      </c>
      <c r="F1328" s="204" t="s">
        <v>2276</v>
      </c>
      <c r="G1328" s="204" t="s">
        <v>2276</v>
      </c>
      <c r="H1328" s="204" t="s">
        <v>2276</v>
      </c>
      <c r="I1328" s="204" t="s">
        <v>2276</v>
      </c>
      <c r="J1328" s="204" t="s">
        <v>2276</v>
      </c>
      <c r="K1328" s="204" t="s">
        <v>2276</v>
      </c>
      <c r="L1328" s="204" t="s">
        <v>2276</v>
      </c>
      <c r="M1328" s="204" t="s">
        <v>2276</v>
      </c>
      <c r="N1328" s="204" t="s">
        <v>2276</v>
      </c>
      <c r="O1328" s="204" t="s">
        <v>2276</v>
      </c>
      <c r="P1328" s="204" t="s">
        <v>2276</v>
      </c>
      <c r="Q1328" s="204" t="s">
        <v>2276</v>
      </c>
      <c r="R1328" s="204" t="s">
        <v>2276</v>
      </c>
      <c r="S1328" s="204" t="s">
        <v>2276</v>
      </c>
      <c r="T1328" s="204"/>
    </row>
    <row r="1329" spans="1:20" ht="35.5" customHeight="1">
      <c r="A1329" s="204" t="s">
        <v>8571</v>
      </c>
      <c r="B1329" s="204" t="s">
        <v>2276</v>
      </c>
      <c r="C1329" s="204" t="s">
        <v>12</v>
      </c>
      <c r="D1329" s="4" t="s">
        <v>396</v>
      </c>
      <c r="E1329" s="4" t="s">
        <v>397</v>
      </c>
      <c r="F1329" s="204" t="s">
        <v>2276</v>
      </c>
      <c r="G1329" s="204" t="s">
        <v>2276</v>
      </c>
      <c r="H1329" s="204" t="s">
        <v>2276</v>
      </c>
      <c r="I1329" s="204" t="s">
        <v>2276</v>
      </c>
      <c r="J1329" s="204" t="s">
        <v>2276</v>
      </c>
      <c r="K1329" s="204" t="s">
        <v>2276</v>
      </c>
      <c r="L1329" s="204" t="s">
        <v>2276</v>
      </c>
      <c r="M1329" s="204" t="s">
        <v>2276</v>
      </c>
      <c r="N1329" s="204" t="s">
        <v>2276</v>
      </c>
      <c r="O1329" s="204" t="s">
        <v>2276</v>
      </c>
      <c r="P1329" s="204" t="s">
        <v>2276</v>
      </c>
      <c r="Q1329" s="204" t="s">
        <v>2276</v>
      </c>
      <c r="R1329" s="204" t="s">
        <v>2276</v>
      </c>
      <c r="S1329" s="204" t="s">
        <v>2276</v>
      </c>
      <c r="T1329" s="204"/>
    </row>
    <row r="1330" spans="1:20" ht="35.5" customHeight="1">
      <c r="A1330" s="19" t="s">
        <v>8572</v>
      </c>
      <c r="B1330" s="204" t="s">
        <v>2276</v>
      </c>
      <c r="C1330" s="204" t="s">
        <v>12</v>
      </c>
      <c r="D1330" s="4" t="s">
        <v>396</v>
      </c>
      <c r="E1330" s="4" t="s">
        <v>397</v>
      </c>
      <c r="F1330" s="204" t="s">
        <v>2276</v>
      </c>
      <c r="G1330" s="204" t="s">
        <v>2276</v>
      </c>
      <c r="H1330" s="204" t="s">
        <v>2276</v>
      </c>
      <c r="I1330" s="204" t="s">
        <v>2276</v>
      </c>
      <c r="J1330" s="204" t="s">
        <v>2276</v>
      </c>
      <c r="K1330" s="204" t="s">
        <v>2276</v>
      </c>
      <c r="L1330" s="204" t="s">
        <v>2276</v>
      </c>
      <c r="M1330" s="204" t="s">
        <v>2276</v>
      </c>
      <c r="N1330" s="204" t="s">
        <v>2276</v>
      </c>
      <c r="O1330" s="204" t="s">
        <v>2276</v>
      </c>
      <c r="P1330" s="204" t="s">
        <v>2276</v>
      </c>
      <c r="Q1330" s="204" t="s">
        <v>2276</v>
      </c>
      <c r="R1330" s="204" t="s">
        <v>2276</v>
      </c>
      <c r="S1330" s="204" t="s">
        <v>2276</v>
      </c>
      <c r="T1330" s="204"/>
    </row>
    <row r="1331" spans="1:20" ht="33.5" customHeight="1">
      <c r="A1331" s="19" t="s">
        <v>8577</v>
      </c>
      <c r="B1331" s="204" t="s">
        <v>2276</v>
      </c>
      <c r="C1331" s="204" t="s">
        <v>12</v>
      </c>
      <c r="D1331" s="204" t="s">
        <v>45</v>
      </c>
      <c r="E1331" s="204" t="s">
        <v>2276</v>
      </c>
      <c r="F1331" s="204" t="s">
        <v>2276</v>
      </c>
      <c r="G1331" s="204" t="s">
        <v>2276</v>
      </c>
      <c r="H1331" s="204" t="s">
        <v>2276</v>
      </c>
      <c r="I1331" s="204" t="s">
        <v>2276</v>
      </c>
      <c r="J1331" s="204" t="s">
        <v>2276</v>
      </c>
      <c r="K1331" s="204" t="s">
        <v>2276</v>
      </c>
      <c r="L1331" s="204" t="s">
        <v>2276</v>
      </c>
      <c r="M1331" s="204" t="s">
        <v>2276</v>
      </c>
      <c r="N1331" s="204" t="s">
        <v>2276</v>
      </c>
      <c r="O1331" s="204" t="s">
        <v>2276</v>
      </c>
      <c r="P1331" s="204" t="s">
        <v>2276</v>
      </c>
      <c r="Q1331" s="204" t="s">
        <v>2276</v>
      </c>
      <c r="R1331" s="204" t="s">
        <v>2276</v>
      </c>
      <c r="S1331" s="204" t="s">
        <v>2276</v>
      </c>
      <c r="T1331" s="204"/>
    </row>
    <row r="1332" spans="1:20" ht="33.5" customHeight="1">
      <c r="A1332" s="19" t="s">
        <v>8583</v>
      </c>
      <c r="B1332" s="204" t="s">
        <v>2276</v>
      </c>
      <c r="C1332" s="204" t="s">
        <v>12</v>
      </c>
      <c r="D1332" s="204" t="s">
        <v>45</v>
      </c>
      <c r="E1332" s="204" t="s">
        <v>2276</v>
      </c>
      <c r="F1332" s="204" t="s">
        <v>2276</v>
      </c>
      <c r="G1332" s="204" t="s">
        <v>2276</v>
      </c>
      <c r="H1332" s="204" t="s">
        <v>2276</v>
      </c>
      <c r="I1332" s="204" t="s">
        <v>2276</v>
      </c>
      <c r="J1332" s="204" t="s">
        <v>2276</v>
      </c>
      <c r="K1332" s="204" t="s">
        <v>2276</v>
      </c>
      <c r="L1332" s="204" t="s">
        <v>2276</v>
      </c>
      <c r="M1332" s="204" t="s">
        <v>2276</v>
      </c>
      <c r="N1332" s="204" t="s">
        <v>2276</v>
      </c>
      <c r="O1332" s="204" t="s">
        <v>2276</v>
      </c>
      <c r="P1332" s="204" t="s">
        <v>2276</v>
      </c>
      <c r="Q1332" s="204" t="s">
        <v>2276</v>
      </c>
      <c r="R1332" s="204" t="s">
        <v>2276</v>
      </c>
      <c r="S1332" s="204" t="s">
        <v>2276</v>
      </c>
      <c r="T1332" s="204"/>
    </row>
    <row r="1333" spans="1:20" ht="33.5" customHeight="1">
      <c r="A1333" s="19" t="s">
        <v>8584</v>
      </c>
      <c r="B1333" s="204" t="s">
        <v>2276</v>
      </c>
      <c r="C1333" s="204" t="s">
        <v>12</v>
      </c>
      <c r="D1333" s="204" t="s">
        <v>45</v>
      </c>
      <c r="E1333" s="204" t="s">
        <v>2276</v>
      </c>
      <c r="F1333" s="204" t="s">
        <v>2276</v>
      </c>
      <c r="G1333" s="204" t="s">
        <v>2276</v>
      </c>
      <c r="H1333" s="204" t="s">
        <v>2276</v>
      </c>
      <c r="I1333" s="204" t="s">
        <v>2276</v>
      </c>
      <c r="J1333" s="204" t="s">
        <v>2276</v>
      </c>
      <c r="K1333" s="204" t="s">
        <v>2276</v>
      </c>
      <c r="L1333" s="204" t="s">
        <v>2276</v>
      </c>
      <c r="M1333" s="204" t="s">
        <v>2276</v>
      </c>
      <c r="N1333" s="204" t="s">
        <v>2276</v>
      </c>
      <c r="O1333" s="204" t="s">
        <v>2276</v>
      </c>
      <c r="P1333" s="204" t="s">
        <v>2276</v>
      </c>
      <c r="Q1333" s="204" t="s">
        <v>2276</v>
      </c>
      <c r="R1333" s="204" t="s">
        <v>2276</v>
      </c>
      <c r="S1333" s="204" t="s">
        <v>2276</v>
      </c>
      <c r="T1333" s="204"/>
    </row>
    <row r="1334" spans="1:20" ht="33.5" customHeight="1">
      <c r="A1334" s="19" t="s">
        <v>8585</v>
      </c>
      <c r="B1334" s="204" t="s">
        <v>2276</v>
      </c>
      <c r="C1334" s="204" t="s">
        <v>12</v>
      </c>
      <c r="D1334" s="204" t="s">
        <v>45</v>
      </c>
      <c r="E1334" s="204" t="s">
        <v>2276</v>
      </c>
      <c r="F1334" s="204" t="s">
        <v>2276</v>
      </c>
      <c r="G1334" s="204" t="s">
        <v>2276</v>
      </c>
      <c r="H1334" s="204" t="s">
        <v>2276</v>
      </c>
      <c r="I1334" s="204" t="s">
        <v>2276</v>
      </c>
      <c r="J1334" s="204" t="s">
        <v>2276</v>
      </c>
      <c r="K1334" s="204" t="s">
        <v>2276</v>
      </c>
      <c r="L1334" s="204" t="s">
        <v>2276</v>
      </c>
      <c r="M1334" s="204" t="s">
        <v>2276</v>
      </c>
      <c r="N1334" s="204" t="s">
        <v>2276</v>
      </c>
      <c r="O1334" s="204" t="s">
        <v>2276</v>
      </c>
      <c r="P1334" s="204" t="s">
        <v>2276</v>
      </c>
      <c r="Q1334" s="204" t="s">
        <v>2276</v>
      </c>
      <c r="R1334" s="204" t="s">
        <v>2276</v>
      </c>
      <c r="S1334" s="204" t="s">
        <v>2276</v>
      </c>
      <c r="T1334" s="204"/>
    </row>
    <row r="1335" spans="1:20" ht="36.5" customHeight="1">
      <c r="A1335" s="19" t="s">
        <v>8598</v>
      </c>
      <c r="B1335" s="204" t="s">
        <v>2276</v>
      </c>
      <c r="C1335" s="204" t="s">
        <v>2645</v>
      </c>
      <c r="D1335" s="204" t="s">
        <v>84</v>
      </c>
      <c r="E1335" s="204" t="s">
        <v>2276</v>
      </c>
      <c r="F1335" s="204" t="s">
        <v>2276</v>
      </c>
      <c r="G1335" s="204" t="s">
        <v>2276</v>
      </c>
      <c r="H1335" s="204" t="s">
        <v>2276</v>
      </c>
      <c r="I1335" s="204" t="s">
        <v>2276</v>
      </c>
      <c r="J1335" s="204" t="s">
        <v>2276</v>
      </c>
      <c r="K1335" s="204" t="s">
        <v>2276</v>
      </c>
      <c r="L1335" s="204" t="s">
        <v>2276</v>
      </c>
      <c r="M1335" s="204" t="s">
        <v>2276</v>
      </c>
      <c r="N1335" s="204" t="s">
        <v>2276</v>
      </c>
      <c r="O1335" s="204" t="s">
        <v>2276</v>
      </c>
      <c r="P1335" s="21">
        <f>100*4660/8600</f>
        <v>54.186046511627907</v>
      </c>
      <c r="Q1335" s="204" t="s">
        <v>2276</v>
      </c>
      <c r="R1335" s="204" t="s">
        <v>2276</v>
      </c>
      <c r="S1335" s="204" t="s">
        <v>2276</v>
      </c>
      <c r="T1335" s="204"/>
    </row>
    <row r="1336" spans="1:20" ht="44" customHeight="1">
      <c r="A1336" s="19" t="s">
        <v>8608</v>
      </c>
      <c r="B1336" s="204" t="s">
        <v>2276</v>
      </c>
      <c r="C1336" s="204" t="s">
        <v>12</v>
      </c>
      <c r="D1336" s="204" t="s">
        <v>84</v>
      </c>
      <c r="E1336" s="4" t="s">
        <v>396</v>
      </c>
      <c r="F1336" s="4" t="s">
        <v>397</v>
      </c>
      <c r="G1336" s="204" t="s">
        <v>2276</v>
      </c>
      <c r="H1336" s="204" t="s">
        <v>2276</v>
      </c>
      <c r="I1336" s="204" t="s">
        <v>2276</v>
      </c>
      <c r="J1336" s="204" t="s">
        <v>2276</v>
      </c>
      <c r="K1336" s="204" t="s">
        <v>2276</v>
      </c>
      <c r="L1336" s="204" t="s">
        <v>2276</v>
      </c>
      <c r="M1336" s="204" t="s">
        <v>2276</v>
      </c>
      <c r="N1336" s="204" t="s">
        <v>2276</v>
      </c>
      <c r="O1336" s="204" t="s">
        <v>2276</v>
      </c>
      <c r="P1336" s="204" t="s">
        <v>2276</v>
      </c>
      <c r="Q1336" s="204" t="s">
        <v>2276</v>
      </c>
      <c r="R1336" s="204" t="s">
        <v>2276</v>
      </c>
      <c r="S1336" s="204" t="s">
        <v>2276</v>
      </c>
      <c r="T1336" s="204" t="s">
        <v>8609</v>
      </c>
    </row>
    <row r="1337" spans="1:20" ht="44" customHeight="1">
      <c r="A1337" s="26" t="s">
        <v>8611</v>
      </c>
      <c r="B1337" s="204" t="s">
        <v>2276</v>
      </c>
      <c r="C1337" s="204" t="s">
        <v>2276</v>
      </c>
      <c r="D1337" s="204" t="s">
        <v>2276</v>
      </c>
      <c r="E1337" s="204" t="s">
        <v>2276</v>
      </c>
      <c r="F1337" s="204" t="s">
        <v>2276</v>
      </c>
      <c r="G1337" s="204" t="s">
        <v>2276</v>
      </c>
      <c r="H1337" s="204" t="s">
        <v>2276</v>
      </c>
      <c r="I1337" s="204" t="s">
        <v>2276</v>
      </c>
      <c r="J1337" s="204" t="s">
        <v>2276</v>
      </c>
      <c r="K1337" s="204" t="s">
        <v>2276</v>
      </c>
      <c r="L1337" s="204" t="s">
        <v>2276</v>
      </c>
      <c r="M1337" s="204" t="s">
        <v>2276</v>
      </c>
      <c r="N1337" s="204" t="s">
        <v>2276</v>
      </c>
      <c r="O1337" s="204" t="s">
        <v>2276</v>
      </c>
      <c r="P1337" s="204" t="s">
        <v>2276</v>
      </c>
      <c r="Q1337" s="204" t="s">
        <v>2276</v>
      </c>
      <c r="R1337" s="204" t="s">
        <v>2276</v>
      </c>
      <c r="S1337" s="204" t="s">
        <v>2276</v>
      </c>
      <c r="T1337" s="204"/>
    </row>
    <row r="1338" spans="1:20" ht="44" customHeight="1">
      <c r="A1338" s="26" t="s">
        <v>8612</v>
      </c>
      <c r="B1338" s="204" t="s">
        <v>2276</v>
      </c>
      <c r="C1338" s="204" t="s">
        <v>2276</v>
      </c>
      <c r="D1338" s="204" t="s">
        <v>2276</v>
      </c>
      <c r="E1338" s="204" t="s">
        <v>2276</v>
      </c>
      <c r="F1338" s="204" t="s">
        <v>2276</v>
      </c>
      <c r="G1338" s="204" t="s">
        <v>2276</v>
      </c>
      <c r="H1338" s="204" t="s">
        <v>2276</v>
      </c>
      <c r="I1338" s="204" t="s">
        <v>2276</v>
      </c>
      <c r="J1338" s="204" t="s">
        <v>2276</v>
      </c>
      <c r="K1338" s="204" t="s">
        <v>2276</v>
      </c>
      <c r="L1338" s="204" t="s">
        <v>2276</v>
      </c>
      <c r="M1338" s="204" t="s">
        <v>2276</v>
      </c>
      <c r="N1338" s="204" t="s">
        <v>2276</v>
      </c>
      <c r="O1338" s="204" t="s">
        <v>2276</v>
      </c>
      <c r="P1338" s="204" t="s">
        <v>2276</v>
      </c>
      <c r="Q1338" s="204" t="s">
        <v>2276</v>
      </c>
      <c r="R1338" s="204" t="s">
        <v>2276</v>
      </c>
      <c r="S1338" s="204" t="s">
        <v>2276</v>
      </c>
      <c r="T1338" s="204"/>
    </row>
    <row r="1339" spans="1:20" ht="44" customHeight="1">
      <c r="A1339" s="26" t="s">
        <v>8613</v>
      </c>
      <c r="B1339" s="204" t="s">
        <v>2276</v>
      </c>
      <c r="C1339" s="204" t="s">
        <v>2276</v>
      </c>
      <c r="D1339" s="204" t="s">
        <v>2276</v>
      </c>
      <c r="E1339" s="204" t="s">
        <v>2276</v>
      </c>
      <c r="F1339" s="204" t="s">
        <v>2276</v>
      </c>
      <c r="G1339" s="204" t="s">
        <v>2276</v>
      </c>
      <c r="H1339" s="204" t="s">
        <v>2276</v>
      </c>
      <c r="I1339" s="204" t="s">
        <v>2276</v>
      </c>
      <c r="J1339" s="204" t="s">
        <v>2276</v>
      </c>
      <c r="K1339" s="204" t="s">
        <v>2276</v>
      </c>
      <c r="L1339" s="204" t="s">
        <v>2276</v>
      </c>
      <c r="M1339" s="204" t="s">
        <v>2276</v>
      </c>
      <c r="N1339" s="204" t="s">
        <v>2276</v>
      </c>
      <c r="O1339" s="204" t="s">
        <v>2276</v>
      </c>
      <c r="P1339" s="204" t="s">
        <v>2276</v>
      </c>
      <c r="Q1339" s="204" t="s">
        <v>2276</v>
      </c>
      <c r="R1339" s="204" t="s">
        <v>2276</v>
      </c>
      <c r="S1339" s="204" t="s">
        <v>2276</v>
      </c>
      <c r="T1339" s="204"/>
    </row>
    <row r="1340" spans="1:20" ht="44" customHeight="1">
      <c r="A1340" s="26" t="s">
        <v>8614</v>
      </c>
      <c r="B1340" s="204" t="s">
        <v>2276</v>
      </c>
      <c r="C1340" s="204" t="s">
        <v>2276</v>
      </c>
      <c r="D1340" s="204" t="s">
        <v>2276</v>
      </c>
      <c r="E1340" s="204" t="s">
        <v>2276</v>
      </c>
      <c r="F1340" s="204" t="s">
        <v>2276</v>
      </c>
      <c r="G1340" s="204" t="s">
        <v>2276</v>
      </c>
      <c r="H1340" s="204" t="s">
        <v>2276</v>
      </c>
      <c r="I1340" s="204" t="s">
        <v>2276</v>
      </c>
      <c r="J1340" s="204" t="s">
        <v>2276</v>
      </c>
      <c r="K1340" s="204" t="s">
        <v>2276</v>
      </c>
      <c r="L1340" s="204" t="s">
        <v>2276</v>
      </c>
      <c r="M1340" s="204" t="s">
        <v>2276</v>
      </c>
      <c r="N1340" s="204" t="s">
        <v>2276</v>
      </c>
      <c r="O1340" s="204" t="s">
        <v>2276</v>
      </c>
      <c r="P1340" s="204" t="s">
        <v>2276</v>
      </c>
      <c r="Q1340" s="204" t="s">
        <v>2276</v>
      </c>
      <c r="R1340" s="204" t="s">
        <v>2276</v>
      </c>
      <c r="S1340" s="204" t="s">
        <v>2276</v>
      </c>
      <c r="T1340" s="204"/>
    </row>
    <row r="1341" spans="1:20" ht="44" customHeight="1">
      <c r="A1341" s="26" t="s">
        <v>8615</v>
      </c>
      <c r="B1341" s="204" t="s">
        <v>2276</v>
      </c>
      <c r="C1341" s="204" t="s">
        <v>2276</v>
      </c>
      <c r="D1341" s="204" t="s">
        <v>2276</v>
      </c>
      <c r="E1341" s="204" t="s">
        <v>2276</v>
      </c>
      <c r="F1341" s="204" t="s">
        <v>2276</v>
      </c>
      <c r="G1341" s="204" t="s">
        <v>2276</v>
      </c>
      <c r="H1341" s="204" t="s">
        <v>2276</v>
      </c>
      <c r="I1341" s="204" t="s">
        <v>2276</v>
      </c>
      <c r="J1341" s="204" t="s">
        <v>2276</v>
      </c>
      <c r="K1341" s="204" t="s">
        <v>2276</v>
      </c>
      <c r="L1341" s="204" t="s">
        <v>2276</v>
      </c>
      <c r="M1341" s="204" t="s">
        <v>2276</v>
      </c>
      <c r="N1341" s="204" t="s">
        <v>2276</v>
      </c>
      <c r="O1341" s="204" t="s">
        <v>2276</v>
      </c>
      <c r="P1341" s="204" t="s">
        <v>2276</v>
      </c>
      <c r="Q1341" s="204" t="s">
        <v>2276</v>
      </c>
      <c r="R1341" s="204" t="s">
        <v>2276</v>
      </c>
      <c r="S1341" s="204" t="s">
        <v>2276</v>
      </c>
      <c r="T1341" s="204"/>
    </row>
    <row r="1342" spans="1:20" ht="44" customHeight="1">
      <c r="A1342" s="235" t="s">
        <v>8616</v>
      </c>
      <c r="B1342" s="5" t="s">
        <v>2276</v>
      </c>
      <c r="C1342" s="5" t="s">
        <v>2276</v>
      </c>
      <c r="D1342" s="204" t="s">
        <v>2276</v>
      </c>
      <c r="E1342" s="204" t="s">
        <v>2276</v>
      </c>
      <c r="F1342" s="204" t="s">
        <v>2276</v>
      </c>
      <c r="G1342" s="204" t="s">
        <v>2276</v>
      </c>
      <c r="H1342" s="204" t="s">
        <v>2276</v>
      </c>
      <c r="I1342" s="204" t="s">
        <v>2276</v>
      </c>
      <c r="J1342" s="204" t="s">
        <v>2276</v>
      </c>
      <c r="K1342" s="204" t="s">
        <v>2276</v>
      </c>
      <c r="L1342" s="204" t="s">
        <v>2276</v>
      </c>
      <c r="M1342" s="204" t="s">
        <v>2276</v>
      </c>
      <c r="N1342" s="204" t="s">
        <v>2276</v>
      </c>
      <c r="O1342" s="204" t="s">
        <v>2276</v>
      </c>
      <c r="P1342" s="204" t="s">
        <v>2276</v>
      </c>
      <c r="Q1342" s="204" t="s">
        <v>2276</v>
      </c>
      <c r="R1342" s="204" t="s">
        <v>2276</v>
      </c>
      <c r="S1342" s="204" t="s">
        <v>2276</v>
      </c>
      <c r="T1342" s="204"/>
    </row>
    <row r="1343" spans="1:20" ht="30" customHeight="1">
      <c r="A1343" s="26" t="s">
        <v>8633</v>
      </c>
      <c r="B1343" s="204" t="s">
        <v>2276</v>
      </c>
      <c r="C1343" s="204" t="s">
        <v>2276</v>
      </c>
      <c r="D1343" s="204" t="s">
        <v>2276</v>
      </c>
      <c r="E1343" s="204" t="s">
        <v>2276</v>
      </c>
      <c r="F1343" s="204" t="s">
        <v>2276</v>
      </c>
      <c r="G1343" s="204" t="s">
        <v>2276</v>
      </c>
      <c r="H1343" s="204" t="s">
        <v>2276</v>
      </c>
      <c r="I1343" s="204" t="s">
        <v>2276</v>
      </c>
      <c r="J1343" s="204" t="s">
        <v>2276</v>
      </c>
      <c r="K1343" s="204" t="s">
        <v>2276</v>
      </c>
      <c r="L1343" s="204" t="s">
        <v>2276</v>
      </c>
      <c r="M1343" s="204" t="s">
        <v>2276</v>
      </c>
      <c r="N1343" s="204" t="s">
        <v>2276</v>
      </c>
      <c r="O1343" s="204" t="s">
        <v>2276</v>
      </c>
      <c r="P1343" s="204" t="s">
        <v>2276</v>
      </c>
      <c r="Q1343" s="204" t="s">
        <v>2276</v>
      </c>
      <c r="R1343" s="204" t="s">
        <v>2276</v>
      </c>
      <c r="S1343" s="204" t="s">
        <v>2276</v>
      </c>
      <c r="T1343" s="204"/>
    </row>
    <row r="1344" spans="1:20" ht="30" customHeight="1">
      <c r="A1344" s="26" t="s">
        <v>8637</v>
      </c>
      <c r="B1344" s="204" t="s">
        <v>2276</v>
      </c>
      <c r="C1344" s="204" t="s">
        <v>2645</v>
      </c>
      <c r="D1344" s="204" t="s">
        <v>84</v>
      </c>
      <c r="E1344" s="204" t="s">
        <v>2276</v>
      </c>
      <c r="F1344" s="204" t="s">
        <v>2276</v>
      </c>
      <c r="G1344" s="204" t="s">
        <v>2276</v>
      </c>
      <c r="H1344" s="204" t="s">
        <v>2276</v>
      </c>
      <c r="I1344" s="204" t="s">
        <v>2276</v>
      </c>
      <c r="J1344" s="204" t="s">
        <v>2276</v>
      </c>
      <c r="K1344" s="204" t="s">
        <v>2276</v>
      </c>
      <c r="L1344" s="204" t="s">
        <v>2276</v>
      </c>
      <c r="M1344" s="204" t="s">
        <v>2276</v>
      </c>
      <c r="N1344" s="204" t="s">
        <v>2276</v>
      </c>
      <c r="O1344" s="204" t="s">
        <v>2276</v>
      </c>
      <c r="P1344" s="204" t="s">
        <v>2276</v>
      </c>
      <c r="Q1344" s="204" t="s">
        <v>2276</v>
      </c>
      <c r="R1344" s="204" t="s">
        <v>2276</v>
      </c>
      <c r="S1344" s="204" t="s">
        <v>2276</v>
      </c>
      <c r="T1344" s="204"/>
    </row>
    <row r="1345" spans="1:20" ht="30" customHeight="1">
      <c r="A1345" s="26" t="s">
        <v>8636</v>
      </c>
      <c r="B1345" s="204" t="s">
        <v>2276</v>
      </c>
      <c r="C1345" s="204" t="s">
        <v>2645</v>
      </c>
      <c r="D1345" s="204" t="s">
        <v>84</v>
      </c>
      <c r="E1345" s="204" t="s">
        <v>2276</v>
      </c>
      <c r="F1345" s="204" t="s">
        <v>2276</v>
      </c>
      <c r="G1345" s="204" t="s">
        <v>2276</v>
      </c>
      <c r="H1345" s="204" t="s">
        <v>2276</v>
      </c>
      <c r="I1345" s="204" t="s">
        <v>2276</v>
      </c>
      <c r="J1345" s="204" t="s">
        <v>2276</v>
      </c>
      <c r="K1345" s="204" t="s">
        <v>2276</v>
      </c>
      <c r="L1345" s="204" t="s">
        <v>2276</v>
      </c>
      <c r="M1345" s="204" t="s">
        <v>2276</v>
      </c>
      <c r="N1345" s="204" t="s">
        <v>2276</v>
      </c>
      <c r="O1345" s="204" t="s">
        <v>2276</v>
      </c>
      <c r="P1345" s="204" t="s">
        <v>2276</v>
      </c>
      <c r="Q1345" s="204" t="s">
        <v>2276</v>
      </c>
      <c r="R1345" s="204" t="s">
        <v>2276</v>
      </c>
      <c r="S1345" s="204" t="s">
        <v>2276</v>
      </c>
      <c r="T1345" s="204"/>
    </row>
    <row r="1346" spans="1:20" ht="35.5" customHeight="1">
      <c r="A1346" s="26" t="s">
        <v>8644</v>
      </c>
      <c r="B1346" s="204" t="s">
        <v>2276</v>
      </c>
      <c r="C1346" s="204" t="s">
        <v>12</v>
      </c>
      <c r="D1346" s="4" t="s">
        <v>397</v>
      </c>
      <c r="E1346" s="4" t="s">
        <v>396</v>
      </c>
      <c r="F1346" s="4" t="s">
        <v>84</v>
      </c>
      <c r="G1346" s="204" t="s">
        <v>2276</v>
      </c>
      <c r="H1346" s="204" t="s">
        <v>2276</v>
      </c>
      <c r="I1346" s="204" t="s">
        <v>2276</v>
      </c>
      <c r="J1346" s="204" t="s">
        <v>2276</v>
      </c>
      <c r="K1346" s="204" t="s">
        <v>2276</v>
      </c>
      <c r="L1346" s="204" t="s">
        <v>2276</v>
      </c>
      <c r="M1346" s="204" t="s">
        <v>2276</v>
      </c>
      <c r="N1346" s="204" t="s">
        <v>2276</v>
      </c>
      <c r="O1346" s="204" t="s">
        <v>2276</v>
      </c>
      <c r="P1346" s="204" t="s">
        <v>2276</v>
      </c>
      <c r="Q1346" s="204" t="s">
        <v>2276</v>
      </c>
      <c r="R1346" s="204" t="s">
        <v>2276</v>
      </c>
      <c r="S1346" s="204" t="s">
        <v>2276</v>
      </c>
      <c r="T1346" s="204"/>
    </row>
    <row r="1347" spans="1:20" ht="51" customHeight="1">
      <c r="A1347" s="26" t="s">
        <v>8648</v>
      </c>
      <c r="B1347" s="4" t="s">
        <v>2276</v>
      </c>
      <c r="C1347" s="4" t="s">
        <v>395</v>
      </c>
      <c r="D1347" s="4" t="s">
        <v>3854</v>
      </c>
      <c r="E1347" s="4" t="s">
        <v>2276</v>
      </c>
      <c r="F1347" s="4" t="s">
        <v>2276</v>
      </c>
      <c r="G1347" s="4" t="s">
        <v>2276</v>
      </c>
      <c r="H1347" s="4" t="s">
        <v>2276</v>
      </c>
      <c r="I1347" s="4" t="s">
        <v>2276</v>
      </c>
      <c r="J1347" s="4" t="s">
        <v>2276</v>
      </c>
      <c r="K1347" s="4" t="s">
        <v>2276</v>
      </c>
      <c r="L1347" s="4" t="s">
        <v>2276</v>
      </c>
      <c r="M1347" s="4" t="s">
        <v>2276</v>
      </c>
      <c r="N1347" s="4" t="s">
        <v>2276</v>
      </c>
      <c r="O1347" s="4" t="s">
        <v>2276</v>
      </c>
      <c r="P1347" s="4" t="s">
        <v>2276</v>
      </c>
      <c r="Q1347" s="4" t="s">
        <v>2276</v>
      </c>
      <c r="R1347" s="4" t="s">
        <v>2276</v>
      </c>
      <c r="S1347" s="4" t="s">
        <v>2276</v>
      </c>
      <c r="T1347" s="4"/>
    </row>
    <row r="1348" spans="1:20" ht="52.5" customHeight="1">
      <c r="A1348" s="26" t="s">
        <v>8650</v>
      </c>
      <c r="B1348" s="4" t="s">
        <v>2276</v>
      </c>
      <c r="C1348" s="4" t="s">
        <v>12</v>
      </c>
      <c r="D1348" s="4" t="s">
        <v>3854</v>
      </c>
      <c r="E1348" s="4" t="s">
        <v>396</v>
      </c>
      <c r="F1348" s="4" t="s">
        <v>84</v>
      </c>
      <c r="G1348" s="4" t="s">
        <v>2276</v>
      </c>
      <c r="H1348" s="4" t="s">
        <v>2276</v>
      </c>
      <c r="I1348" s="4" t="s">
        <v>2276</v>
      </c>
      <c r="J1348" s="4" t="s">
        <v>2276</v>
      </c>
      <c r="K1348" s="4" t="s">
        <v>2276</v>
      </c>
      <c r="L1348" s="4" t="s">
        <v>2276</v>
      </c>
      <c r="M1348" s="4" t="s">
        <v>2276</v>
      </c>
      <c r="N1348" s="4" t="s">
        <v>2276</v>
      </c>
      <c r="O1348" s="4" t="s">
        <v>2276</v>
      </c>
      <c r="P1348" s="4" t="s">
        <v>2276</v>
      </c>
      <c r="Q1348" s="4" t="s">
        <v>2276</v>
      </c>
      <c r="R1348" s="4" t="s">
        <v>2276</v>
      </c>
      <c r="S1348" s="4" t="s">
        <v>2276</v>
      </c>
      <c r="T1348" s="4"/>
    </row>
    <row r="1349" spans="1:20" ht="32.5" customHeight="1">
      <c r="A1349" s="26" t="s">
        <v>8655</v>
      </c>
      <c r="B1349" s="4" t="s">
        <v>2276</v>
      </c>
      <c r="C1349" s="4" t="s">
        <v>12</v>
      </c>
      <c r="D1349" s="4" t="s">
        <v>396</v>
      </c>
      <c r="E1349" s="4" t="s">
        <v>397</v>
      </c>
      <c r="F1349" s="4" t="s">
        <v>2276</v>
      </c>
      <c r="G1349" s="4" t="s">
        <v>2276</v>
      </c>
      <c r="H1349" s="4" t="s">
        <v>2276</v>
      </c>
      <c r="I1349" s="4" t="s">
        <v>2276</v>
      </c>
      <c r="J1349" s="4" t="s">
        <v>2276</v>
      </c>
      <c r="K1349" s="4" t="s">
        <v>2276</v>
      </c>
      <c r="L1349" s="4" t="s">
        <v>2276</v>
      </c>
      <c r="M1349" s="4" t="s">
        <v>2276</v>
      </c>
      <c r="N1349" s="4" t="s">
        <v>2276</v>
      </c>
      <c r="O1349" s="4" t="s">
        <v>2276</v>
      </c>
      <c r="P1349" s="4" t="s">
        <v>2276</v>
      </c>
      <c r="Q1349" s="4" t="s">
        <v>2276</v>
      </c>
      <c r="R1349" s="4" t="s">
        <v>2276</v>
      </c>
      <c r="S1349" s="4" t="s">
        <v>2276</v>
      </c>
      <c r="T1349" s="204"/>
    </row>
    <row r="1350" spans="1:20" ht="32.5" customHeight="1">
      <c r="A1350" s="26" t="s">
        <v>8656</v>
      </c>
      <c r="B1350" s="4" t="s">
        <v>2276</v>
      </c>
      <c r="C1350" s="4" t="s">
        <v>12</v>
      </c>
      <c r="D1350" s="4" t="s">
        <v>396</v>
      </c>
      <c r="E1350" s="4" t="s">
        <v>397</v>
      </c>
      <c r="F1350" s="4" t="s">
        <v>2276</v>
      </c>
      <c r="G1350" s="4" t="s">
        <v>2276</v>
      </c>
      <c r="H1350" s="4" t="s">
        <v>2276</v>
      </c>
      <c r="I1350" s="4" t="s">
        <v>2276</v>
      </c>
      <c r="J1350" s="4" t="s">
        <v>2276</v>
      </c>
      <c r="K1350" s="4" t="s">
        <v>2276</v>
      </c>
      <c r="L1350" s="4" t="s">
        <v>2276</v>
      </c>
      <c r="M1350" s="4" t="s">
        <v>2276</v>
      </c>
      <c r="N1350" s="4" t="s">
        <v>2276</v>
      </c>
      <c r="O1350" s="4" t="s">
        <v>2276</v>
      </c>
      <c r="P1350" s="4" t="s">
        <v>2276</v>
      </c>
      <c r="Q1350" s="4" t="s">
        <v>2276</v>
      </c>
      <c r="R1350" s="4" t="s">
        <v>2276</v>
      </c>
      <c r="S1350" s="4" t="s">
        <v>2276</v>
      </c>
      <c r="T1350" s="204"/>
    </row>
    <row r="1351" spans="1:20" ht="37" customHeight="1">
      <c r="A1351" s="26" t="s">
        <v>8664</v>
      </c>
      <c r="B1351" s="4" t="s">
        <v>2276</v>
      </c>
      <c r="C1351" s="204" t="s">
        <v>2645</v>
      </c>
      <c r="D1351" s="204" t="s">
        <v>84</v>
      </c>
      <c r="E1351" s="204" t="s">
        <v>2653</v>
      </c>
      <c r="F1351" s="4" t="s">
        <v>2276</v>
      </c>
      <c r="G1351" s="4" t="s">
        <v>2276</v>
      </c>
      <c r="H1351" s="4" t="s">
        <v>2276</v>
      </c>
      <c r="I1351" s="4" t="s">
        <v>2276</v>
      </c>
      <c r="J1351" s="4" t="s">
        <v>2276</v>
      </c>
      <c r="K1351" s="4" t="s">
        <v>2276</v>
      </c>
      <c r="L1351" s="4" t="s">
        <v>2276</v>
      </c>
      <c r="M1351" s="4" t="s">
        <v>2276</v>
      </c>
      <c r="N1351" s="4" t="s">
        <v>2276</v>
      </c>
      <c r="O1351" s="4" t="s">
        <v>2276</v>
      </c>
      <c r="P1351" s="4" t="s">
        <v>2276</v>
      </c>
      <c r="Q1351" s="4" t="s">
        <v>2276</v>
      </c>
      <c r="R1351" s="4" t="s">
        <v>2276</v>
      </c>
      <c r="S1351" s="4" t="s">
        <v>2276</v>
      </c>
      <c r="T1351" s="204"/>
    </row>
    <row r="1352" spans="1:20" ht="32.5" customHeight="1">
      <c r="A1352" s="26" t="s">
        <v>8669</v>
      </c>
      <c r="B1352" s="4" t="s">
        <v>2276</v>
      </c>
      <c r="C1352" s="4" t="s">
        <v>2276</v>
      </c>
      <c r="D1352" s="4" t="s">
        <v>2276</v>
      </c>
      <c r="E1352" s="4" t="s">
        <v>2276</v>
      </c>
      <c r="F1352" s="4" t="s">
        <v>2276</v>
      </c>
      <c r="G1352" s="4" t="s">
        <v>2276</v>
      </c>
      <c r="H1352" s="4" t="s">
        <v>2276</v>
      </c>
      <c r="I1352" s="4" t="s">
        <v>2276</v>
      </c>
      <c r="J1352" s="21">
        <f>AVERAGE(3.47, 3.15, 3.35, 3.51, 3.55, 3.51, 3.69, 3.94)</f>
        <v>3.5212500000000002</v>
      </c>
      <c r="K1352" s="4" t="s">
        <v>2276</v>
      </c>
      <c r="L1352" s="4" t="s">
        <v>2276</v>
      </c>
      <c r="M1352" s="4" t="s">
        <v>2276</v>
      </c>
      <c r="N1352" s="4">
        <v>0</v>
      </c>
      <c r="O1352" s="4">
        <v>0</v>
      </c>
      <c r="P1352" s="21">
        <v>100</v>
      </c>
      <c r="Q1352" s="4">
        <v>0</v>
      </c>
      <c r="R1352" s="4">
        <v>0</v>
      </c>
      <c r="S1352" s="4">
        <v>0</v>
      </c>
      <c r="T1352" s="151" t="s">
        <v>8680</v>
      </c>
    </row>
    <row r="1353" spans="1:20" ht="32.5" customHeight="1">
      <c r="A1353" s="26" t="s">
        <v>8670</v>
      </c>
      <c r="B1353" s="4" t="s">
        <v>2276</v>
      </c>
      <c r="C1353" s="4" t="s">
        <v>2276</v>
      </c>
      <c r="D1353" s="4" t="s">
        <v>2276</v>
      </c>
      <c r="E1353" s="4" t="s">
        <v>2276</v>
      </c>
      <c r="F1353" s="4" t="s">
        <v>2276</v>
      </c>
      <c r="G1353" s="4" t="s">
        <v>2276</v>
      </c>
      <c r="H1353" s="4" t="s">
        <v>2276</v>
      </c>
      <c r="I1353" s="4" t="s">
        <v>2276</v>
      </c>
      <c r="J1353" s="21">
        <f>AVERAGE(2.8, 2.24, 2.36, 2.56, 2.65, 2.72, 2.75, 2.94)</f>
        <v>2.6275000000000004</v>
      </c>
      <c r="K1353" s="4" t="s">
        <v>2276</v>
      </c>
      <c r="L1353" s="4" t="s">
        <v>2276</v>
      </c>
      <c r="M1353" s="4" t="s">
        <v>2276</v>
      </c>
      <c r="N1353" s="4">
        <v>0</v>
      </c>
      <c r="O1353" s="4">
        <v>0</v>
      </c>
      <c r="P1353" s="21">
        <v>100</v>
      </c>
      <c r="Q1353" s="4">
        <v>0</v>
      </c>
      <c r="R1353" s="4">
        <v>0</v>
      </c>
      <c r="S1353" s="4">
        <v>0</v>
      </c>
      <c r="T1353" s="19" t="s">
        <v>8680</v>
      </c>
    </row>
    <row r="1354" spans="1:20" ht="32.5" customHeight="1">
      <c r="A1354" s="26" t="s">
        <v>8671</v>
      </c>
      <c r="B1354" s="4" t="s">
        <v>2276</v>
      </c>
      <c r="C1354" s="4" t="s">
        <v>2276</v>
      </c>
      <c r="D1354" s="4" t="s">
        <v>2276</v>
      </c>
      <c r="E1354" s="4" t="s">
        <v>2276</v>
      </c>
      <c r="F1354" s="4" t="s">
        <v>2276</v>
      </c>
      <c r="G1354" s="4" t="s">
        <v>2276</v>
      </c>
      <c r="H1354" s="4" t="s">
        <v>2276</v>
      </c>
      <c r="I1354" s="4" t="s">
        <v>2276</v>
      </c>
      <c r="J1354" s="21">
        <f>AVERAGE(2.15, 1.94, 2.18, 1.98, 2.12, 1.84, 2.19, 1.79)</f>
        <v>2.0237500000000002</v>
      </c>
      <c r="K1354" s="4" t="s">
        <v>2276</v>
      </c>
      <c r="L1354" s="4" t="s">
        <v>2276</v>
      </c>
      <c r="M1354" s="4" t="s">
        <v>2276</v>
      </c>
      <c r="N1354" s="4">
        <v>0</v>
      </c>
      <c r="O1354" s="4">
        <v>0</v>
      </c>
      <c r="P1354" s="21">
        <v>100</v>
      </c>
      <c r="Q1354" s="4">
        <v>0</v>
      </c>
      <c r="R1354" s="4">
        <v>0</v>
      </c>
      <c r="S1354" s="4">
        <v>0</v>
      </c>
      <c r="T1354" s="19" t="s">
        <v>8680</v>
      </c>
    </row>
    <row r="1355" spans="1:20" ht="32.5" customHeight="1">
      <c r="A1355" s="26" t="s">
        <v>8673</v>
      </c>
      <c r="B1355" s="4" t="s">
        <v>2276</v>
      </c>
      <c r="C1355" s="4" t="s">
        <v>2276</v>
      </c>
      <c r="D1355" s="4" t="s">
        <v>2276</v>
      </c>
      <c r="E1355" s="4" t="s">
        <v>2276</v>
      </c>
      <c r="F1355" s="4" t="s">
        <v>2276</v>
      </c>
      <c r="G1355" s="4" t="s">
        <v>2276</v>
      </c>
      <c r="H1355" s="4" t="s">
        <v>2276</v>
      </c>
      <c r="I1355" s="4" t="s">
        <v>2276</v>
      </c>
      <c r="J1355" s="21">
        <f>AVERAGE(28321.1/9653.5, 29990.6/10165.1, 29820.2/10163.8, 30648.2/10224.9)</f>
        <v>2.9538711691464989</v>
      </c>
      <c r="K1355" s="4" t="s">
        <v>2276</v>
      </c>
      <c r="L1355" s="4" t="s">
        <v>2276</v>
      </c>
      <c r="M1355" s="4" t="s">
        <v>2276</v>
      </c>
      <c r="N1355" s="4">
        <v>0</v>
      </c>
      <c r="O1355" s="4">
        <v>0</v>
      </c>
      <c r="P1355" s="21">
        <v>100</v>
      </c>
      <c r="Q1355" s="4">
        <v>0</v>
      </c>
      <c r="R1355" s="4">
        <v>0</v>
      </c>
      <c r="S1355" s="4">
        <v>0</v>
      </c>
      <c r="T1355" s="19" t="s">
        <v>8680</v>
      </c>
    </row>
    <row r="1356" spans="1:20" ht="32.5" customHeight="1">
      <c r="A1356" s="26" t="s">
        <v>8674</v>
      </c>
      <c r="B1356" s="4" t="s">
        <v>2276</v>
      </c>
      <c r="C1356" s="4" t="s">
        <v>2276</v>
      </c>
      <c r="D1356" s="4" t="s">
        <v>2276</v>
      </c>
      <c r="E1356" s="4" t="s">
        <v>2276</v>
      </c>
      <c r="F1356" s="4" t="s">
        <v>2276</v>
      </c>
      <c r="G1356" s="4" t="s">
        <v>2276</v>
      </c>
      <c r="H1356" s="4" t="s">
        <v>2276</v>
      </c>
      <c r="I1356" s="4" t="s">
        <v>2276</v>
      </c>
      <c r="J1356" s="21">
        <f>AVERAGE(13270.6/4046.3, 13499.8/4006.4, 14496.7/4126.6, 14603/4070.4, 15326.7/4159.9)</f>
        <v>3.4868469544786769</v>
      </c>
      <c r="K1356" s="4" t="s">
        <v>2276</v>
      </c>
      <c r="L1356" s="4" t="s">
        <v>2276</v>
      </c>
      <c r="M1356" s="4" t="s">
        <v>2276</v>
      </c>
      <c r="N1356" s="4">
        <v>0</v>
      </c>
      <c r="O1356" s="4">
        <v>0</v>
      </c>
      <c r="P1356" s="21">
        <v>100</v>
      </c>
      <c r="Q1356" s="4">
        <v>0</v>
      </c>
      <c r="R1356" s="4">
        <v>0</v>
      </c>
      <c r="S1356" s="4">
        <v>0</v>
      </c>
      <c r="T1356" s="19" t="s">
        <v>8680</v>
      </c>
    </row>
    <row r="1357" spans="1:20" ht="35.5" customHeight="1">
      <c r="A1357" s="26" t="s">
        <v>8683</v>
      </c>
      <c r="B1357" s="4" t="s">
        <v>2276</v>
      </c>
      <c r="C1357" s="4" t="s">
        <v>12</v>
      </c>
      <c r="D1357" s="204" t="s">
        <v>2653</v>
      </c>
      <c r="E1357" s="204" t="s">
        <v>45</v>
      </c>
      <c r="F1357" s="4" t="s">
        <v>2276</v>
      </c>
      <c r="G1357" s="4" t="s">
        <v>2276</v>
      </c>
      <c r="H1357" s="4" t="s">
        <v>2276</v>
      </c>
      <c r="I1357" s="4" t="s">
        <v>2276</v>
      </c>
      <c r="J1357" s="4" t="s">
        <v>2276</v>
      </c>
      <c r="K1357" s="4" t="s">
        <v>2276</v>
      </c>
      <c r="L1357" s="4" t="s">
        <v>2276</v>
      </c>
      <c r="M1357" s="4" t="s">
        <v>2276</v>
      </c>
      <c r="N1357" s="4" t="s">
        <v>2276</v>
      </c>
      <c r="O1357" s="4" t="s">
        <v>2276</v>
      </c>
      <c r="P1357" s="4" t="s">
        <v>2276</v>
      </c>
      <c r="Q1357" s="4" t="s">
        <v>2276</v>
      </c>
      <c r="R1357" s="4" t="s">
        <v>2276</v>
      </c>
      <c r="S1357" s="4" t="s">
        <v>2276</v>
      </c>
      <c r="T1357" s="204"/>
    </row>
    <row r="1358" spans="1:20" ht="32" customHeight="1">
      <c r="A1358" s="204" t="s">
        <v>8694</v>
      </c>
      <c r="B1358" s="204" t="s">
        <v>2276</v>
      </c>
      <c r="C1358" s="204" t="s">
        <v>12</v>
      </c>
      <c r="D1358" s="204" t="s">
        <v>2653</v>
      </c>
      <c r="E1358" s="204" t="s">
        <v>45</v>
      </c>
      <c r="F1358" s="4" t="s">
        <v>2276</v>
      </c>
      <c r="G1358" s="4" t="s">
        <v>2276</v>
      </c>
      <c r="H1358" s="4" t="s">
        <v>2276</v>
      </c>
      <c r="I1358" s="4" t="s">
        <v>2276</v>
      </c>
      <c r="J1358" s="4" t="s">
        <v>2276</v>
      </c>
      <c r="K1358" s="4" t="s">
        <v>2276</v>
      </c>
      <c r="L1358" s="4" t="s">
        <v>2276</v>
      </c>
      <c r="M1358" s="4" t="s">
        <v>2276</v>
      </c>
      <c r="N1358" s="4" t="s">
        <v>2276</v>
      </c>
      <c r="O1358" s="4" t="s">
        <v>2276</v>
      </c>
      <c r="P1358" s="4" t="s">
        <v>2276</v>
      </c>
      <c r="Q1358" s="4" t="s">
        <v>2276</v>
      </c>
      <c r="R1358" s="4" t="s">
        <v>2276</v>
      </c>
      <c r="S1358" s="4" t="s">
        <v>2276</v>
      </c>
      <c r="T1358" s="204"/>
    </row>
    <row r="1359" spans="1:20" ht="40" customHeight="1">
      <c r="A1359" s="26" t="s">
        <v>8707</v>
      </c>
      <c r="B1359" s="204" t="s">
        <v>2276</v>
      </c>
      <c r="C1359" s="204" t="s">
        <v>12</v>
      </c>
      <c r="D1359" s="4" t="s">
        <v>396</v>
      </c>
      <c r="E1359" s="4" t="s">
        <v>2276</v>
      </c>
      <c r="F1359" s="4" t="s">
        <v>2276</v>
      </c>
      <c r="G1359" s="4" t="s">
        <v>2276</v>
      </c>
      <c r="H1359" s="4" t="s">
        <v>2276</v>
      </c>
      <c r="I1359" s="204">
        <v>0.9</v>
      </c>
      <c r="J1359" s="204">
        <v>18.8</v>
      </c>
      <c r="K1359" s="4" t="s">
        <v>2276</v>
      </c>
      <c r="L1359" s="4" t="s">
        <v>2276</v>
      </c>
      <c r="M1359" s="4" t="s">
        <v>2276</v>
      </c>
      <c r="N1359" s="4">
        <v>0</v>
      </c>
      <c r="O1359" s="4">
        <v>0</v>
      </c>
      <c r="P1359" s="21">
        <v>100</v>
      </c>
      <c r="Q1359" s="4" t="s">
        <v>2276</v>
      </c>
      <c r="R1359" s="4">
        <v>0</v>
      </c>
      <c r="S1359" s="4">
        <v>0</v>
      </c>
      <c r="T1359" s="19" t="s">
        <v>8712</v>
      </c>
    </row>
    <row r="1360" spans="1:20" ht="37" customHeight="1">
      <c r="A1360" s="26" t="s">
        <v>8717</v>
      </c>
      <c r="B1360" s="204" t="s">
        <v>2276</v>
      </c>
      <c r="C1360" s="204" t="s">
        <v>12</v>
      </c>
      <c r="D1360" s="4" t="s">
        <v>396</v>
      </c>
      <c r="E1360" s="4" t="s">
        <v>397</v>
      </c>
      <c r="F1360" s="204" t="s">
        <v>2653</v>
      </c>
      <c r="G1360" s="4" t="s">
        <v>2276</v>
      </c>
      <c r="H1360" s="4" t="s">
        <v>2276</v>
      </c>
      <c r="I1360" s="4" t="s">
        <v>2276</v>
      </c>
      <c r="J1360" s="4" t="s">
        <v>2276</v>
      </c>
      <c r="K1360" s="4" t="s">
        <v>2276</v>
      </c>
      <c r="L1360" s="4" t="s">
        <v>2276</v>
      </c>
      <c r="M1360" s="4" t="s">
        <v>2276</v>
      </c>
      <c r="N1360" s="4" t="s">
        <v>2276</v>
      </c>
      <c r="O1360" s="4" t="s">
        <v>2276</v>
      </c>
      <c r="P1360" s="21">
        <f>220000/'Record info'!K1360</f>
        <v>70.512820512820511</v>
      </c>
      <c r="Q1360" s="4" t="s">
        <v>2276</v>
      </c>
      <c r="R1360" s="4" t="s">
        <v>2276</v>
      </c>
      <c r="S1360" s="4" t="s">
        <v>2276</v>
      </c>
      <c r="T1360" s="204"/>
    </row>
    <row r="1361" spans="1:20" ht="46.5" customHeight="1">
      <c r="A1361" s="26" t="s">
        <v>8731</v>
      </c>
      <c r="B1361" s="204" t="s">
        <v>2276</v>
      </c>
      <c r="C1361" s="204" t="s">
        <v>2645</v>
      </c>
      <c r="D1361" s="204" t="s">
        <v>84</v>
      </c>
      <c r="E1361" s="204" t="s">
        <v>45</v>
      </c>
      <c r="F1361" s="4" t="s">
        <v>2276</v>
      </c>
      <c r="G1361" s="4" t="s">
        <v>2276</v>
      </c>
      <c r="H1361" s="4" t="s">
        <v>2276</v>
      </c>
      <c r="I1361" s="4" t="s">
        <v>2276</v>
      </c>
      <c r="J1361" s="4" t="s">
        <v>2276</v>
      </c>
      <c r="K1361" s="4" t="s">
        <v>2276</v>
      </c>
      <c r="L1361" s="4" t="s">
        <v>2276</v>
      </c>
      <c r="M1361" s="4" t="s">
        <v>2276</v>
      </c>
      <c r="N1361" s="4" t="s">
        <v>2276</v>
      </c>
      <c r="O1361" s="21">
        <f>100*(41277.935508-37950)/'Record info'!K1361</f>
        <v>2.1622747909478992</v>
      </c>
      <c r="P1361" s="21">
        <f>(100*(41277.935508)/'Record info'!K1361)-O1361</f>
        <v>24.657427440890395</v>
      </c>
      <c r="Q1361" s="4" t="s">
        <v>2276</v>
      </c>
      <c r="R1361" s="4" t="s">
        <v>2276</v>
      </c>
      <c r="S1361" s="4" t="s">
        <v>2276</v>
      </c>
      <c r="T1361" s="204" t="s">
        <v>8735</v>
      </c>
    </row>
    <row r="1362" spans="1:20" ht="46.5" customHeight="1">
      <c r="A1362" s="26" t="s">
        <v>8736</v>
      </c>
      <c r="B1362" s="204" t="s">
        <v>32</v>
      </c>
      <c r="C1362" s="204" t="s">
        <v>2646</v>
      </c>
      <c r="D1362" s="204" t="s">
        <v>137</v>
      </c>
      <c r="E1362" s="204" t="s">
        <v>45</v>
      </c>
      <c r="F1362" s="4" t="s">
        <v>2276</v>
      </c>
      <c r="G1362" s="4" t="s">
        <v>2276</v>
      </c>
      <c r="H1362" s="4" t="s">
        <v>2276</v>
      </c>
      <c r="I1362" s="4" t="s">
        <v>2276</v>
      </c>
      <c r="J1362" s="4" t="s">
        <v>2276</v>
      </c>
      <c r="K1362" s="4" t="s">
        <v>2276</v>
      </c>
      <c r="L1362" s="4" t="s">
        <v>2276</v>
      </c>
      <c r="M1362" s="4" t="s">
        <v>2276</v>
      </c>
      <c r="N1362" s="4" t="s">
        <v>2276</v>
      </c>
      <c r="O1362" s="4" t="s">
        <v>2276</v>
      </c>
      <c r="P1362" s="4" t="s">
        <v>2276</v>
      </c>
      <c r="Q1362" s="4" t="s">
        <v>2276</v>
      </c>
      <c r="R1362" s="4" t="s">
        <v>2276</v>
      </c>
      <c r="S1362" s="4" t="s">
        <v>2276</v>
      </c>
      <c r="T1362" s="204"/>
    </row>
    <row r="1363" spans="1:20" ht="46.5" customHeight="1">
      <c r="A1363" s="26" t="s">
        <v>8737</v>
      </c>
      <c r="B1363" s="204" t="s">
        <v>32</v>
      </c>
      <c r="C1363" s="204" t="s">
        <v>2646</v>
      </c>
      <c r="D1363" s="204" t="s">
        <v>137</v>
      </c>
      <c r="E1363" s="204" t="s">
        <v>45</v>
      </c>
      <c r="F1363" s="4" t="s">
        <v>2276</v>
      </c>
      <c r="G1363" s="4" t="s">
        <v>2276</v>
      </c>
      <c r="H1363" s="4" t="s">
        <v>2276</v>
      </c>
      <c r="I1363" s="4" t="s">
        <v>2276</v>
      </c>
      <c r="J1363" s="4" t="s">
        <v>2276</v>
      </c>
      <c r="K1363" s="4" t="s">
        <v>2276</v>
      </c>
      <c r="L1363" s="4" t="s">
        <v>2276</v>
      </c>
      <c r="M1363" s="4" t="s">
        <v>2276</v>
      </c>
      <c r="N1363" s="4" t="s">
        <v>2276</v>
      </c>
      <c r="O1363" s="4" t="s">
        <v>2276</v>
      </c>
      <c r="P1363" s="4" t="s">
        <v>2276</v>
      </c>
      <c r="Q1363" s="4" t="s">
        <v>2276</v>
      </c>
      <c r="R1363" s="4" t="s">
        <v>2276</v>
      </c>
      <c r="S1363" s="4" t="s">
        <v>2276</v>
      </c>
      <c r="T1363" s="204"/>
    </row>
    <row r="1364" spans="1:20" ht="47" customHeight="1">
      <c r="A1364" s="26" t="s">
        <v>8748</v>
      </c>
      <c r="B1364" s="204" t="s">
        <v>32</v>
      </c>
      <c r="C1364" s="204" t="s">
        <v>2645</v>
      </c>
      <c r="D1364" s="204" t="s">
        <v>5801</v>
      </c>
      <c r="E1364" s="204" t="s">
        <v>2653</v>
      </c>
      <c r="F1364" s="204" t="s">
        <v>84</v>
      </c>
      <c r="G1364" s="204" t="s">
        <v>45</v>
      </c>
      <c r="H1364" s="4" t="s">
        <v>2276</v>
      </c>
      <c r="I1364" s="4" t="s">
        <v>2276</v>
      </c>
      <c r="J1364" s="4" t="s">
        <v>2276</v>
      </c>
      <c r="K1364" s="4" t="s">
        <v>2276</v>
      </c>
      <c r="L1364" s="4" t="s">
        <v>2276</v>
      </c>
      <c r="M1364" s="4" t="s">
        <v>2276</v>
      </c>
      <c r="N1364" s="4" t="s">
        <v>2276</v>
      </c>
      <c r="O1364" s="4" t="s">
        <v>2276</v>
      </c>
      <c r="P1364" s="4" t="s">
        <v>2276</v>
      </c>
      <c r="Q1364" s="4" t="s">
        <v>2276</v>
      </c>
      <c r="R1364" s="4" t="s">
        <v>2276</v>
      </c>
      <c r="S1364" s="4" t="s">
        <v>2276</v>
      </c>
      <c r="T1364" s="204"/>
    </row>
    <row r="1365" spans="1:20" ht="47" customHeight="1">
      <c r="A1365" s="26" t="s">
        <v>8755</v>
      </c>
      <c r="B1365" s="204" t="s">
        <v>1197</v>
      </c>
      <c r="C1365" s="204" t="s">
        <v>2645</v>
      </c>
      <c r="D1365" s="204" t="s">
        <v>84</v>
      </c>
      <c r="E1365" s="204" t="s">
        <v>45</v>
      </c>
      <c r="F1365" s="4" t="s">
        <v>2276</v>
      </c>
      <c r="G1365" s="4" t="s">
        <v>2276</v>
      </c>
      <c r="H1365" s="4" t="s">
        <v>2276</v>
      </c>
      <c r="I1365" s="4" t="s">
        <v>2276</v>
      </c>
      <c r="J1365" s="4" t="s">
        <v>2276</v>
      </c>
      <c r="K1365" s="4" t="s">
        <v>2276</v>
      </c>
      <c r="L1365" s="4" t="s">
        <v>2276</v>
      </c>
      <c r="M1365" s="4" t="s">
        <v>2276</v>
      </c>
      <c r="N1365" s="4" t="s">
        <v>2276</v>
      </c>
      <c r="O1365" s="4" t="s">
        <v>2276</v>
      </c>
      <c r="P1365" s="4" t="s">
        <v>2276</v>
      </c>
      <c r="Q1365" s="4" t="s">
        <v>2276</v>
      </c>
      <c r="R1365" s="4" t="s">
        <v>2276</v>
      </c>
      <c r="S1365" s="4" t="s">
        <v>2276</v>
      </c>
      <c r="T1365" s="204"/>
    </row>
    <row r="1366" spans="1:20" ht="47" customHeight="1">
      <c r="A1366" s="26" t="s">
        <v>8756</v>
      </c>
      <c r="B1366" s="204" t="s">
        <v>70</v>
      </c>
      <c r="C1366" s="204" t="s">
        <v>2645</v>
      </c>
      <c r="D1366" s="204" t="s">
        <v>84</v>
      </c>
      <c r="E1366" s="204" t="s">
        <v>45</v>
      </c>
      <c r="F1366" s="4" t="s">
        <v>2276</v>
      </c>
      <c r="G1366" s="4" t="s">
        <v>2276</v>
      </c>
      <c r="H1366" s="4" t="s">
        <v>2276</v>
      </c>
      <c r="I1366" s="4" t="s">
        <v>2276</v>
      </c>
      <c r="J1366" s="4" t="s">
        <v>2276</v>
      </c>
      <c r="K1366" s="4" t="s">
        <v>2276</v>
      </c>
      <c r="L1366" s="4" t="s">
        <v>2276</v>
      </c>
      <c r="M1366" s="4" t="s">
        <v>2276</v>
      </c>
      <c r="N1366" s="4" t="s">
        <v>2276</v>
      </c>
      <c r="O1366" s="4" t="s">
        <v>2276</v>
      </c>
      <c r="P1366" s="4" t="s">
        <v>2276</v>
      </c>
      <c r="Q1366" s="4" t="s">
        <v>2276</v>
      </c>
      <c r="R1366" s="4" t="s">
        <v>2276</v>
      </c>
      <c r="S1366" s="4" t="s">
        <v>2276</v>
      </c>
      <c r="T1366" s="204"/>
    </row>
    <row r="1367" spans="1:20" ht="44.5" customHeight="1">
      <c r="A1367" s="204" t="s">
        <v>8772</v>
      </c>
      <c r="B1367" s="204" t="s">
        <v>2276</v>
      </c>
      <c r="C1367" s="204" t="s">
        <v>12</v>
      </c>
      <c r="D1367" s="4" t="s">
        <v>396</v>
      </c>
      <c r="E1367" s="204" t="s">
        <v>2653</v>
      </c>
      <c r="F1367" s="4" t="s">
        <v>2276</v>
      </c>
      <c r="G1367" s="4" t="s">
        <v>2276</v>
      </c>
      <c r="H1367" s="4" t="s">
        <v>2276</v>
      </c>
      <c r="I1367" s="4" t="s">
        <v>2276</v>
      </c>
      <c r="J1367" s="4" t="s">
        <v>2276</v>
      </c>
      <c r="K1367" s="4" t="s">
        <v>2276</v>
      </c>
      <c r="L1367" s="4" t="s">
        <v>2276</v>
      </c>
      <c r="M1367" s="4" t="s">
        <v>2276</v>
      </c>
      <c r="N1367" s="4">
        <v>0</v>
      </c>
      <c r="O1367" s="4">
        <v>0</v>
      </c>
      <c r="P1367" s="21">
        <v>100</v>
      </c>
      <c r="Q1367" s="4">
        <v>0</v>
      </c>
      <c r="R1367" s="4">
        <v>0</v>
      </c>
      <c r="S1367" s="4">
        <v>0</v>
      </c>
      <c r="T1367" s="204" t="s">
        <v>8805</v>
      </c>
    </row>
    <row r="1368" spans="1:20" ht="44.5" customHeight="1">
      <c r="A1368" s="11" t="s">
        <v>8773</v>
      </c>
      <c r="B1368" s="204" t="s">
        <v>2276</v>
      </c>
      <c r="C1368" s="204" t="s">
        <v>12</v>
      </c>
      <c r="D1368" s="4" t="s">
        <v>396</v>
      </c>
      <c r="E1368" s="204" t="s">
        <v>2653</v>
      </c>
      <c r="F1368" s="4" t="s">
        <v>2276</v>
      </c>
      <c r="G1368" s="4" t="s">
        <v>2276</v>
      </c>
      <c r="H1368" s="4" t="s">
        <v>2276</v>
      </c>
      <c r="I1368" s="4" t="s">
        <v>2276</v>
      </c>
      <c r="J1368" s="4" t="s">
        <v>2276</v>
      </c>
      <c r="K1368" s="4" t="s">
        <v>2276</v>
      </c>
      <c r="L1368" s="4" t="s">
        <v>2276</v>
      </c>
      <c r="M1368" s="4" t="s">
        <v>2276</v>
      </c>
      <c r="N1368" s="4">
        <v>0</v>
      </c>
      <c r="O1368" s="4">
        <v>0</v>
      </c>
      <c r="P1368" s="21">
        <v>100</v>
      </c>
      <c r="Q1368" s="4">
        <v>0</v>
      </c>
      <c r="R1368" s="4">
        <v>0</v>
      </c>
      <c r="S1368" s="4">
        <v>0</v>
      </c>
      <c r="T1368" s="204" t="s">
        <v>8805</v>
      </c>
    </row>
    <row r="1369" spans="1:20" ht="44.5" customHeight="1">
      <c r="A1369" s="11" t="s">
        <v>8774</v>
      </c>
      <c r="B1369" s="204" t="s">
        <v>2276</v>
      </c>
      <c r="C1369" s="204" t="s">
        <v>12</v>
      </c>
      <c r="D1369" s="4" t="s">
        <v>396</v>
      </c>
      <c r="E1369" s="204" t="s">
        <v>2653</v>
      </c>
      <c r="F1369" s="4" t="s">
        <v>2276</v>
      </c>
      <c r="G1369" s="4" t="s">
        <v>2276</v>
      </c>
      <c r="H1369" s="4" t="s">
        <v>2276</v>
      </c>
      <c r="I1369" s="4" t="s">
        <v>2276</v>
      </c>
      <c r="J1369" s="4" t="s">
        <v>2276</v>
      </c>
      <c r="K1369" s="4" t="s">
        <v>2276</v>
      </c>
      <c r="L1369" s="4" t="s">
        <v>2276</v>
      </c>
      <c r="M1369" s="4" t="s">
        <v>2276</v>
      </c>
      <c r="N1369" s="4">
        <v>0</v>
      </c>
      <c r="O1369" s="4">
        <v>0</v>
      </c>
      <c r="P1369" s="21">
        <v>100</v>
      </c>
      <c r="Q1369" s="4">
        <v>0</v>
      </c>
      <c r="R1369" s="4">
        <v>0</v>
      </c>
      <c r="S1369" s="4">
        <v>0</v>
      </c>
      <c r="T1369" s="204" t="s">
        <v>8805</v>
      </c>
    </row>
    <row r="1370" spans="1:20" ht="44.5" customHeight="1">
      <c r="A1370" s="11" t="s">
        <v>8775</v>
      </c>
      <c r="B1370" s="204" t="s">
        <v>2276</v>
      </c>
      <c r="C1370" s="204" t="s">
        <v>12</v>
      </c>
      <c r="D1370" s="4" t="s">
        <v>396</v>
      </c>
      <c r="E1370" s="204" t="s">
        <v>2653</v>
      </c>
      <c r="F1370" s="4" t="s">
        <v>2276</v>
      </c>
      <c r="G1370" s="4" t="s">
        <v>2276</v>
      </c>
      <c r="H1370" s="4" t="s">
        <v>2276</v>
      </c>
      <c r="I1370" s="4" t="s">
        <v>2276</v>
      </c>
      <c r="J1370" s="4" t="s">
        <v>2276</v>
      </c>
      <c r="K1370" s="4" t="s">
        <v>2276</v>
      </c>
      <c r="L1370" s="4" t="s">
        <v>2276</v>
      </c>
      <c r="M1370" s="4" t="s">
        <v>2276</v>
      </c>
      <c r="N1370" s="4">
        <v>0</v>
      </c>
      <c r="O1370" s="4">
        <v>0</v>
      </c>
      <c r="P1370" s="21">
        <v>100</v>
      </c>
      <c r="Q1370" s="4">
        <v>0</v>
      </c>
      <c r="R1370" s="4">
        <v>0</v>
      </c>
      <c r="S1370" s="4">
        <v>0</v>
      </c>
      <c r="T1370" s="204" t="s">
        <v>8805</v>
      </c>
    </row>
    <row r="1371" spans="1:20" ht="44.5" customHeight="1">
      <c r="A1371" s="11" t="s">
        <v>8776</v>
      </c>
      <c r="B1371" s="204" t="s">
        <v>2276</v>
      </c>
      <c r="C1371" s="204" t="s">
        <v>12</v>
      </c>
      <c r="D1371" s="4" t="s">
        <v>396</v>
      </c>
      <c r="E1371" s="204" t="s">
        <v>2653</v>
      </c>
      <c r="F1371" s="4" t="s">
        <v>2276</v>
      </c>
      <c r="G1371" s="4" t="s">
        <v>2276</v>
      </c>
      <c r="H1371" s="4" t="s">
        <v>2276</v>
      </c>
      <c r="I1371" s="4" t="s">
        <v>2276</v>
      </c>
      <c r="J1371" s="4" t="s">
        <v>2276</v>
      </c>
      <c r="K1371" s="4" t="s">
        <v>2276</v>
      </c>
      <c r="L1371" s="4" t="s">
        <v>2276</v>
      </c>
      <c r="M1371" s="4" t="s">
        <v>2276</v>
      </c>
      <c r="N1371" s="4">
        <v>0</v>
      </c>
      <c r="O1371" s="4">
        <v>0</v>
      </c>
      <c r="P1371" s="21">
        <v>100</v>
      </c>
      <c r="Q1371" s="4">
        <v>0</v>
      </c>
      <c r="R1371" s="4">
        <v>0</v>
      </c>
      <c r="S1371" s="4">
        <v>0</v>
      </c>
      <c r="T1371" s="204" t="s">
        <v>8805</v>
      </c>
    </row>
    <row r="1372" spans="1:20" ht="44.5" customHeight="1">
      <c r="A1372" s="11" t="s">
        <v>8777</v>
      </c>
      <c r="B1372" s="204" t="s">
        <v>2276</v>
      </c>
      <c r="C1372" s="204" t="s">
        <v>12</v>
      </c>
      <c r="D1372" s="4" t="s">
        <v>396</v>
      </c>
      <c r="E1372" s="204" t="s">
        <v>2653</v>
      </c>
      <c r="F1372" s="4" t="s">
        <v>2276</v>
      </c>
      <c r="G1372" s="4" t="s">
        <v>2276</v>
      </c>
      <c r="H1372" s="4" t="s">
        <v>2276</v>
      </c>
      <c r="I1372" s="4" t="s">
        <v>2276</v>
      </c>
      <c r="J1372" s="4" t="s">
        <v>2276</v>
      </c>
      <c r="K1372" s="4" t="s">
        <v>2276</v>
      </c>
      <c r="L1372" s="4" t="s">
        <v>2276</v>
      </c>
      <c r="M1372" s="4" t="s">
        <v>2276</v>
      </c>
      <c r="N1372" s="4">
        <v>0</v>
      </c>
      <c r="O1372" s="4">
        <v>0</v>
      </c>
      <c r="P1372" s="21">
        <v>100</v>
      </c>
      <c r="Q1372" s="4">
        <v>0</v>
      </c>
      <c r="R1372" s="4">
        <v>0</v>
      </c>
      <c r="S1372" s="4">
        <v>0</v>
      </c>
      <c r="T1372" s="204" t="s">
        <v>8805</v>
      </c>
    </row>
    <row r="1373" spans="1:20" ht="44.5" customHeight="1">
      <c r="A1373" s="11" t="s">
        <v>8778</v>
      </c>
      <c r="B1373" s="204" t="s">
        <v>2276</v>
      </c>
      <c r="C1373" s="204" t="s">
        <v>12</v>
      </c>
      <c r="D1373" s="4" t="s">
        <v>396</v>
      </c>
      <c r="E1373" s="204" t="s">
        <v>2653</v>
      </c>
      <c r="F1373" s="4" t="s">
        <v>2276</v>
      </c>
      <c r="G1373" s="4" t="s">
        <v>2276</v>
      </c>
      <c r="H1373" s="4" t="s">
        <v>2276</v>
      </c>
      <c r="I1373" s="4" t="s">
        <v>2276</v>
      </c>
      <c r="J1373" s="4" t="s">
        <v>2276</v>
      </c>
      <c r="K1373" s="4" t="s">
        <v>2276</v>
      </c>
      <c r="L1373" s="4" t="s">
        <v>2276</v>
      </c>
      <c r="M1373" s="4" t="s">
        <v>2276</v>
      </c>
      <c r="N1373" s="4">
        <v>0</v>
      </c>
      <c r="O1373" s="4">
        <v>0</v>
      </c>
      <c r="P1373" s="21">
        <v>100</v>
      </c>
      <c r="Q1373" s="4">
        <v>0</v>
      </c>
      <c r="R1373" s="4">
        <v>0</v>
      </c>
      <c r="S1373" s="4">
        <v>0</v>
      </c>
      <c r="T1373" s="204" t="s">
        <v>8805</v>
      </c>
    </row>
    <row r="1374" spans="1:20" ht="44.5" customHeight="1">
      <c r="A1374" s="11" t="s">
        <v>8779</v>
      </c>
      <c r="B1374" s="204" t="s">
        <v>2276</v>
      </c>
      <c r="C1374" s="204" t="s">
        <v>12</v>
      </c>
      <c r="D1374" s="4" t="s">
        <v>396</v>
      </c>
      <c r="E1374" s="204" t="s">
        <v>2653</v>
      </c>
      <c r="F1374" s="4" t="s">
        <v>2276</v>
      </c>
      <c r="G1374" s="4" t="s">
        <v>2276</v>
      </c>
      <c r="H1374" s="4" t="s">
        <v>2276</v>
      </c>
      <c r="I1374" s="4" t="s">
        <v>2276</v>
      </c>
      <c r="J1374" s="4" t="s">
        <v>2276</v>
      </c>
      <c r="K1374" s="4" t="s">
        <v>2276</v>
      </c>
      <c r="L1374" s="4" t="s">
        <v>2276</v>
      </c>
      <c r="M1374" s="4" t="s">
        <v>2276</v>
      </c>
      <c r="N1374" s="4">
        <v>0</v>
      </c>
      <c r="O1374" s="4">
        <v>0</v>
      </c>
      <c r="P1374" s="21">
        <v>100</v>
      </c>
      <c r="Q1374" s="4">
        <v>0</v>
      </c>
      <c r="R1374" s="4">
        <v>0</v>
      </c>
      <c r="S1374" s="4">
        <v>0</v>
      </c>
      <c r="T1374" s="204" t="s">
        <v>8805</v>
      </c>
    </row>
    <row r="1375" spans="1:20" ht="44.5" customHeight="1">
      <c r="A1375" s="11" t="s">
        <v>8780</v>
      </c>
      <c r="B1375" s="204" t="s">
        <v>2276</v>
      </c>
      <c r="C1375" s="204" t="s">
        <v>12</v>
      </c>
      <c r="D1375" s="4" t="s">
        <v>396</v>
      </c>
      <c r="E1375" s="204" t="s">
        <v>2653</v>
      </c>
      <c r="F1375" s="4" t="s">
        <v>2276</v>
      </c>
      <c r="G1375" s="4" t="s">
        <v>2276</v>
      </c>
      <c r="H1375" s="4" t="s">
        <v>2276</v>
      </c>
      <c r="I1375" s="4" t="s">
        <v>2276</v>
      </c>
      <c r="J1375" s="4" t="s">
        <v>2276</v>
      </c>
      <c r="K1375" s="4" t="s">
        <v>2276</v>
      </c>
      <c r="L1375" s="4" t="s">
        <v>2276</v>
      </c>
      <c r="M1375" s="4" t="s">
        <v>2276</v>
      </c>
      <c r="N1375" s="4">
        <v>0</v>
      </c>
      <c r="O1375" s="4">
        <v>0</v>
      </c>
      <c r="P1375" s="21">
        <v>100</v>
      </c>
      <c r="Q1375" s="4">
        <v>0</v>
      </c>
      <c r="R1375" s="4">
        <v>0</v>
      </c>
      <c r="S1375" s="4">
        <v>0</v>
      </c>
      <c r="T1375" s="204" t="s">
        <v>8805</v>
      </c>
    </row>
    <row r="1376" spans="1:20" ht="44.5" customHeight="1">
      <c r="A1376" s="11" t="s">
        <v>8781</v>
      </c>
      <c r="B1376" s="204" t="s">
        <v>2276</v>
      </c>
      <c r="C1376" s="204" t="s">
        <v>12</v>
      </c>
      <c r="D1376" s="4" t="s">
        <v>396</v>
      </c>
      <c r="E1376" s="204" t="s">
        <v>2653</v>
      </c>
      <c r="F1376" s="4" t="s">
        <v>2276</v>
      </c>
      <c r="G1376" s="4" t="s">
        <v>2276</v>
      </c>
      <c r="H1376" s="4" t="s">
        <v>2276</v>
      </c>
      <c r="I1376" s="4" t="s">
        <v>2276</v>
      </c>
      <c r="J1376" s="4" t="s">
        <v>2276</v>
      </c>
      <c r="K1376" s="4" t="s">
        <v>2276</v>
      </c>
      <c r="L1376" s="4" t="s">
        <v>2276</v>
      </c>
      <c r="M1376" s="4" t="s">
        <v>2276</v>
      </c>
      <c r="N1376" s="4">
        <v>0</v>
      </c>
      <c r="O1376" s="4">
        <v>0</v>
      </c>
      <c r="P1376" s="21">
        <v>100</v>
      </c>
      <c r="Q1376" s="4">
        <v>0</v>
      </c>
      <c r="R1376" s="4">
        <v>0</v>
      </c>
      <c r="S1376" s="4">
        <v>0</v>
      </c>
      <c r="T1376" s="204" t="s">
        <v>8805</v>
      </c>
    </row>
    <row r="1377" spans="1:20" ht="44.5" customHeight="1">
      <c r="A1377" s="11" t="s">
        <v>8782</v>
      </c>
      <c r="B1377" s="204" t="s">
        <v>2276</v>
      </c>
      <c r="C1377" s="204" t="s">
        <v>12</v>
      </c>
      <c r="D1377" s="204" t="s">
        <v>2653</v>
      </c>
      <c r="E1377" s="4" t="s">
        <v>2276</v>
      </c>
      <c r="F1377" s="4" t="s">
        <v>2276</v>
      </c>
      <c r="G1377" s="4" t="s">
        <v>2276</v>
      </c>
      <c r="H1377" s="4" t="s">
        <v>2276</v>
      </c>
      <c r="I1377" s="4" t="s">
        <v>2276</v>
      </c>
      <c r="J1377" s="4" t="s">
        <v>2276</v>
      </c>
      <c r="K1377" s="4" t="s">
        <v>2276</v>
      </c>
      <c r="L1377" s="4" t="s">
        <v>2276</v>
      </c>
      <c r="M1377" s="4" t="s">
        <v>2276</v>
      </c>
      <c r="N1377" s="4">
        <v>0</v>
      </c>
      <c r="O1377" s="4">
        <v>0</v>
      </c>
      <c r="P1377" s="21">
        <v>100</v>
      </c>
      <c r="Q1377" s="4">
        <v>0</v>
      </c>
      <c r="R1377" s="4">
        <v>0</v>
      </c>
      <c r="S1377" s="4">
        <v>0</v>
      </c>
      <c r="T1377" s="204" t="s">
        <v>8805</v>
      </c>
    </row>
    <row r="1378" spans="1:20" ht="44.5" customHeight="1">
      <c r="A1378" s="11" t="s">
        <v>8783</v>
      </c>
      <c r="B1378" s="204" t="s">
        <v>2276</v>
      </c>
      <c r="C1378" s="204" t="s">
        <v>12</v>
      </c>
      <c r="D1378" s="4" t="s">
        <v>396</v>
      </c>
      <c r="E1378" s="204" t="s">
        <v>2653</v>
      </c>
      <c r="F1378" s="4" t="s">
        <v>2276</v>
      </c>
      <c r="G1378" s="4" t="s">
        <v>2276</v>
      </c>
      <c r="H1378" s="4" t="s">
        <v>2276</v>
      </c>
      <c r="I1378" s="4" t="s">
        <v>2276</v>
      </c>
      <c r="J1378" s="4" t="s">
        <v>2276</v>
      </c>
      <c r="K1378" s="4" t="s">
        <v>2276</v>
      </c>
      <c r="L1378" s="4" t="s">
        <v>2276</v>
      </c>
      <c r="M1378" s="4" t="s">
        <v>2276</v>
      </c>
      <c r="N1378" s="4">
        <v>0</v>
      </c>
      <c r="O1378" s="4">
        <v>0</v>
      </c>
      <c r="P1378" s="21">
        <v>100</v>
      </c>
      <c r="Q1378" s="4">
        <v>0</v>
      </c>
      <c r="R1378" s="4">
        <v>0</v>
      </c>
      <c r="S1378" s="4">
        <v>0</v>
      </c>
      <c r="T1378" s="204" t="s">
        <v>8805</v>
      </c>
    </row>
    <row r="1379" spans="1:20" ht="44.5" customHeight="1">
      <c r="A1379" s="11" t="s">
        <v>8784</v>
      </c>
      <c r="B1379" s="204" t="s">
        <v>2276</v>
      </c>
      <c r="C1379" s="204" t="s">
        <v>12</v>
      </c>
      <c r="D1379" s="204" t="s">
        <v>2653</v>
      </c>
      <c r="E1379" s="4" t="s">
        <v>2276</v>
      </c>
      <c r="F1379" s="4" t="s">
        <v>2276</v>
      </c>
      <c r="G1379" s="4" t="s">
        <v>2276</v>
      </c>
      <c r="H1379" s="4" t="s">
        <v>2276</v>
      </c>
      <c r="I1379" s="4" t="s">
        <v>2276</v>
      </c>
      <c r="J1379" s="4" t="s">
        <v>2276</v>
      </c>
      <c r="K1379" s="4" t="s">
        <v>2276</v>
      </c>
      <c r="L1379" s="4" t="s">
        <v>2276</v>
      </c>
      <c r="M1379" s="4" t="s">
        <v>2276</v>
      </c>
      <c r="N1379" s="4">
        <v>0</v>
      </c>
      <c r="O1379" s="4">
        <v>0</v>
      </c>
      <c r="P1379" s="21">
        <v>100</v>
      </c>
      <c r="Q1379" s="4">
        <v>0</v>
      </c>
      <c r="R1379" s="4">
        <v>0</v>
      </c>
      <c r="S1379" s="4">
        <v>0</v>
      </c>
      <c r="T1379" s="204" t="s">
        <v>8805</v>
      </c>
    </row>
    <row r="1380" spans="1:20" ht="44.5" customHeight="1">
      <c r="A1380" s="11" t="s">
        <v>8785</v>
      </c>
      <c r="B1380" s="204" t="s">
        <v>2276</v>
      </c>
      <c r="C1380" s="204" t="s">
        <v>12</v>
      </c>
      <c r="D1380" s="4" t="s">
        <v>396</v>
      </c>
      <c r="E1380" s="204" t="s">
        <v>2653</v>
      </c>
      <c r="F1380" s="4" t="s">
        <v>2276</v>
      </c>
      <c r="G1380" s="4" t="s">
        <v>2276</v>
      </c>
      <c r="H1380" s="4" t="s">
        <v>2276</v>
      </c>
      <c r="I1380" s="4" t="s">
        <v>2276</v>
      </c>
      <c r="J1380" s="4" t="s">
        <v>2276</v>
      </c>
      <c r="K1380" s="4" t="s">
        <v>2276</v>
      </c>
      <c r="L1380" s="4" t="s">
        <v>2276</v>
      </c>
      <c r="M1380" s="4" t="s">
        <v>2276</v>
      </c>
      <c r="N1380" s="4">
        <v>0</v>
      </c>
      <c r="O1380" s="4">
        <v>0</v>
      </c>
      <c r="P1380" s="21">
        <v>100</v>
      </c>
      <c r="Q1380" s="4">
        <v>0</v>
      </c>
      <c r="R1380" s="4">
        <v>0</v>
      </c>
      <c r="S1380" s="4">
        <v>0</v>
      </c>
      <c r="T1380" s="204" t="s">
        <v>8805</v>
      </c>
    </row>
    <row r="1381" spans="1:20" ht="44.5" customHeight="1">
      <c r="A1381" s="11" t="s">
        <v>8799</v>
      </c>
      <c r="B1381" s="204" t="s">
        <v>2276</v>
      </c>
      <c r="C1381" s="204" t="s">
        <v>12</v>
      </c>
      <c r="D1381" s="4" t="s">
        <v>396</v>
      </c>
      <c r="E1381" s="204" t="s">
        <v>2653</v>
      </c>
      <c r="F1381" s="4" t="s">
        <v>2276</v>
      </c>
      <c r="G1381" s="4" t="s">
        <v>2276</v>
      </c>
      <c r="H1381" s="4" t="s">
        <v>2276</v>
      </c>
      <c r="I1381" s="4" t="s">
        <v>2276</v>
      </c>
      <c r="J1381" s="4" t="s">
        <v>2276</v>
      </c>
      <c r="K1381" s="4" t="s">
        <v>2276</v>
      </c>
      <c r="L1381" s="4" t="s">
        <v>2276</v>
      </c>
      <c r="M1381" s="4" t="s">
        <v>2276</v>
      </c>
      <c r="N1381" s="4">
        <v>0</v>
      </c>
      <c r="O1381" s="4">
        <v>0</v>
      </c>
      <c r="P1381" s="21">
        <v>100</v>
      </c>
      <c r="Q1381" s="4">
        <v>0</v>
      </c>
      <c r="R1381" s="4">
        <v>0</v>
      </c>
      <c r="S1381" s="4">
        <v>0</v>
      </c>
      <c r="T1381" s="204" t="s">
        <v>8805</v>
      </c>
    </row>
    <row r="1382" spans="1:20" ht="36.5" customHeight="1">
      <c r="A1382" s="11" t="s">
        <v>8806</v>
      </c>
      <c r="B1382" s="204" t="s">
        <v>2276</v>
      </c>
      <c r="C1382" s="204" t="s">
        <v>2276</v>
      </c>
      <c r="D1382" s="204" t="s">
        <v>2276</v>
      </c>
      <c r="E1382" s="204" t="s">
        <v>2276</v>
      </c>
      <c r="F1382" s="204" t="s">
        <v>2276</v>
      </c>
      <c r="G1382" s="204" t="s">
        <v>2276</v>
      </c>
      <c r="H1382" s="204" t="s">
        <v>2276</v>
      </c>
      <c r="I1382" s="204" t="s">
        <v>2276</v>
      </c>
      <c r="J1382" s="204" t="s">
        <v>2276</v>
      </c>
      <c r="K1382" s="204" t="s">
        <v>2276</v>
      </c>
      <c r="L1382" s="204" t="s">
        <v>2276</v>
      </c>
      <c r="M1382" s="204" t="s">
        <v>2276</v>
      </c>
      <c r="N1382" s="204" t="s">
        <v>2276</v>
      </c>
      <c r="O1382" s="204" t="s">
        <v>2276</v>
      </c>
      <c r="P1382" s="204" t="s">
        <v>2276</v>
      </c>
      <c r="Q1382" s="204" t="s">
        <v>2276</v>
      </c>
      <c r="R1382" s="204" t="s">
        <v>2276</v>
      </c>
      <c r="S1382" s="204" t="s">
        <v>2276</v>
      </c>
      <c r="T1382" s="204"/>
    </row>
    <row r="1383" spans="1:20" ht="36.5" customHeight="1">
      <c r="A1383" s="11" t="s">
        <v>8811</v>
      </c>
      <c r="B1383" s="204" t="s">
        <v>2276</v>
      </c>
      <c r="C1383" s="204" t="s">
        <v>2276</v>
      </c>
      <c r="D1383" s="204" t="s">
        <v>2276</v>
      </c>
      <c r="E1383" s="204" t="s">
        <v>2276</v>
      </c>
      <c r="F1383" s="204" t="s">
        <v>2276</v>
      </c>
      <c r="G1383" s="204" t="s">
        <v>2276</v>
      </c>
      <c r="H1383" s="204" t="s">
        <v>2276</v>
      </c>
      <c r="I1383" s="204" t="s">
        <v>2276</v>
      </c>
      <c r="J1383" s="204" t="s">
        <v>2276</v>
      </c>
      <c r="K1383" s="204" t="s">
        <v>2276</v>
      </c>
      <c r="L1383" s="204" t="s">
        <v>2276</v>
      </c>
      <c r="M1383" s="204" t="s">
        <v>2276</v>
      </c>
      <c r="N1383" s="204" t="s">
        <v>2276</v>
      </c>
      <c r="O1383" s="204" t="s">
        <v>2276</v>
      </c>
      <c r="P1383" s="204" t="s">
        <v>2276</v>
      </c>
      <c r="Q1383" s="204" t="s">
        <v>2276</v>
      </c>
      <c r="R1383" s="204" t="s">
        <v>2276</v>
      </c>
      <c r="S1383" s="204" t="s">
        <v>2276</v>
      </c>
      <c r="T1383" s="204"/>
    </row>
    <row r="1384" spans="1:20" ht="36.5" customHeight="1">
      <c r="A1384" s="11" t="s">
        <v>8812</v>
      </c>
      <c r="B1384" s="204" t="s">
        <v>2276</v>
      </c>
      <c r="C1384" s="204" t="s">
        <v>2276</v>
      </c>
      <c r="D1384" s="203" t="s">
        <v>137</v>
      </c>
      <c r="E1384" s="204" t="s">
        <v>2276</v>
      </c>
      <c r="F1384" s="204" t="s">
        <v>2276</v>
      </c>
      <c r="G1384" s="204" t="s">
        <v>2276</v>
      </c>
      <c r="H1384" s="204" t="s">
        <v>2276</v>
      </c>
      <c r="I1384" s="204" t="s">
        <v>2276</v>
      </c>
      <c r="J1384" s="204" t="s">
        <v>2276</v>
      </c>
      <c r="K1384" s="204" t="s">
        <v>2276</v>
      </c>
      <c r="L1384" s="204" t="s">
        <v>2276</v>
      </c>
      <c r="M1384" s="204" t="s">
        <v>2276</v>
      </c>
      <c r="N1384" s="204" t="s">
        <v>2276</v>
      </c>
      <c r="O1384" s="204" t="s">
        <v>2276</v>
      </c>
      <c r="P1384" s="204" t="s">
        <v>2276</v>
      </c>
      <c r="Q1384" s="204" t="s">
        <v>2276</v>
      </c>
      <c r="R1384" s="204" t="s">
        <v>2276</v>
      </c>
      <c r="S1384" s="204" t="s">
        <v>2276</v>
      </c>
      <c r="T1384" s="204"/>
    </row>
    <row r="1385" spans="1:20" ht="36.5" customHeight="1">
      <c r="A1385" s="11" t="s">
        <v>8813</v>
      </c>
      <c r="B1385" s="204" t="s">
        <v>2276</v>
      </c>
      <c r="C1385" s="204" t="s">
        <v>2276</v>
      </c>
      <c r="D1385" s="204" t="s">
        <v>2276</v>
      </c>
      <c r="E1385" s="204" t="s">
        <v>2276</v>
      </c>
      <c r="F1385" s="204" t="s">
        <v>2276</v>
      </c>
      <c r="G1385" s="204" t="s">
        <v>2276</v>
      </c>
      <c r="H1385" s="204" t="s">
        <v>2276</v>
      </c>
      <c r="I1385" s="204" t="s">
        <v>2276</v>
      </c>
      <c r="J1385" s="204" t="s">
        <v>2276</v>
      </c>
      <c r="K1385" s="204" t="s">
        <v>2276</v>
      </c>
      <c r="L1385" s="204" t="s">
        <v>2276</v>
      </c>
      <c r="M1385" s="204" t="s">
        <v>2276</v>
      </c>
      <c r="N1385" s="204" t="s">
        <v>2276</v>
      </c>
      <c r="O1385" s="204" t="s">
        <v>2276</v>
      </c>
      <c r="P1385" s="204" t="s">
        <v>2276</v>
      </c>
      <c r="Q1385" s="204" t="s">
        <v>2276</v>
      </c>
      <c r="R1385" s="204" t="s">
        <v>2276</v>
      </c>
      <c r="S1385" s="204" t="s">
        <v>2276</v>
      </c>
      <c r="T1385" s="204"/>
    </row>
    <row r="1386" spans="1:20" ht="36.5" customHeight="1">
      <c r="A1386" s="11" t="s">
        <v>8814</v>
      </c>
      <c r="B1386" s="204" t="s">
        <v>2276</v>
      </c>
      <c r="C1386" s="204" t="s">
        <v>2276</v>
      </c>
      <c r="D1386" s="204" t="s">
        <v>2276</v>
      </c>
      <c r="E1386" s="204" t="s">
        <v>2276</v>
      </c>
      <c r="F1386" s="204" t="s">
        <v>2276</v>
      </c>
      <c r="G1386" s="204" t="s">
        <v>2276</v>
      </c>
      <c r="H1386" s="204" t="s">
        <v>2276</v>
      </c>
      <c r="I1386" s="204" t="s">
        <v>2276</v>
      </c>
      <c r="J1386" s="204" t="s">
        <v>2276</v>
      </c>
      <c r="K1386" s="204" t="s">
        <v>2276</v>
      </c>
      <c r="L1386" s="204" t="s">
        <v>2276</v>
      </c>
      <c r="M1386" s="204" t="s">
        <v>2276</v>
      </c>
      <c r="N1386" s="204" t="s">
        <v>2276</v>
      </c>
      <c r="O1386" s="204" t="s">
        <v>2276</v>
      </c>
      <c r="P1386" s="204" t="s">
        <v>2276</v>
      </c>
      <c r="Q1386" s="204" t="s">
        <v>2276</v>
      </c>
      <c r="R1386" s="204" t="s">
        <v>2276</v>
      </c>
      <c r="S1386" s="204" t="s">
        <v>2276</v>
      </c>
      <c r="T1386" s="204"/>
    </row>
    <row r="1387" spans="1:20" ht="36.5" customHeight="1">
      <c r="A1387" s="11" t="s">
        <v>8815</v>
      </c>
      <c r="B1387" s="204" t="s">
        <v>2276</v>
      </c>
      <c r="C1387" s="204" t="s">
        <v>2276</v>
      </c>
      <c r="D1387" s="204" t="s">
        <v>2276</v>
      </c>
      <c r="E1387" s="204" t="s">
        <v>2276</v>
      </c>
      <c r="F1387" s="204" t="s">
        <v>2276</v>
      </c>
      <c r="G1387" s="204" t="s">
        <v>2276</v>
      </c>
      <c r="H1387" s="204" t="s">
        <v>2276</v>
      </c>
      <c r="I1387" s="204" t="s">
        <v>2276</v>
      </c>
      <c r="J1387" s="204" t="s">
        <v>2276</v>
      </c>
      <c r="K1387" s="204" t="s">
        <v>2276</v>
      </c>
      <c r="L1387" s="204" t="s">
        <v>2276</v>
      </c>
      <c r="M1387" s="204" t="s">
        <v>2276</v>
      </c>
      <c r="N1387" s="204" t="s">
        <v>2276</v>
      </c>
      <c r="O1387" s="204" t="s">
        <v>2276</v>
      </c>
      <c r="P1387" s="204" t="s">
        <v>2276</v>
      </c>
      <c r="Q1387" s="204" t="s">
        <v>2276</v>
      </c>
      <c r="R1387" s="204" t="s">
        <v>2276</v>
      </c>
      <c r="S1387" s="204" t="s">
        <v>2276</v>
      </c>
      <c r="T1387" s="204"/>
    </row>
    <row r="1388" spans="1:20" ht="49" customHeight="1">
      <c r="A1388" s="204" t="s">
        <v>8831</v>
      </c>
      <c r="B1388" s="204" t="s">
        <v>70</v>
      </c>
      <c r="C1388" s="204" t="s">
        <v>12</v>
      </c>
      <c r="D1388" s="4" t="s">
        <v>3854</v>
      </c>
      <c r="E1388" s="4" t="s">
        <v>397</v>
      </c>
      <c r="F1388" s="204" t="s">
        <v>2276</v>
      </c>
      <c r="G1388" s="204" t="s">
        <v>2276</v>
      </c>
      <c r="H1388" s="21">
        <f>(2*145+107*5+22*8+10*12)/300/I1388</f>
        <v>4.1441774491682075</v>
      </c>
      <c r="I1388" s="21">
        <f>(114*0.25+100*0.75+67*1.5+19*3.5)/300</f>
        <v>0.90166666666666662</v>
      </c>
      <c r="J1388" s="204" t="s">
        <v>2276</v>
      </c>
      <c r="K1388" s="204" t="s">
        <v>2276</v>
      </c>
      <c r="L1388" s="204" t="s">
        <v>2276</v>
      </c>
      <c r="M1388" s="204" t="s">
        <v>2276</v>
      </c>
      <c r="N1388" s="204" t="s">
        <v>2276</v>
      </c>
      <c r="O1388" s="204" t="s">
        <v>2276</v>
      </c>
      <c r="P1388" s="204" t="s">
        <v>2276</v>
      </c>
      <c r="Q1388" s="204" t="s">
        <v>2276</v>
      </c>
      <c r="R1388" s="204" t="s">
        <v>2276</v>
      </c>
      <c r="S1388" s="204" t="s">
        <v>2276</v>
      </c>
      <c r="T1388" s="204"/>
    </row>
    <row r="1389" spans="1:20" ht="41.5" customHeight="1">
      <c r="A1389" s="11" t="s">
        <v>8838</v>
      </c>
      <c r="B1389" s="204" t="s">
        <v>2276</v>
      </c>
      <c r="C1389" s="204" t="s">
        <v>12</v>
      </c>
      <c r="D1389" s="4" t="s">
        <v>396</v>
      </c>
      <c r="E1389" s="204" t="s">
        <v>2276</v>
      </c>
      <c r="F1389" s="204" t="s">
        <v>2276</v>
      </c>
      <c r="G1389" s="204" t="s">
        <v>2276</v>
      </c>
      <c r="H1389" s="204" t="s">
        <v>2276</v>
      </c>
      <c r="I1389" s="204" t="s">
        <v>2276</v>
      </c>
      <c r="J1389" s="204" t="s">
        <v>2276</v>
      </c>
      <c r="K1389" s="204" t="s">
        <v>2276</v>
      </c>
      <c r="L1389" s="204" t="s">
        <v>2276</v>
      </c>
      <c r="M1389" s="204" t="s">
        <v>2276</v>
      </c>
      <c r="N1389" s="204" t="s">
        <v>2276</v>
      </c>
      <c r="O1389" s="204" t="s">
        <v>2276</v>
      </c>
      <c r="P1389" s="204" t="s">
        <v>2276</v>
      </c>
      <c r="Q1389" s="204" t="s">
        <v>2276</v>
      </c>
      <c r="R1389" s="204" t="s">
        <v>2276</v>
      </c>
      <c r="S1389" s="204" t="s">
        <v>2276</v>
      </c>
      <c r="T1389" s="204"/>
    </row>
    <row r="1390" spans="1:20" ht="52.5" customHeight="1">
      <c r="A1390" s="11" t="s">
        <v>8844</v>
      </c>
      <c r="B1390" s="204" t="s">
        <v>2258</v>
      </c>
      <c r="C1390" s="204" t="s">
        <v>12</v>
      </c>
      <c r="D1390" s="204" t="s">
        <v>84</v>
      </c>
      <c r="E1390" s="204" t="s">
        <v>130</v>
      </c>
      <c r="F1390" s="204" t="s">
        <v>116</v>
      </c>
      <c r="G1390" s="204" t="s">
        <v>2649</v>
      </c>
      <c r="H1390" s="204" t="s">
        <v>2276</v>
      </c>
      <c r="I1390" s="204" t="s">
        <v>2276</v>
      </c>
      <c r="J1390" s="204" t="s">
        <v>2276</v>
      </c>
      <c r="K1390" s="204" t="s">
        <v>534</v>
      </c>
      <c r="L1390" s="204" t="s">
        <v>2276</v>
      </c>
      <c r="M1390" s="204" t="s">
        <v>2276</v>
      </c>
      <c r="N1390" s="21">
        <f>585000/'Record info'!K1390</f>
        <v>30.751487504645574</v>
      </c>
      <c r="O1390" s="204" t="s">
        <v>2276</v>
      </c>
      <c r="P1390" s="204" t="s">
        <v>2276</v>
      </c>
      <c r="Q1390" s="204" t="s">
        <v>2276</v>
      </c>
      <c r="R1390" s="204" t="s">
        <v>2276</v>
      </c>
      <c r="S1390" s="204" t="s">
        <v>2276</v>
      </c>
      <c r="T1390" s="204"/>
    </row>
    <row r="1391" spans="1:20" ht="46.5" customHeight="1">
      <c r="A1391" s="11" t="s">
        <v>8853</v>
      </c>
      <c r="B1391" s="204" t="s">
        <v>2276</v>
      </c>
      <c r="C1391" s="204" t="s">
        <v>12</v>
      </c>
      <c r="D1391" s="4" t="s">
        <v>397</v>
      </c>
      <c r="E1391" s="4" t="s">
        <v>130</v>
      </c>
      <c r="F1391" s="4" t="s">
        <v>2653</v>
      </c>
      <c r="G1391" s="4" t="s">
        <v>3854</v>
      </c>
      <c r="H1391" s="204" t="s">
        <v>2276</v>
      </c>
      <c r="I1391" s="204" t="s">
        <v>2276</v>
      </c>
      <c r="J1391" s="204" t="s">
        <v>2276</v>
      </c>
      <c r="K1391" s="204" t="s">
        <v>534</v>
      </c>
      <c r="L1391" s="204" t="s">
        <v>2276</v>
      </c>
      <c r="M1391" s="204" t="s">
        <v>2276</v>
      </c>
      <c r="N1391" s="204" t="s">
        <v>2276</v>
      </c>
      <c r="O1391" s="204" t="s">
        <v>2276</v>
      </c>
      <c r="P1391" s="204" t="s">
        <v>2276</v>
      </c>
      <c r="Q1391" s="204" t="s">
        <v>2276</v>
      </c>
      <c r="R1391" s="204" t="s">
        <v>2276</v>
      </c>
      <c r="S1391" s="204" t="s">
        <v>2276</v>
      </c>
      <c r="T1391" s="204"/>
    </row>
    <row r="1392" spans="1:20" ht="46.5" customHeight="1">
      <c r="A1392" s="11" t="s">
        <v>8861</v>
      </c>
      <c r="B1392" s="204" t="s">
        <v>2276</v>
      </c>
      <c r="C1392" s="204" t="s">
        <v>12</v>
      </c>
      <c r="D1392" s="4" t="s">
        <v>397</v>
      </c>
      <c r="E1392" s="4" t="s">
        <v>130</v>
      </c>
      <c r="F1392" s="4" t="s">
        <v>2653</v>
      </c>
      <c r="G1392" s="4" t="s">
        <v>3854</v>
      </c>
      <c r="H1392" s="204" t="s">
        <v>2276</v>
      </c>
      <c r="I1392" s="204" t="s">
        <v>2276</v>
      </c>
      <c r="J1392" s="204" t="s">
        <v>2276</v>
      </c>
      <c r="K1392" s="204" t="s">
        <v>534</v>
      </c>
      <c r="L1392" s="204" t="s">
        <v>2276</v>
      </c>
      <c r="M1392" s="204" t="s">
        <v>2276</v>
      </c>
      <c r="N1392" s="204" t="s">
        <v>2276</v>
      </c>
      <c r="O1392" s="204" t="s">
        <v>2276</v>
      </c>
      <c r="P1392" s="204" t="s">
        <v>2276</v>
      </c>
      <c r="Q1392" s="204" t="s">
        <v>2276</v>
      </c>
      <c r="R1392" s="204" t="s">
        <v>2276</v>
      </c>
      <c r="S1392" s="204" t="s">
        <v>2276</v>
      </c>
      <c r="T1392" s="204"/>
    </row>
    <row r="1393" spans="1:20" ht="46.5" customHeight="1">
      <c r="A1393" s="11" t="s">
        <v>8862</v>
      </c>
      <c r="B1393" s="204" t="s">
        <v>2276</v>
      </c>
      <c r="C1393" s="204" t="s">
        <v>12</v>
      </c>
      <c r="D1393" s="4" t="s">
        <v>397</v>
      </c>
      <c r="E1393" s="4" t="s">
        <v>130</v>
      </c>
      <c r="F1393" s="4" t="s">
        <v>2653</v>
      </c>
      <c r="G1393" s="4" t="s">
        <v>3854</v>
      </c>
      <c r="H1393" s="204" t="s">
        <v>2276</v>
      </c>
      <c r="I1393" s="204" t="s">
        <v>2276</v>
      </c>
      <c r="J1393" s="204" t="s">
        <v>2276</v>
      </c>
      <c r="K1393" s="204" t="s">
        <v>534</v>
      </c>
      <c r="L1393" s="204" t="s">
        <v>2276</v>
      </c>
      <c r="M1393" s="204" t="s">
        <v>2276</v>
      </c>
      <c r="N1393" s="204" t="s">
        <v>2276</v>
      </c>
      <c r="O1393" s="204" t="s">
        <v>2276</v>
      </c>
      <c r="P1393" s="204" t="s">
        <v>2276</v>
      </c>
      <c r="Q1393" s="204" t="s">
        <v>2276</v>
      </c>
      <c r="R1393" s="204" t="s">
        <v>2276</v>
      </c>
      <c r="S1393" s="204" t="s">
        <v>2276</v>
      </c>
      <c r="T1393" s="204"/>
    </row>
    <row r="1394" spans="1:20" ht="46.5" customHeight="1">
      <c r="A1394" s="11" t="s">
        <v>8863</v>
      </c>
      <c r="B1394" s="204" t="s">
        <v>2276</v>
      </c>
      <c r="C1394" s="204" t="s">
        <v>12</v>
      </c>
      <c r="D1394" s="4" t="s">
        <v>397</v>
      </c>
      <c r="E1394" s="4" t="s">
        <v>130</v>
      </c>
      <c r="F1394" s="4" t="s">
        <v>2653</v>
      </c>
      <c r="G1394" s="4" t="s">
        <v>3854</v>
      </c>
      <c r="H1394" s="204" t="s">
        <v>2276</v>
      </c>
      <c r="I1394" s="204" t="s">
        <v>2276</v>
      </c>
      <c r="J1394" s="204" t="s">
        <v>2276</v>
      </c>
      <c r="K1394" s="204" t="s">
        <v>534</v>
      </c>
      <c r="L1394" s="204" t="s">
        <v>2276</v>
      </c>
      <c r="M1394" s="204" t="s">
        <v>2276</v>
      </c>
      <c r="N1394" s="204" t="s">
        <v>2276</v>
      </c>
      <c r="O1394" s="204" t="s">
        <v>2276</v>
      </c>
      <c r="P1394" s="204" t="s">
        <v>2276</v>
      </c>
      <c r="Q1394" s="204" t="s">
        <v>2276</v>
      </c>
      <c r="R1394" s="204" t="s">
        <v>2276</v>
      </c>
      <c r="S1394" s="204" t="s">
        <v>2276</v>
      </c>
      <c r="T1394" s="204"/>
    </row>
    <row r="1395" spans="1:20" ht="44.5" customHeight="1">
      <c r="A1395" s="11" t="s">
        <v>8877</v>
      </c>
      <c r="B1395" s="204" t="s">
        <v>2276</v>
      </c>
      <c r="C1395" s="204" t="s">
        <v>12</v>
      </c>
      <c r="D1395" s="4" t="s">
        <v>2653</v>
      </c>
      <c r="E1395" s="204" t="s">
        <v>2652</v>
      </c>
      <c r="F1395" s="4" t="s">
        <v>130</v>
      </c>
      <c r="G1395" s="204" t="s">
        <v>2647</v>
      </c>
      <c r="H1395" s="204" t="s">
        <v>2276</v>
      </c>
      <c r="I1395" s="204" t="s">
        <v>2276</v>
      </c>
      <c r="J1395" s="204" t="s">
        <v>2276</v>
      </c>
      <c r="K1395" s="204" t="s">
        <v>2276</v>
      </c>
      <c r="L1395" s="204" t="s">
        <v>2276</v>
      </c>
      <c r="M1395" s="204" t="s">
        <v>2276</v>
      </c>
      <c r="N1395" s="204" t="s">
        <v>2276</v>
      </c>
      <c r="O1395" s="204" t="s">
        <v>2276</v>
      </c>
      <c r="P1395" s="204" t="s">
        <v>2276</v>
      </c>
      <c r="Q1395" s="204" t="s">
        <v>2276</v>
      </c>
      <c r="R1395" s="204" t="s">
        <v>2276</v>
      </c>
      <c r="S1395" s="204" t="s">
        <v>2276</v>
      </c>
      <c r="T1395" s="204"/>
    </row>
    <row r="1396" spans="1:20" ht="49.5" customHeight="1">
      <c r="A1396" s="11" t="s">
        <v>8894</v>
      </c>
      <c r="B1396" s="204" t="s">
        <v>70</v>
      </c>
      <c r="C1396" s="204" t="s">
        <v>12</v>
      </c>
      <c r="D1396" s="204" t="s">
        <v>45</v>
      </c>
      <c r="E1396" s="4" t="s">
        <v>130</v>
      </c>
      <c r="F1396" s="4" t="s">
        <v>3855</v>
      </c>
      <c r="G1396" s="204" t="s">
        <v>2276</v>
      </c>
      <c r="H1396" s="21">
        <f>15.37/I1396</f>
        <v>0.32378344217400462</v>
      </c>
      <c r="I1396" s="204">
        <v>47.47</v>
      </c>
      <c r="J1396" s="204" t="s">
        <v>2276</v>
      </c>
      <c r="K1396" s="204" t="s">
        <v>2276</v>
      </c>
      <c r="L1396" s="204" t="s">
        <v>2276</v>
      </c>
      <c r="M1396" s="204" t="s">
        <v>2276</v>
      </c>
      <c r="N1396" s="204" t="s">
        <v>2276</v>
      </c>
      <c r="O1396" s="204" t="s">
        <v>2276</v>
      </c>
      <c r="P1396" s="204" t="s">
        <v>2276</v>
      </c>
      <c r="Q1396" s="204" t="s">
        <v>2276</v>
      </c>
      <c r="R1396" s="204" t="s">
        <v>2276</v>
      </c>
      <c r="S1396" s="204" t="s">
        <v>2276</v>
      </c>
      <c r="T1396" s="204"/>
    </row>
    <row r="1397" spans="1:20" ht="49.5" customHeight="1">
      <c r="A1397" s="11" t="s">
        <v>8896</v>
      </c>
      <c r="B1397" s="204" t="s">
        <v>70</v>
      </c>
      <c r="C1397" s="204" t="s">
        <v>12</v>
      </c>
      <c r="D1397" s="204" t="s">
        <v>45</v>
      </c>
      <c r="E1397" s="4" t="s">
        <v>130</v>
      </c>
      <c r="F1397" s="4" t="s">
        <v>3855</v>
      </c>
      <c r="G1397" s="204" t="s">
        <v>2276</v>
      </c>
      <c r="H1397" s="21">
        <f>15.37/I1397</f>
        <v>0.32378344217400462</v>
      </c>
      <c r="I1397" s="204">
        <v>47.47</v>
      </c>
      <c r="J1397" s="204" t="s">
        <v>2276</v>
      </c>
      <c r="K1397" s="204" t="s">
        <v>2276</v>
      </c>
      <c r="L1397" s="204" t="s">
        <v>2276</v>
      </c>
      <c r="M1397" s="204" t="s">
        <v>2276</v>
      </c>
      <c r="N1397" s="204" t="s">
        <v>2276</v>
      </c>
      <c r="O1397" s="204" t="s">
        <v>2276</v>
      </c>
      <c r="P1397" s="204" t="s">
        <v>2276</v>
      </c>
      <c r="Q1397" s="204" t="s">
        <v>2276</v>
      </c>
      <c r="R1397" s="204" t="s">
        <v>2276</v>
      </c>
      <c r="S1397" s="204" t="s">
        <v>2276</v>
      </c>
      <c r="T1397" s="204"/>
    </row>
    <row r="1398" spans="1:20" ht="47" customHeight="1">
      <c r="A1398" s="11" t="s">
        <v>8922</v>
      </c>
      <c r="B1398" s="204" t="s">
        <v>2276</v>
      </c>
      <c r="C1398" s="204" t="s">
        <v>12</v>
      </c>
      <c r="D1398" s="204" t="s">
        <v>137</v>
      </c>
      <c r="E1398" s="204" t="s">
        <v>84</v>
      </c>
      <c r="F1398" s="204" t="s">
        <v>116</v>
      </c>
      <c r="G1398" s="204" t="s">
        <v>863</v>
      </c>
      <c r="H1398" s="204" t="s">
        <v>2276</v>
      </c>
      <c r="I1398" s="204" t="s">
        <v>2276</v>
      </c>
      <c r="J1398" s="204" t="s">
        <v>2276</v>
      </c>
      <c r="K1398" s="204" t="s">
        <v>534</v>
      </c>
      <c r="L1398" s="204" t="s">
        <v>2276</v>
      </c>
      <c r="M1398" s="204" t="s">
        <v>2276</v>
      </c>
      <c r="N1398" s="204" t="s">
        <v>2276</v>
      </c>
      <c r="O1398" s="204" t="s">
        <v>2276</v>
      </c>
      <c r="P1398" s="204" t="s">
        <v>2276</v>
      </c>
      <c r="Q1398" s="204" t="s">
        <v>2276</v>
      </c>
      <c r="R1398" s="21">
        <v>100</v>
      </c>
      <c r="S1398" s="204" t="s">
        <v>2276</v>
      </c>
      <c r="T1398" s="204" t="s">
        <v>8937</v>
      </c>
    </row>
    <row r="1399" spans="1:20" ht="42" customHeight="1">
      <c r="A1399" s="19" t="s">
        <v>8941</v>
      </c>
      <c r="B1399" s="4" t="s">
        <v>2276</v>
      </c>
      <c r="C1399" s="4" t="s">
        <v>12</v>
      </c>
      <c r="D1399" s="4" t="s">
        <v>116</v>
      </c>
      <c r="E1399" s="4" t="s">
        <v>397</v>
      </c>
      <c r="F1399" s="4" t="s">
        <v>2653</v>
      </c>
      <c r="G1399" s="4" t="s">
        <v>45</v>
      </c>
      <c r="H1399" s="204" t="s">
        <v>2276</v>
      </c>
      <c r="I1399" s="204" t="s">
        <v>2276</v>
      </c>
      <c r="J1399" s="204" t="s">
        <v>2276</v>
      </c>
      <c r="K1399" s="204" t="s">
        <v>534</v>
      </c>
      <c r="L1399" s="204" t="s">
        <v>2276</v>
      </c>
      <c r="M1399" s="204" t="s">
        <v>2276</v>
      </c>
      <c r="N1399" s="204" t="s">
        <v>2276</v>
      </c>
      <c r="O1399" s="204" t="s">
        <v>2276</v>
      </c>
      <c r="P1399" s="204" t="s">
        <v>2276</v>
      </c>
      <c r="Q1399" s="204" t="s">
        <v>2276</v>
      </c>
      <c r="R1399" s="204" t="s">
        <v>2276</v>
      </c>
      <c r="S1399" s="204" t="s">
        <v>2276</v>
      </c>
      <c r="T1399" s="204"/>
    </row>
    <row r="1400" spans="1:20" ht="36.5" customHeight="1">
      <c r="A1400" s="19" t="s">
        <v>8943</v>
      </c>
      <c r="B1400" s="4" t="s">
        <v>2276</v>
      </c>
      <c r="C1400" s="4" t="s">
        <v>2276</v>
      </c>
      <c r="D1400" s="4" t="s">
        <v>2276</v>
      </c>
      <c r="E1400" s="4" t="s">
        <v>2276</v>
      </c>
      <c r="F1400" s="4" t="s">
        <v>2276</v>
      </c>
      <c r="G1400" s="4" t="s">
        <v>2276</v>
      </c>
      <c r="H1400" s="4" t="s">
        <v>2276</v>
      </c>
      <c r="I1400" s="204" t="s">
        <v>2276</v>
      </c>
      <c r="J1400" s="204" t="s">
        <v>2276</v>
      </c>
      <c r="K1400" s="204" t="s">
        <v>534</v>
      </c>
      <c r="L1400" s="204" t="s">
        <v>2276</v>
      </c>
      <c r="M1400" s="204" t="s">
        <v>2276</v>
      </c>
      <c r="N1400" s="204" t="s">
        <v>2276</v>
      </c>
      <c r="O1400" s="204" t="s">
        <v>2276</v>
      </c>
      <c r="P1400" s="204" t="s">
        <v>2276</v>
      </c>
      <c r="Q1400" s="204" t="s">
        <v>2276</v>
      </c>
      <c r="R1400" s="204" t="s">
        <v>2276</v>
      </c>
      <c r="S1400" s="204" t="s">
        <v>2276</v>
      </c>
      <c r="T1400" s="204"/>
    </row>
    <row r="1401" spans="1:20" ht="39" customHeight="1">
      <c r="A1401" s="11" t="s">
        <v>8962</v>
      </c>
      <c r="B1401" s="204" t="s">
        <v>32</v>
      </c>
      <c r="C1401" s="204" t="s">
        <v>395</v>
      </c>
      <c r="D1401" s="204" t="s">
        <v>2653</v>
      </c>
      <c r="E1401" s="4" t="s">
        <v>397</v>
      </c>
      <c r="F1401" s="4" t="s">
        <v>45</v>
      </c>
      <c r="G1401" s="204" t="s">
        <v>137</v>
      </c>
      <c r="H1401" s="4" t="s">
        <v>2276</v>
      </c>
      <c r="I1401" s="4" t="s">
        <v>2276</v>
      </c>
      <c r="J1401" s="4" t="s">
        <v>2276</v>
      </c>
      <c r="K1401" s="4" t="s">
        <v>2276</v>
      </c>
      <c r="L1401" s="4" t="s">
        <v>2276</v>
      </c>
      <c r="M1401" s="4" t="s">
        <v>2276</v>
      </c>
      <c r="N1401" s="4" t="s">
        <v>2276</v>
      </c>
      <c r="O1401" s="21">
        <f>AVERAGE(24.8, 25.7, 25.2, 25.4)</f>
        <v>25.274999999999999</v>
      </c>
      <c r="P1401" s="21">
        <f>AVERAGE(6.2, 7.5, 11.2, 11.8)</f>
        <v>9.1750000000000007</v>
      </c>
      <c r="Q1401" s="4" t="s">
        <v>2276</v>
      </c>
      <c r="R1401" s="21">
        <f>AVERAGE(67.2, 64.8, 61.5, 60.6)</f>
        <v>63.524999999999999</v>
      </c>
      <c r="S1401" s="21">
        <f>100*(67.2-60.6)/67.2/23</f>
        <v>0.42701863354037273</v>
      </c>
      <c r="T1401" s="204"/>
    </row>
    <row r="1402" spans="1:20" ht="36.5" customHeight="1">
      <c r="A1402" s="11" t="s">
        <v>8969</v>
      </c>
      <c r="B1402" s="4" t="s">
        <v>2276</v>
      </c>
      <c r="C1402" s="204" t="s">
        <v>12</v>
      </c>
      <c r="D1402" s="4" t="s">
        <v>396</v>
      </c>
      <c r="E1402" s="4" t="s">
        <v>397</v>
      </c>
      <c r="F1402" s="204" t="s">
        <v>130</v>
      </c>
      <c r="G1402" s="4" t="s">
        <v>45</v>
      </c>
      <c r="H1402" s="4" t="s">
        <v>2276</v>
      </c>
      <c r="I1402" s="204">
        <f>AVERAGE(1.07, 2.15)</f>
        <v>1.6099999999999999</v>
      </c>
      <c r="J1402" s="4" t="s">
        <v>2276</v>
      </c>
      <c r="K1402" s="4" t="s">
        <v>2276</v>
      </c>
      <c r="L1402" s="4" t="s">
        <v>2276</v>
      </c>
      <c r="M1402" s="4" t="s">
        <v>2276</v>
      </c>
      <c r="N1402" s="4" t="s">
        <v>2276</v>
      </c>
      <c r="O1402" s="4" t="s">
        <v>2276</v>
      </c>
      <c r="P1402" s="4" t="s">
        <v>2276</v>
      </c>
      <c r="Q1402" s="4" t="s">
        <v>2276</v>
      </c>
      <c r="R1402" s="4" t="s">
        <v>2276</v>
      </c>
      <c r="S1402" s="4" t="s">
        <v>2276</v>
      </c>
      <c r="T1402" s="204"/>
    </row>
    <row r="1403" spans="1:20" ht="52" customHeight="1">
      <c r="A1403" s="11" t="s">
        <v>8976</v>
      </c>
      <c r="B1403" s="204" t="s">
        <v>32</v>
      </c>
      <c r="C1403" s="204" t="s">
        <v>12</v>
      </c>
      <c r="D1403" s="204" t="s">
        <v>45</v>
      </c>
      <c r="E1403" s="204" t="s">
        <v>5801</v>
      </c>
      <c r="F1403" s="4" t="s">
        <v>2276</v>
      </c>
      <c r="G1403" s="4" t="s">
        <v>2276</v>
      </c>
      <c r="H1403" s="4" t="s">
        <v>2276</v>
      </c>
      <c r="I1403" s="4" t="s">
        <v>2276</v>
      </c>
      <c r="J1403" s="4" t="s">
        <v>2276</v>
      </c>
      <c r="K1403" s="4" t="s">
        <v>2276</v>
      </c>
      <c r="L1403" s="4" t="s">
        <v>2276</v>
      </c>
      <c r="M1403" s="4" t="s">
        <v>2276</v>
      </c>
      <c r="N1403" s="4" t="s">
        <v>2276</v>
      </c>
      <c r="O1403" s="4" t="s">
        <v>2276</v>
      </c>
      <c r="P1403" s="4" t="s">
        <v>2276</v>
      </c>
      <c r="Q1403" s="4" t="s">
        <v>2276</v>
      </c>
      <c r="R1403" s="4" t="s">
        <v>2276</v>
      </c>
      <c r="S1403" s="4" t="s">
        <v>2276</v>
      </c>
      <c r="T1403" s="204"/>
    </row>
    <row r="1404" spans="1:20" ht="42" customHeight="1">
      <c r="A1404" s="11" t="s">
        <v>8984</v>
      </c>
      <c r="B1404" s="204" t="s">
        <v>1197</v>
      </c>
      <c r="C1404" s="204" t="s">
        <v>395</v>
      </c>
      <c r="D1404" s="204" t="s">
        <v>116</v>
      </c>
      <c r="E1404" s="204" t="s">
        <v>130</v>
      </c>
      <c r="F1404" s="4" t="s">
        <v>2276</v>
      </c>
      <c r="G1404" s="4" t="s">
        <v>2276</v>
      </c>
      <c r="H1404" s="4" t="s">
        <v>2276</v>
      </c>
      <c r="I1404" s="4" t="s">
        <v>2276</v>
      </c>
      <c r="J1404" s="4" t="s">
        <v>2276</v>
      </c>
      <c r="K1404" s="4" t="s">
        <v>2276</v>
      </c>
      <c r="L1404" s="4" t="s">
        <v>2276</v>
      </c>
      <c r="M1404" s="4" t="s">
        <v>2276</v>
      </c>
      <c r="N1404" s="4" t="s">
        <v>2276</v>
      </c>
      <c r="O1404" s="4" t="s">
        <v>2276</v>
      </c>
      <c r="P1404" s="4" t="s">
        <v>2276</v>
      </c>
      <c r="Q1404" s="4" t="s">
        <v>2276</v>
      </c>
      <c r="R1404" s="4" t="s">
        <v>2276</v>
      </c>
      <c r="S1404" s="21">
        <v>0.6</v>
      </c>
      <c r="T1404" s="204"/>
    </row>
    <row r="1405" spans="1:20" ht="37" customHeight="1">
      <c r="A1405" s="11" t="s">
        <v>8985</v>
      </c>
      <c r="B1405" s="204" t="s">
        <v>70</v>
      </c>
      <c r="C1405" s="204" t="s">
        <v>2645</v>
      </c>
      <c r="D1405" s="204" t="s">
        <v>84</v>
      </c>
      <c r="E1405" s="204" t="s">
        <v>45</v>
      </c>
      <c r="F1405" s="4" t="s">
        <v>2276</v>
      </c>
      <c r="G1405" s="4" t="s">
        <v>2276</v>
      </c>
      <c r="H1405" s="4" t="s">
        <v>2276</v>
      </c>
      <c r="I1405" s="4" t="s">
        <v>2276</v>
      </c>
      <c r="J1405" s="4" t="s">
        <v>2276</v>
      </c>
      <c r="K1405" s="4" t="s">
        <v>2276</v>
      </c>
      <c r="L1405" s="4" t="s">
        <v>2276</v>
      </c>
      <c r="M1405" s="4" t="s">
        <v>2276</v>
      </c>
      <c r="N1405" s="4" t="s">
        <v>2276</v>
      </c>
      <c r="O1405" s="4" t="s">
        <v>2276</v>
      </c>
      <c r="P1405" s="4" t="s">
        <v>2276</v>
      </c>
      <c r="Q1405" s="4" t="s">
        <v>2276</v>
      </c>
      <c r="R1405" s="4" t="s">
        <v>2276</v>
      </c>
      <c r="S1405" s="21">
        <f>AVERAGE(1.5, 26)</f>
        <v>13.75</v>
      </c>
      <c r="T1405" s="204"/>
    </row>
    <row r="1406" spans="1:20" ht="32" customHeight="1">
      <c r="A1406" s="11" t="s">
        <v>8993</v>
      </c>
      <c r="B1406" s="204" t="s">
        <v>2276</v>
      </c>
      <c r="C1406" s="204" t="s">
        <v>12</v>
      </c>
      <c r="D1406" s="4" t="s">
        <v>396</v>
      </c>
      <c r="E1406" s="4" t="s">
        <v>397</v>
      </c>
      <c r="F1406" s="4" t="s">
        <v>2276</v>
      </c>
      <c r="G1406" s="4" t="s">
        <v>2276</v>
      </c>
      <c r="H1406" s="4" t="s">
        <v>2276</v>
      </c>
      <c r="I1406" s="4" t="s">
        <v>2276</v>
      </c>
      <c r="J1406" s="4" t="s">
        <v>2276</v>
      </c>
      <c r="K1406" s="4" t="s">
        <v>2276</v>
      </c>
      <c r="L1406" s="4" t="s">
        <v>2276</v>
      </c>
      <c r="M1406" s="4" t="s">
        <v>2276</v>
      </c>
      <c r="N1406" s="4">
        <v>0</v>
      </c>
      <c r="O1406" s="4">
        <v>0</v>
      </c>
      <c r="P1406" s="21">
        <v>100</v>
      </c>
      <c r="Q1406" s="4">
        <v>0</v>
      </c>
      <c r="R1406" s="4">
        <v>0</v>
      </c>
      <c r="S1406" s="4">
        <v>0</v>
      </c>
      <c r="T1406" s="4"/>
    </row>
    <row r="1407" spans="1:20" ht="32" customHeight="1">
      <c r="A1407" s="11" t="s">
        <v>9002</v>
      </c>
      <c r="B1407" s="204" t="s">
        <v>2276</v>
      </c>
      <c r="C1407" s="204" t="s">
        <v>12</v>
      </c>
      <c r="D1407" s="4" t="s">
        <v>396</v>
      </c>
      <c r="E1407" s="4" t="s">
        <v>397</v>
      </c>
      <c r="F1407" s="4" t="s">
        <v>2276</v>
      </c>
      <c r="G1407" s="4" t="s">
        <v>2276</v>
      </c>
      <c r="H1407" s="4" t="s">
        <v>2276</v>
      </c>
      <c r="I1407" s="4" t="s">
        <v>2276</v>
      </c>
      <c r="J1407" s="4" t="s">
        <v>2276</v>
      </c>
      <c r="K1407" s="4" t="s">
        <v>2276</v>
      </c>
      <c r="L1407" s="4" t="s">
        <v>2276</v>
      </c>
      <c r="M1407" s="4" t="s">
        <v>2276</v>
      </c>
      <c r="N1407" s="4">
        <v>0</v>
      </c>
      <c r="O1407" s="4">
        <v>0</v>
      </c>
      <c r="P1407" s="21">
        <v>100</v>
      </c>
      <c r="Q1407" s="4">
        <v>0</v>
      </c>
      <c r="R1407" s="4">
        <v>0</v>
      </c>
      <c r="S1407" s="4">
        <v>0</v>
      </c>
      <c r="T1407" s="4"/>
    </row>
    <row r="1408" spans="1:20" ht="32" customHeight="1">
      <c r="A1408" s="11" t="s">
        <v>9009</v>
      </c>
      <c r="B1408" s="204" t="s">
        <v>2276</v>
      </c>
      <c r="C1408" s="204" t="s">
        <v>12</v>
      </c>
      <c r="D1408" s="4" t="s">
        <v>396</v>
      </c>
      <c r="E1408" s="4" t="s">
        <v>397</v>
      </c>
      <c r="F1408" s="4" t="s">
        <v>2276</v>
      </c>
      <c r="G1408" s="4" t="s">
        <v>2276</v>
      </c>
      <c r="H1408" s="4" t="s">
        <v>2276</v>
      </c>
      <c r="I1408" s="4" t="s">
        <v>2276</v>
      </c>
      <c r="J1408" s="4" t="s">
        <v>2276</v>
      </c>
      <c r="K1408" s="4" t="s">
        <v>2276</v>
      </c>
      <c r="L1408" s="4" t="s">
        <v>2276</v>
      </c>
      <c r="M1408" s="4" t="s">
        <v>2276</v>
      </c>
      <c r="N1408" s="4">
        <v>0</v>
      </c>
      <c r="O1408" s="4">
        <v>0</v>
      </c>
      <c r="P1408" s="21">
        <v>100</v>
      </c>
      <c r="Q1408" s="4">
        <v>0</v>
      </c>
      <c r="R1408" s="4">
        <v>0</v>
      </c>
      <c r="S1408" s="4">
        <v>0</v>
      </c>
      <c r="T1408" s="4"/>
    </row>
    <row r="1409" spans="1:20" ht="32" customHeight="1">
      <c r="A1409" s="11" t="s">
        <v>9003</v>
      </c>
      <c r="B1409" s="204" t="s">
        <v>2276</v>
      </c>
      <c r="C1409" s="204" t="s">
        <v>12</v>
      </c>
      <c r="D1409" s="4" t="s">
        <v>397</v>
      </c>
      <c r="E1409" s="4" t="s">
        <v>396</v>
      </c>
      <c r="F1409" s="4" t="s">
        <v>2276</v>
      </c>
      <c r="G1409" s="4" t="s">
        <v>2276</v>
      </c>
      <c r="H1409" s="4" t="s">
        <v>2276</v>
      </c>
      <c r="I1409" s="4" t="s">
        <v>2276</v>
      </c>
      <c r="J1409" s="4" t="s">
        <v>2276</v>
      </c>
      <c r="K1409" s="4" t="s">
        <v>2276</v>
      </c>
      <c r="L1409" s="4" t="s">
        <v>2276</v>
      </c>
      <c r="M1409" s="4" t="s">
        <v>2276</v>
      </c>
      <c r="N1409" s="4">
        <v>0</v>
      </c>
      <c r="O1409" s="4">
        <v>0</v>
      </c>
      <c r="P1409" s="21">
        <v>100</v>
      </c>
      <c r="Q1409" s="4">
        <v>0</v>
      </c>
      <c r="R1409" s="4">
        <v>0</v>
      </c>
      <c r="S1409" s="4">
        <v>0</v>
      </c>
      <c r="T1409" s="4"/>
    </row>
    <row r="1410" spans="1:20" ht="32" customHeight="1">
      <c r="A1410" s="11" t="s">
        <v>9004</v>
      </c>
      <c r="B1410" s="204" t="s">
        <v>2276</v>
      </c>
      <c r="C1410" s="204" t="s">
        <v>12</v>
      </c>
      <c r="D1410" s="4" t="s">
        <v>396</v>
      </c>
      <c r="E1410" s="4" t="s">
        <v>397</v>
      </c>
      <c r="F1410" s="4" t="s">
        <v>2276</v>
      </c>
      <c r="G1410" s="4" t="s">
        <v>2276</v>
      </c>
      <c r="H1410" s="4" t="s">
        <v>2276</v>
      </c>
      <c r="I1410" s="4" t="s">
        <v>2276</v>
      </c>
      <c r="J1410" s="4" t="s">
        <v>2276</v>
      </c>
      <c r="K1410" s="4" t="s">
        <v>2276</v>
      </c>
      <c r="L1410" s="4" t="s">
        <v>2276</v>
      </c>
      <c r="M1410" s="4" t="s">
        <v>2276</v>
      </c>
      <c r="N1410" s="4">
        <v>0</v>
      </c>
      <c r="O1410" s="4">
        <v>0</v>
      </c>
      <c r="P1410" s="21">
        <v>100</v>
      </c>
      <c r="Q1410" s="4">
        <v>0</v>
      </c>
      <c r="R1410" s="4">
        <v>0</v>
      </c>
      <c r="S1410" s="4">
        <v>0</v>
      </c>
      <c r="T1410" s="4"/>
    </row>
    <row r="1411" spans="1:20" ht="32" customHeight="1">
      <c r="A1411" s="11" t="s">
        <v>9005</v>
      </c>
      <c r="B1411" s="204" t="s">
        <v>2276</v>
      </c>
      <c r="C1411" s="204" t="s">
        <v>12</v>
      </c>
      <c r="D1411" s="4" t="s">
        <v>396</v>
      </c>
      <c r="E1411" s="4" t="s">
        <v>397</v>
      </c>
      <c r="F1411" s="4" t="s">
        <v>2276</v>
      </c>
      <c r="G1411" s="4" t="s">
        <v>2276</v>
      </c>
      <c r="H1411" s="4" t="s">
        <v>2276</v>
      </c>
      <c r="I1411" s="4" t="s">
        <v>2276</v>
      </c>
      <c r="J1411" s="4" t="s">
        <v>2276</v>
      </c>
      <c r="K1411" s="4" t="s">
        <v>2276</v>
      </c>
      <c r="L1411" s="4" t="s">
        <v>2276</v>
      </c>
      <c r="M1411" s="4" t="s">
        <v>2276</v>
      </c>
      <c r="N1411" s="4">
        <v>0</v>
      </c>
      <c r="O1411" s="4">
        <v>0</v>
      </c>
      <c r="P1411" s="21">
        <v>100</v>
      </c>
      <c r="Q1411" s="4">
        <v>0</v>
      </c>
      <c r="R1411" s="4">
        <v>0</v>
      </c>
      <c r="S1411" s="4">
        <v>0</v>
      </c>
      <c r="T1411" s="4"/>
    </row>
    <row r="1412" spans="1:20" ht="32" customHeight="1">
      <c r="A1412" s="11" t="s">
        <v>9006</v>
      </c>
      <c r="B1412" s="204" t="s">
        <v>2276</v>
      </c>
      <c r="C1412" s="204" t="s">
        <v>12</v>
      </c>
      <c r="D1412" s="4" t="s">
        <v>396</v>
      </c>
      <c r="E1412" s="4" t="s">
        <v>397</v>
      </c>
      <c r="F1412" s="4" t="s">
        <v>2276</v>
      </c>
      <c r="G1412" s="4" t="s">
        <v>2276</v>
      </c>
      <c r="H1412" s="4" t="s">
        <v>2276</v>
      </c>
      <c r="I1412" s="4" t="s">
        <v>2276</v>
      </c>
      <c r="J1412" s="4" t="s">
        <v>2276</v>
      </c>
      <c r="K1412" s="4" t="s">
        <v>2276</v>
      </c>
      <c r="L1412" s="4" t="s">
        <v>2276</v>
      </c>
      <c r="M1412" s="4" t="s">
        <v>2276</v>
      </c>
      <c r="N1412" s="4">
        <v>0</v>
      </c>
      <c r="O1412" s="4">
        <v>0</v>
      </c>
      <c r="P1412" s="21">
        <v>100</v>
      </c>
      <c r="Q1412" s="4">
        <v>0</v>
      </c>
      <c r="R1412" s="4">
        <v>0</v>
      </c>
      <c r="S1412" s="4">
        <v>0</v>
      </c>
      <c r="T1412" s="4"/>
    </row>
    <row r="1413" spans="1:20" ht="32" customHeight="1">
      <c r="A1413" s="11" t="s">
        <v>9007</v>
      </c>
      <c r="B1413" s="204" t="s">
        <v>2276</v>
      </c>
      <c r="C1413" s="204" t="s">
        <v>12</v>
      </c>
      <c r="D1413" s="4" t="s">
        <v>396</v>
      </c>
      <c r="E1413" s="4" t="s">
        <v>397</v>
      </c>
      <c r="F1413" s="4" t="s">
        <v>2276</v>
      </c>
      <c r="G1413" s="4" t="s">
        <v>2276</v>
      </c>
      <c r="H1413" s="4" t="s">
        <v>2276</v>
      </c>
      <c r="I1413" s="4" t="s">
        <v>2276</v>
      </c>
      <c r="J1413" s="4" t="s">
        <v>2276</v>
      </c>
      <c r="K1413" s="4" t="s">
        <v>2276</v>
      </c>
      <c r="L1413" s="4" t="s">
        <v>2276</v>
      </c>
      <c r="M1413" s="4" t="s">
        <v>2276</v>
      </c>
      <c r="N1413" s="4">
        <v>0</v>
      </c>
      <c r="O1413" s="4">
        <v>0</v>
      </c>
      <c r="P1413" s="21">
        <v>100</v>
      </c>
      <c r="Q1413" s="4">
        <v>0</v>
      </c>
      <c r="R1413" s="4">
        <v>0</v>
      </c>
      <c r="S1413" s="4">
        <v>0</v>
      </c>
      <c r="T1413" s="4"/>
    </row>
    <row r="1414" spans="1:20" ht="32" customHeight="1">
      <c r="A1414" s="11" t="s">
        <v>9008</v>
      </c>
      <c r="B1414" s="204" t="s">
        <v>2276</v>
      </c>
      <c r="C1414" s="204" t="s">
        <v>12</v>
      </c>
      <c r="D1414" s="4" t="s">
        <v>396</v>
      </c>
      <c r="E1414" s="4" t="s">
        <v>397</v>
      </c>
      <c r="F1414" s="4" t="s">
        <v>2276</v>
      </c>
      <c r="G1414" s="4" t="s">
        <v>2276</v>
      </c>
      <c r="H1414" s="4" t="s">
        <v>2276</v>
      </c>
      <c r="I1414" s="4" t="s">
        <v>2276</v>
      </c>
      <c r="J1414" s="4" t="s">
        <v>2276</v>
      </c>
      <c r="K1414" s="4" t="s">
        <v>2276</v>
      </c>
      <c r="L1414" s="4" t="s">
        <v>2276</v>
      </c>
      <c r="M1414" s="4" t="s">
        <v>2276</v>
      </c>
      <c r="N1414" s="4">
        <v>0</v>
      </c>
      <c r="O1414" s="4">
        <v>0</v>
      </c>
      <c r="P1414" s="21">
        <v>100</v>
      </c>
      <c r="Q1414" s="4">
        <v>0</v>
      </c>
      <c r="R1414" s="4">
        <v>0</v>
      </c>
      <c r="S1414" s="4">
        <v>0</v>
      </c>
      <c r="T1414" s="4"/>
    </row>
    <row r="1415" spans="1:20" ht="43" customHeight="1">
      <c r="A1415" s="11" t="s">
        <v>9120</v>
      </c>
      <c r="B1415" s="204" t="s">
        <v>2276</v>
      </c>
      <c r="C1415" s="204" t="s">
        <v>2645</v>
      </c>
      <c r="D1415" s="204" t="s">
        <v>2649</v>
      </c>
      <c r="E1415" s="204" t="s">
        <v>2653</v>
      </c>
      <c r="F1415" s="4" t="s">
        <v>5801</v>
      </c>
      <c r="G1415" s="4" t="s">
        <v>2276</v>
      </c>
      <c r="H1415" s="4" t="s">
        <v>2276</v>
      </c>
      <c r="I1415" s="4" t="s">
        <v>2276</v>
      </c>
      <c r="J1415" s="4" t="s">
        <v>2276</v>
      </c>
      <c r="K1415" s="204" t="s">
        <v>534</v>
      </c>
      <c r="L1415" s="4" t="s">
        <v>2276</v>
      </c>
      <c r="M1415" s="4" t="s">
        <v>2276</v>
      </c>
      <c r="N1415" s="21">
        <v>16</v>
      </c>
      <c r="O1415" s="4" t="s">
        <v>2276</v>
      </c>
      <c r="P1415" s="4" t="s">
        <v>2276</v>
      </c>
      <c r="Q1415" s="4" t="s">
        <v>2276</v>
      </c>
      <c r="R1415" s="4" t="s">
        <v>2276</v>
      </c>
      <c r="S1415" s="4" t="s">
        <v>2276</v>
      </c>
      <c r="T1415" s="204" t="s">
        <v>9130</v>
      </c>
    </row>
    <row r="1416" spans="1:20" ht="40.5" customHeight="1">
      <c r="A1416" s="11" t="s">
        <v>9121</v>
      </c>
      <c r="B1416" s="204" t="s">
        <v>2276</v>
      </c>
      <c r="C1416" s="204" t="s">
        <v>2645</v>
      </c>
      <c r="D1416" s="204" t="s">
        <v>2649</v>
      </c>
      <c r="E1416" s="4" t="s">
        <v>2276</v>
      </c>
      <c r="F1416" s="4" t="s">
        <v>2276</v>
      </c>
      <c r="G1416" s="4" t="s">
        <v>2276</v>
      </c>
      <c r="H1416" s="4" t="s">
        <v>2276</v>
      </c>
      <c r="I1416" s="4" t="s">
        <v>2276</v>
      </c>
      <c r="J1416" s="4" t="s">
        <v>2276</v>
      </c>
      <c r="K1416" s="204" t="s">
        <v>534</v>
      </c>
      <c r="L1416" s="4" t="s">
        <v>2276</v>
      </c>
      <c r="M1416" s="4" t="s">
        <v>2276</v>
      </c>
      <c r="N1416" s="21">
        <v>3.9</v>
      </c>
      <c r="O1416" s="4" t="s">
        <v>2276</v>
      </c>
      <c r="P1416" s="4" t="s">
        <v>2276</v>
      </c>
      <c r="Q1416" s="4" t="s">
        <v>2276</v>
      </c>
      <c r="R1416" s="4" t="s">
        <v>2276</v>
      </c>
      <c r="S1416" s="4" t="s">
        <v>2276</v>
      </c>
      <c r="T1416" s="204" t="s">
        <v>9130</v>
      </c>
    </row>
    <row r="1417" spans="1:20" ht="46.5" customHeight="1">
      <c r="A1417" s="11" t="s">
        <v>9135</v>
      </c>
      <c r="B1417" s="204" t="s">
        <v>70</v>
      </c>
      <c r="C1417" s="204" t="s">
        <v>2645</v>
      </c>
      <c r="D1417" s="204" t="s">
        <v>2649</v>
      </c>
      <c r="E1417" s="4" t="s">
        <v>2276</v>
      </c>
      <c r="F1417" s="4" t="s">
        <v>2276</v>
      </c>
      <c r="G1417" s="4" t="s">
        <v>2276</v>
      </c>
      <c r="H1417" s="4" t="s">
        <v>2276</v>
      </c>
      <c r="I1417" s="4" t="s">
        <v>2276</v>
      </c>
      <c r="J1417" s="4" t="s">
        <v>2276</v>
      </c>
      <c r="K1417" s="204" t="s">
        <v>534</v>
      </c>
      <c r="L1417" s="4" t="s">
        <v>2276</v>
      </c>
      <c r="M1417" s="4" t="s">
        <v>2276</v>
      </c>
      <c r="N1417" s="21">
        <f>'Reported burning'!V3492/'Reported burning'!X3492</f>
        <v>7.1658755274261603</v>
      </c>
      <c r="O1417" s="4" t="s">
        <v>2276</v>
      </c>
      <c r="P1417" s="4" t="s">
        <v>2276</v>
      </c>
      <c r="Q1417" s="4" t="s">
        <v>2276</v>
      </c>
      <c r="R1417" s="4" t="s">
        <v>2276</v>
      </c>
      <c r="S1417" s="4" t="s">
        <v>2276</v>
      </c>
      <c r="T1417" s="204"/>
    </row>
    <row r="1418" spans="1:20" ht="43.5" customHeight="1">
      <c r="A1418" s="35" t="s">
        <v>9148</v>
      </c>
      <c r="B1418" s="204" t="s">
        <v>2276</v>
      </c>
      <c r="C1418" s="204" t="s">
        <v>12</v>
      </c>
      <c r="D1418" s="204" t="s">
        <v>2649</v>
      </c>
      <c r="E1418" s="204" t="s">
        <v>2653</v>
      </c>
      <c r="F1418" s="4" t="s">
        <v>396</v>
      </c>
      <c r="G1418" s="204" t="s">
        <v>137</v>
      </c>
      <c r="H1418" s="4" t="s">
        <v>2276</v>
      </c>
      <c r="I1418" s="4" t="s">
        <v>2276</v>
      </c>
      <c r="J1418" s="4" t="s">
        <v>2276</v>
      </c>
      <c r="K1418" s="38" t="s">
        <v>534</v>
      </c>
      <c r="L1418" s="4" t="s">
        <v>2276</v>
      </c>
      <c r="M1418" s="4" t="s">
        <v>2276</v>
      </c>
      <c r="N1418" s="73">
        <f>2960000/756102</f>
        <v>3.9148157259205769</v>
      </c>
      <c r="O1418" s="73">
        <f>P1418</f>
        <v>23.042592137039712</v>
      </c>
      <c r="P1418" s="73">
        <f>(50-N1418)/2</f>
        <v>23.042592137039712</v>
      </c>
      <c r="Q1418" s="168" t="s">
        <v>2276</v>
      </c>
      <c r="R1418" s="73">
        <f>18.7</f>
        <v>18.7</v>
      </c>
      <c r="S1418" s="168" t="s">
        <v>2276</v>
      </c>
      <c r="T1418" s="35" t="s">
        <v>9180</v>
      </c>
    </row>
    <row r="1419" spans="1:20" ht="43.5" customHeight="1">
      <c r="A1419" s="11" t="s">
        <v>9164</v>
      </c>
      <c r="B1419" s="204" t="s">
        <v>2276</v>
      </c>
      <c r="C1419" s="204" t="s">
        <v>2276</v>
      </c>
      <c r="D1419" s="204" t="s">
        <v>2276</v>
      </c>
      <c r="E1419" s="204" t="s">
        <v>2276</v>
      </c>
      <c r="F1419" s="204" t="s">
        <v>2276</v>
      </c>
      <c r="G1419" s="204" t="s">
        <v>2276</v>
      </c>
      <c r="H1419" s="4" t="s">
        <v>2276</v>
      </c>
      <c r="I1419" s="4" t="s">
        <v>2276</v>
      </c>
      <c r="J1419" s="4" t="s">
        <v>2276</v>
      </c>
      <c r="K1419" s="4" t="s">
        <v>2276</v>
      </c>
      <c r="L1419" s="4" t="s">
        <v>2276</v>
      </c>
      <c r="M1419" s="4" t="s">
        <v>2276</v>
      </c>
      <c r="N1419" s="4" t="s">
        <v>2276</v>
      </c>
      <c r="O1419" s="4" t="s">
        <v>2276</v>
      </c>
      <c r="P1419" s="4" t="s">
        <v>2276</v>
      </c>
      <c r="Q1419" s="4" t="s">
        <v>2276</v>
      </c>
      <c r="R1419" s="4" t="s">
        <v>2276</v>
      </c>
      <c r="S1419" s="4" t="s">
        <v>2276</v>
      </c>
      <c r="T1419" s="204"/>
    </row>
    <row r="1420" spans="1:20" ht="43.5" customHeight="1">
      <c r="A1420" s="11" t="s">
        <v>9165</v>
      </c>
      <c r="B1420" s="204" t="s">
        <v>2276</v>
      </c>
      <c r="C1420" s="204" t="s">
        <v>2276</v>
      </c>
      <c r="D1420" s="204" t="s">
        <v>2276</v>
      </c>
      <c r="E1420" s="204" t="s">
        <v>2276</v>
      </c>
      <c r="F1420" s="204" t="s">
        <v>2276</v>
      </c>
      <c r="G1420" s="204" t="s">
        <v>2276</v>
      </c>
      <c r="H1420" s="4" t="s">
        <v>2276</v>
      </c>
      <c r="I1420" s="4" t="s">
        <v>2276</v>
      </c>
      <c r="J1420" s="4" t="s">
        <v>2276</v>
      </c>
      <c r="K1420" s="4" t="s">
        <v>2276</v>
      </c>
      <c r="L1420" s="4" t="s">
        <v>2276</v>
      </c>
      <c r="M1420" s="4" t="s">
        <v>2276</v>
      </c>
      <c r="N1420" s="4" t="s">
        <v>2276</v>
      </c>
      <c r="O1420" s="4" t="s">
        <v>2276</v>
      </c>
      <c r="P1420" s="4" t="s">
        <v>2276</v>
      </c>
      <c r="Q1420" s="4" t="s">
        <v>2276</v>
      </c>
      <c r="R1420" s="4" t="s">
        <v>2276</v>
      </c>
      <c r="S1420" s="4" t="s">
        <v>2276</v>
      </c>
      <c r="T1420" s="204"/>
    </row>
    <row r="1421" spans="1:20" ht="43.5" customHeight="1">
      <c r="A1421" s="11" t="s">
        <v>9166</v>
      </c>
      <c r="B1421" s="204" t="s">
        <v>2276</v>
      </c>
      <c r="C1421" s="204" t="s">
        <v>2276</v>
      </c>
      <c r="D1421" s="204" t="s">
        <v>2276</v>
      </c>
      <c r="E1421" s="204" t="s">
        <v>2276</v>
      </c>
      <c r="F1421" s="204" t="s">
        <v>2276</v>
      </c>
      <c r="G1421" s="204" t="s">
        <v>2276</v>
      </c>
      <c r="H1421" s="4" t="s">
        <v>2276</v>
      </c>
      <c r="I1421" s="4" t="s">
        <v>2276</v>
      </c>
      <c r="J1421" s="4" t="s">
        <v>2276</v>
      </c>
      <c r="K1421" s="4" t="s">
        <v>2276</v>
      </c>
      <c r="L1421" s="4" t="s">
        <v>2276</v>
      </c>
      <c r="M1421" s="4" t="s">
        <v>2276</v>
      </c>
      <c r="N1421" s="4" t="s">
        <v>2276</v>
      </c>
      <c r="O1421" s="4" t="s">
        <v>2276</v>
      </c>
      <c r="P1421" s="4" t="s">
        <v>2276</v>
      </c>
      <c r="Q1421" s="4" t="s">
        <v>2276</v>
      </c>
      <c r="R1421" s="4" t="s">
        <v>2276</v>
      </c>
      <c r="S1421" s="4" t="s">
        <v>2276</v>
      </c>
      <c r="T1421" s="204"/>
    </row>
    <row r="1422" spans="1:20" ht="43.5" customHeight="1">
      <c r="A1422" s="11" t="s">
        <v>9167</v>
      </c>
      <c r="B1422" s="204" t="s">
        <v>2276</v>
      </c>
      <c r="C1422" s="204" t="s">
        <v>2276</v>
      </c>
      <c r="D1422" s="204" t="s">
        <v>2276</v>
      </c>
      <c r="E1422" s="204" t="s">
        <v>2276</v>
      </c>
      <c r="F1422" s="204" t="s">
        <v>2276</v>
      </c>
      <c r="G1422" s="204" t="s">
        <v>2276</v>
      </c>
      <c r="H1422" s="4" t="s">
        <v>2276</v>
      </c>
      <c r="I1422" s="4" t="s">
        <v>2276</v>
      </c>
      <c r="J1422" s="4" t="s">
        <v>2276</v>
      </c>
      <c r="K1422" s="4" t="s">
        <v>2276</v>
      </c>
      <c r="L1422" s="4" t="s">
        <v>2276</v>
      </c>
      <c r="M1422" s="4" t="s">
        <v>2276</v>
      </c>
      <c r="N1422" s="4" t="s">
        <v>2276</v>
      </c>
      <c r="O1422" s="4" t="s">
        <v>2276</v>
      </c>
      <c r="P1422" s="4" t="s">
        <v>2276</v>
      </c>
      <c r="Q1422" s="4" t="s">
        <v>2276</v>
      </c>
      <c r="R1422" s="4" t="s">
        <v>2276</v>
      </c>
      <c r="S1422" s="4" t="s">
        <v>2276</v>
      </c>
      <c r="T1422" s="204"/>
    </row>
    <row r="1423" spans="1:20" ht="43.5" customHeight="1">
      <c r="A1423" s="11" t="s">
        <v>9168</v>
      </c>
      <c r="B1423" s="204" t="s">
        <v>2276</v>
      </c>
      <c r="C1423" s="204" t="s">
        <v>2276</v>
      </c>
      <c r="D1423" s="204" t="s">
        <v>2276</v>
      </c>
      <c r="E1423" s="204" t="s">
        <v>2276</v>
      </c>
      <c r="F1423" s="204" t="s">
        <v>2276</v>
      </c>
      <c r="G1423" s="204" t="s">
        <v>2276</v>
      </c>
      <c r="H1423" s="4" t="s">
        <v>2276</v>
      </c>
      <c r="I1423" s="4" t="s">
        <v>2276</v>
      </c>
      <c r="J1423" s="4" t="s">
        <v>2276</v>
      </c>
      <c r="K1423" s="4" t="s">
        <v>2276</v>
      </c>
      <c r="L1423" s="4" t="s">
        <v>2276</v>
      </c>
      <c r="M1423" s="4" t="s">
        <v>2276</v>
      </c>
      <c r="N1423" s="4" t="s">
        <v>2276</v>
      </c>
      <c r="O1423" s="4" t="s">
        <v>2276</v>
      </c>
      <c r="P1423" s="4" t="s">
        <v>2276</v>
      </c>
      <c r="Q1423" s="4" t="s">
        <v>2276</v>
      </c>
      <c r="R1423" s="4" t="s">
        <v>2276</v>
      </c>
      <c r="S1423" s="4" t="s">
        <v>2276</v>
      </c>
      <c r="T1423" s="204"/>
    </row>
    <row r="1424" spans="1:20" ht="43.5" customHeight="1">
      <c r="A1424" s="11" t="s">
        <v>9169</v>
      </c>
      <c r="B1424" s="204" t="s">
        <v>2276</v>
      </c>
      <c r="C1424" s="204" t="s">
        <v>2276</v>
      </c>
      <c r="D1424" s="204" t="s">
        <v>2653</v>
      </c>
      <c r="E1424" s="204" t="s">
        <v>2276</v>
      </c>
      <c r="F1424" s="204" t="s">
        <v>2276</v>
      </c>
      <c r="G1424" s="204" t="s">
        <v>2276</v>
      </c>
      <c r="H1424" s="4" t="s">
        <v>2276</v>
      </c>
      <c r="I1424" s="4" t="s">
        <v>2276</v>
      </c>
      <c r="J1424" s="4" t="s">
        <v>2276</v>
      </c>
      <c r="K1424" s="4" t="s">
        <v>2276</v>
      </c>
      <c r="L1424" s="4" t="s">
        <v>2276</v>
      </c>
      <c r="M1424" s="4" t="s">
        <v>2276</v>
      </c>
      <c r="N1424" s="4" t="s">
        <v>2276</v>
      </c>
      <c r="O1424" s="4" t="s">
        <v>2276</v>
      </c>
      <c r="P1424" s="4" t="s">
        <v>2276</v>
      </c>
      <c r="Q1424" s="4" t="s">
        <v>2276</v>
      </c>
      <c r="R1424" s="4" t="s">
        <v>2276</v>
      </c>
      <c r="S1424" s="4" t="s">
        <v>2276</v>
      </c>
      <c r="T1424" s="204"/>
    </row>
    <row r="1425" spans="1:20" ht="43.5" customHeight="1">
      <c r="A1425" s="11" t="s">
        <v>9170</v>
      </c>
      <c r="B1425" s="204" t="s">
        <v>2276</v>
      </c>
      <c r="C1425" s="204" t="s">
        <v>2276</v>
      </c>
      <c r="D1425" s="204" t="s">
        <v>2653</v>
      </c>
      <c r="E1425" s="204" t="s">
        <v>2276</v>
      </c>
      <c r="F1425" s="204" t="s">
        <v>2276</v>
      </c>
      <c r="G1425" s="204" t="s">
        <v>2276</v>
      </c>
      <c r="H1425" s="4" t="s">
        <v>2276</v>
      </c>
      <c r="I1425" s="4" t="s">
        <v>2276</v>
      </c>
      <c r="J1425" s="4" t="s">
        <v>2276</v>
      </c>
      <c r="K1425" s="4" t="s">
        <v>2276</v>
      </c>
      <c r="L1425" s="4" t="s">
        <v>2276</v>
      </c>
      <c r="M1425" s="4" t="s">
        <v>2276</v>
      </c>
      <c r="N1425" s="4" t="s">
        <v>2276</v>
      </c>
      <c r="O1425" s="4" t="s">
        <v>2276</v>
      </c>
      <c r="P1425" s="4" t="s">
        <v>2276</v>
      </c>
      <c r="Q1425" s="4" t="s">
        <v>2276</v>
      </c>
      <c r="R1425" s="4" t="s">
        <v>2276</v>
      </c>
      <c r="S1425" s="4" t="s">
        <v>2276</v>
      </c>
      <c r="T1425" s="204"/>
    </row>
    <row r="1426" spans="1:20" ht="43.5" customHeight="1">
      <c r="A1426" s="11" t="s">
        <v>9171</v>
      </c>
      <c r="B1426" s="204" t="s">
        <v>2276</v>
      </c>
      <c r="C1426" s="204" t="s">
        <v>2276</v>
      </c>
      <c r="D1426" s="204" t="s">
        <v>2276</v>
      </c>
      <c r="E1426" s="204" t="s">
        <v>2276</v>
      </c>
      <c r="F1426" s="204" t="s">
        <v>2276</v>
      </c>
      <c r="G1426" s="204" t="s">
        <v>2276</v>
      </c>
      <c r="H1426" s="4" t="s">
        <v>2276</v>
      </c>
      <c r="I1426" s="4" t="s">
        <v>2276</v>
      </c>
      <c r="J1426" s="4" t="s">
        <v>2276</v>
      </c>
      <c r="K1426" s="4" t="s">
        <v>2276</v>
      </c>
      <c r="L1426" s="4" t="s">
        <v>2276</v>
      </c>
      <c r="M1426" s="4" t="s">
        <v>2276</v>
      </c>
      <c r="N1426" s="4" t="s">
        <v>2276</v>
      </c>
      <c r="O1426" s="4" t="s">
        <v>2276</v>
      </c>
      <c r="P1426" s="4" t="s">
        <v>2276</v>
      </c>
      <c r="Q1426" s="4" t="s">
        <v>2276</v>
      </c>
      <c r="R1426" s="4" t="s">
        <v>2276</v>
      </c>
      <c r="S1426" s="4" t="s">
        <v>2276</v>
      </c>
      <c r="T1426" s="204"/>
    </row>
    <row r="1427" spans="1:20" ht="43.5" customHeight="1">
      <c r="A1427" s="11" t="s">
        <v>9172</v>
      </c>
      <c r="B1427" s="204" t="s">
        <v>2276</v>
      </c>
      <c r="C1427" s="204" t="s">
        <v>2276</v>
      </c>
      <c r="D1427" s="204" t="s">
        <v>2276</v>
      </c>
      <c r="E1427" s="204" t="s">
        <v>2276</v>
      </c>
      <c r="F1427" s="204" t="s">
        <v>2276</v>
      </c>
      <c r="G1427" s="204" t="s">
        <v>2276</v>
      </c>
      <c r="H1427" s="4" t="s">
        <v>2276</v>
      </c>
      <c r="I1427" s="4" t="s">
        <v>2276</v>
      </c>
      <c r="J1427" s="4" t="s">
        <v>2276</v>
      </c>
      <c r="K1427" s="4" t="s">
        <v>2276</v>
      </c>
      <c r="L1427" s="4" t="s">
        <v>2276</v>
      </c>
      <c r="M1427" s="4" t="s">
        <v>2276</v>
      </c>
      <c r="N1427" s="4" t="s">
        <v>2276</v>
      </c>
      <c r="O1427" s="4" t="s">
        <v>2276</v>
      </c>
      <c r="P1427" s="4" t="s">
        <v>2276</v>
      </c>
      <c r="Q1427" s="4" t="s">
        <v>2276</v>
      </c>
      <c r="R1427" s="4" t="s">
        <v>2276</v>
      </c>
      <c r="S1427" s="4" t="s">
        <v>2276</v>
      </c>
      <c r="T1427" s="204"/>
    </row>
    <row r="1428" spans="1:20" ht="43.5" customHeight="1">
      <c r="A1428" s="11" t="s">
        <v>9173</v>
      </c>
      <c r="B1428" s="204" t="s">
        <v>2276</v>
      </c>
      <c r="C1428" s="204" t="s">
        <v>2276</v>
      </c>
      <c r="D1428" s="204" t="s">
        <v>2276</v>
      </c>
      <c r="E1428" s="204" t="s">
        <v>2276</v>
      </c>
      <c r="F1428" s="204" t="s">
        <v>2276</v>
      </c>
      <c r="G1428" s="204" t="s">
        <v>2276</v>
      </c>
      <c r="H1428" s="4" t="s">
        <v>2276</v>
      </c>
      <c r="I1428" s="4" t="s">
        <v>2276</v>
      </c>
      <c r="J1428" s="4" t="s">
        <v>2276</v>
      </c>
      <c r="K1428" s="4" t="s">
        <v>2276</v>
      </c>
      <c r="L1428" s="4" t="s">
        <v>2276</v>
      </c>
      <c r="M1428" s="4" t="s">
        <v>2276</v>
      </c>
      <c r="N1428" s="4" t="s">
        <v>2276</v>
      </c>
      <c r="O1428" s="4" t="s">
        <v>2276</v>
      </c>
      <c r="P1428" s="4" t="s">
        <v>2276</v>
      </c>
      <c r="Q1428" s="4" t="s">
        <v>2276</v>
      </c>
      <c r="R1428" s="4" t="s">
        <v>2276</v>
      </c>
      <c r="S1428" s="4" t="s">
        <v>2276</v>
      </c>
      <c r="T1428" s="204"/>
    </row>
    <row r="1429" spans="1:20" ht="43.5" customHeight="1">
      <c r="A1429" s="11" t="s">
        <v>9174</v>
      </c>
      <c r="B1429" s="204" t="s">
        <v>2276</v>
      </c>
      <c r="C1429" s="204" t="s">
        <v>2645</v>
      </c>
      <c r="D1429" s="204" t="s">
        <v>2649</v>
      </c>
      <c r="E1429" s="204" t="s">
        <v>2276</v>
      </c>
      <c r="F1429" s="204" t="s">
        <v>2276</v>
      </c>
      <c r="G1429" s="204" t="s">
        <v>2276</v>
      </c>
      <c r="H1429" s="4" t="s">
        <v>2276</v>
      </c>
      <c r="I1429" s="4" t="s">
        <v>2276</v>
      </c>
      <c r="J1429" s="4" t="s">
        <v>2276</v>
      </c>
      <c r="K1429" s="204" t="s">
        <v>534</v>
      </c>
      <c r="L1429" s="4" t="s">
        <v>2276</v>
      </c>
      <c r="M1429" s="4" t="s">
        <v>2276</v>
      </c>
      <c r="N1429" s="4" t="s">
        <v>2276</v>
      </c>
      <c r="O1429" s="4" t="s">
        <v>2276</v>
      </c>
      <c r="P1429" s="4" t="s">
        <v>2276</v>
      </c>
      <c r="Q1429" s="4" t="s">
        <v>2276</v>
      </c>
      <c r="R1429" s="4" t="s">
        <v>2276</v>
      </c>
      <c r="S1429" s="4" t="s">
        <v>2276</v>
      </c>
      <c r="T1429" s="204"/>
    </row>
    <row r="1430" spans="1:20" ht="43.5" customHeight="1">
      <c r="A1430" s="11" t="s">
        <v>9175</v>
      </c>
      <c r="B1430" s="204" t="s">
        <v>2276</v>
      </c>
      <c r="C1430" s="204" t="s">
        <v>2645</v>
      </c>
      <c r="D1430" s="204" t="s">
        <v>2649</v>
      </c>
      <c r="E1430" s="4" t="s">
        <v>396</v>
      </c>
      <c r="F1430" s="204" t="s">
        <v>2276</v>
      </c>
      <c r="G1430" s="204" t="s">
        <v>2276</v>
      </c>
      <c r="H1430" s="4" t="s">
        <v>2276</v>
      </c>
      <c r="I1430" s="4" t="s">
        <v>2276</v>
      </c>
      <c r="J1430" s="4" t="s">
        <v>2276</v>
      </c>
      <c r="K1430" s="204" t="s">
        <v>534</v>
      </c>
      <c r="L1430" s="4" t="s">
        <v>2276</v>
      </c>
      <c r="M1430" s="4" t="s">
        <v>2276</v>
      </c>
      <c r="N1430" s="4" t="s">
        <v>2276</v>
      </c>
      <c r="O1430" s="4" t="s">
        <v>2276</v>
      </c>
      <c r="P1430" s="4" t="s">
        <v>2276</v>
      </c>
      <c r="Q1430" s="4" t="s">
        <v>2276</v>
      </c>
      <c r="R1430" s="4" t="s">
        <v>2276</v>
      </c>
      <c r="S1430" s="4" t="s">
        <v>2276</v>
      </c>
      <c r="T1430" s="204"/>
    </row>
    <row r="1431" spans="1:20" ht="43.5" customHeight="1">
      <c r="A1431" s="11" t="s">
        <v>9176</v>
      </c>
      <c r="B1431" s="204" t="s">
        <v>2276</v>
      </c>
      <c r="C1431" s="204" t="s">
        <v>2276</v>
      </c>
      <c r="D1431" s="204" t="s">
        <v>2276</v>
      </c>
      <c r="E1431" s="204" t="s">
        <v>2276</v>
      </c>
      <c r="F1431" s="204" t="s">
        <v>2276</v>
      </c>
      <c r="G1431" s="204" t="s">
        <v>2276</v>
      </c>
      <c r="H1431" s="4" t="s">
        <v>2276</v>
      </c>
      <c r="I1431" s="4" t="s">
        <v>2276</v>
      </c>
      <c r="J1431" s="4" t="s">
        <v>2276</v>
      </c>
      <c r="K1431" s="4" t="s">
        <v>2276</v>
      </c>
      <c r="L1431" s="4" t="s">
        <v>2276</v>
      </c>
      <c r="M1431" s="4" t="s">
        <v>2276</v>
      </c>
      <c r="N1431" s="4" t="s">
        <v>2276</v>
      </c>
      <c r="O1431" s="4" t="s">
        <v>2276</v>
      </c>
      <c r="P1431" s="4" t="s">
        <v>2276</v>
      </c>
      <c r="Q1431" s="4" t="s">
        <v>2276</v>
      </c>
      <c r="R1431" s="4" t="s">
        <v>2276</v>
      </c>
      <c r="S1431" s="4" t="s">
        <v>2276</v>
      </c>
      <c r="T1431" s="204"/>
    </row>
    <row r="1432" spans="1:20" ht="43.5" customHeight="1">
      <c r="A1432" s="11" t="s">
        <v>9177</v>
      </c>
      <c r="B1432" s="204" t="s">
        <v>2276</v>
      </c>
      <c r="C1432" s="204" t="s">
        <v>2276</v>
      </c>
      <c r="D1432" s="204" t="s">
        <v>2276</v>
      </c>
      <c r="E1432" s="204" t="s">
        <v>2276</v>
      </c>
      <c r="F1432" s="204" t="s">
        <v>2276</v>
      </c>
      <c r="G1432" s="204" t="s">
        <v>2276</v>
      </c>
      <c r="H1432" s="4" t="s">
        <v>2276</v>
      </c>
      <c r="I1432" s="4" t="s">
        <v>2276</v>
      </c>
      <c r="J1432" s="4" t="s">
        <v>2276</v>
      </c>
      <c r="K1432" s="4" t="s">
        <v>2276</v>
      </c>
      <c r="L1432" s="4" t="s">
        <v>2276</v>
      </c>
      <c r="M1432" s="4" t="s">
        <v>2276</v>
      </c>
      <c r="N1432" s="4" t="s">
        <v>2276</v>
      </c>
      <c r="O1432" s="4" t="s">
        <v>2276</v>
      </c>
      <c r="P1432" s="4" t="s">
        <v>2276</v>
      </c>
      <c r="Q1432" s="4" t="s">
        <v>2276</v>
      </c>
      <c r="R1432" s="4" t="s">
        <v>2276</v>
      </c>
      <c r="S1432" s="4" t="s">
        <v>2276</v>
      </c>
      <c r="T1432" s="204"/>
    </row>
    <row r="1433" spans="1:20" ht="43.5" customHeight="1">
      <c r="A1433" s="11" t="s">
        <v>9178</v>
      </c>
      <c r="B1433" s="204" t="s">
        <v>2276</v>
      </c>
      <c r="C1433" s="204" t="s">
        <v>2276</v>
      </c>
      <c r="D1433" s="204" t="s">
        <v>2276</v>
      </c>
      <c r="E1433" s="204" t="s">
        <v>2276</v>
      </c>
      <c r="F1433" s="204" t="s">
        <v>2276</v>
      </c>
      <c r="G1433" s="204" t="s">
        <v>2276</v>
      </c>
      <c r="H1433" s="4" t="s">
        <v>2276</v>
      </c>
      <c r="I1433" s="4" t="s">
        <v>2276</v>
      </c>
      <c r="J1433" s="4" t="s">
        <v>2276</v>
      </c>
      <c r="K1433" s="4" t="s">
        <v>2276</v>
      </c>
      <c r="L1433" s="4" t="s">
        <v>2276</v>
      </c>
      <c r="M1433" s="4" t="s">
        <v>2276</v>
      </c>
      <c r="N1433" s="4" t="s">
        <v>2276</v>
      </c>
      <c r="O1433" s="4" t="s">
        <v>2276</v>
      </c>
      <c r="P1433" s="4" t="s">
        <v>2276</v>
      </c>
      <c r="Q1433" s="4" t="s">
        <v>2276</v>
      </c>
      <c r="R1433" s="4" t="s">
        <v>2276</v>
      </c>
      <c r="S1433" s="4" t="s">
        <v>2276</v>
      </c>
      <c r="T1433" s="204"/>
    </row>
    <row r="1434" spans="1:20" s="203" customFormat="1" ht="43.5" customHeight="1">
      <c r="A1434" s="11" t="s">
        <v>9179</v>
      </c>
      <c r="B1434" s="204" t="s">
        <v>2276</v>
      </c>
      <c r="C1434" s="204" t="s">
        <v>2276</v>
      </c>
      <c r="D1434" s="204" t="s">
        <v>137</v>
      </c>
      <c r="E1434" s="204" t="s">
        <v>2276</v>
      </c>
      <c r="F1434" s="204" t="s">
        <v>2276</v>
      </c>
      <c r="G1434" s="204" t="s">
        <v>2276</v>
      </c>
      <c r="H1434" s="4" t="s">
        <v>2276</v>
      </c>
      <c r="I1434" s="4" t="s">
        <v>2276</v>
      </c>
      <c r="J1434" s="4" t="s">
        <v>2276</v>
      </c>
      <c r="K1434" s="4" t="s">
        <v>2276</v>
      </c>
      <c r="L1434" s="4" t="s">
        <v>2276</v>
      </c>
      <c r="M1434" s="4" t="s">
        <v>2276</v>
      </c>
      <c r="N1434" s="4" t="s">
        <v>2276</v>
      </c>
      <c r="O1434" s="4" t="s">
        <v>2276</v>
      </c>
      <c r="P1434" s="4" t="s">
        <v>2276</v>
      </c>
      <c r="Q1434" s="4" t="s">
        <v>2276</v>
      </c>
      <c r="R1434" s="4" t="s">
        <v>2276</v>
      </c>
      <c r="S1434" s="4" t="s">
        <v>2276</v>
      </c>
      <c r="T1434" s="204"/>
    </row>
    <row r="1435" spans="1:20" ht="43.5" customHeight="1">
      <c r="A1435" s="11" t="s">
        <v>9185</v>
      </c>
      <c r="B1435" s="204" t="s">
        <v>2276</v>
      </c>
      <c r="C1435" s="204" t="s">
        <v>12</v>
      </c>
      <c r="D1435" s="204" t="s">
        <v>2649</v>
      </c>
      <c r="E1435" s="204" t="s">
        <v>2653</v>
      </c>
      <c r="F1435" s="4" t="s">
        <v>396</v>
      </c>
      <c r="G1435" s="204" t="s">
        <v>137</v>
      </c>
      <c r="H1435" s="4" t="s">
        <v>2276</v>
      </c>
      <c r="I1435" s="4" t="s">
        <v>2276</v>
      </c>
      <c r="J1435" s="4" t="s">
        <v>2276</v>
      </c>
      <c r="K1435" s="204" t="s">
        <v>534</v>
      </c>
      <c r="L1435" s="4" t="s">
        <v>2276</v>
      </c>
      <c r="M1435" s="4" t="s">
        <v>2276</v>
      </c>
      <c r="N1435" s="21">
        <f>2960000/756102</f>
        <v>3.9148157259205769</v>
      </c>
      <c r="O1435" s="21">
        <f>P1435</f>
        <v>23.042592137039712</v>
      </c>
      <c r="P1435" s="21">
        <f>(50-N1435)/2</f>
        <v>23.042592137039712</v>
      </c>
      <c r="Q1435" s="4" t="s">
        <v>2276</v>
      </c>
      <c r="R1435" s="21">
        <f>18.7</f>
        <v>18.7</v>
      </c>
      <c r="S1435" s="4" t="s">
        <v>2276</v>
      </c>
      <c r="T1435" s="11" t="s">
        <v>9180</v>
      </c>
    </row>
    <row r="1436" spans="1:20" ht="43.5" customHeight="1">
      <c r="A1436" s="11" t="s">
        <v>9186</v>
      </c>
      <c r="B1436" s="204" t="s">
        <v>2276</v>
      </c>
      <c r="C1436" s="204" t="s">
        <v>12</v>
      </c>
      <c r="D1436" s="204" t="s">
        <v>2649</v>
      </c>
      <c r="E1436" s="204" t="s">
        <v>2653</v>
      </c>
      <c r="F1436" s="4" t="s">
        <v>396</v>
      </c>
      <c r="G1436" s="204" t="s">
        <v>137</v>
      </c>
      <c r="H1436" s="4" t="s">
        <v>2276</v>
      </c>
      <c r="I1436" s="4" t="s">
        <v>2276</v>
      </c>
      <c r="J1436" s="4" t="s">
        <v>2276</v>
      </c>
      <c r="K1436" s="204" t="s">
        <v>534</v>
      </c>
      <c r="L1436" s="4" t="s">
        <v>2276</v>
      </c>
      <c r="M1436" s="4" t="s">
        <v>2276</v>
      </c>
      <c r="N1436" s="21">
        <f>2960000/756102</f>
        <v>3.9148157259205769</v>
      </c>
      <c r="O1436" s="21">
        <f>P1436</f>
        <v>23.042592137039712</v>
      </c>
      <c r="P1436" s="21">
        <f>(50-N1436)/2</f>
        <v>23.042592137039712</v>
      </c>
      <c r="Q1436" s="4" t="s">
        <v>2276</v>
      </c>
      <c r="R1436" s="21">
        <f>18.7</f>
        <v>18.7</v>
      </c>
      <c r="S1436" s="4" t="s">
        <v>2276</v>
      </c>
      <c r="T1436" s="11" t="s">
        <v>9180</v>
      </c>
    </row>
    <row r="1437" spans="1:20" ht="43.5" customHeight="1">
      <c r="A1437" s="11" t="s">
        <v>9189</v>
      </c>
      <c r="B1437" s="204" t="s">
        <v>2276</v>
      </c>
      <c r="C1437" s="204" t="s">
        <v>2276</v>
      </c>
      <c r="D1437" s="204" t="s">
        <v>2276</v>
      </c>
      <c r="E1437" s="204" t="s">
        <v>2276</v>
      </c>
      <c r="F1437" s="204" t="s">
        <v>2276</v>
      </c>
      <c r="G1437" s="204" t="s">
        <v>2276</v>
      </c>
      <c r="H1437" s="4" t="s">
        <v>2276</v>
      </c>
      <c r="I1437" s="4" t="s">
        <v>2276</v>
      </c>
      <c r="J1437" s="4" t="s">
        <v>2276</v>
      </c>
      <c r="K1437" s="4" t="s">
        <v>2276</v>
      </c>
      <c r="L1437" s="4" t="s">
        <v>2276</v>
      </c>
      <c r="M1437" s="4" t="s">
        <v>2276</v>
      </c>
      <c r="N1437" s="4" t="s">
        <v>2276</v>
      </c>
      <c r="O1437" s="4" t="s">
        <v>2276</v>
      </c>
      <c r="P1437" s="4" t="s">
        <v>2276</v>
      </c>
      <c r="Q1437" s="4" t="s">
        <v>2276</v>
      </c>
      <c r="R1437" s="4" t="s">
        <v>2276</v>
      </c>
      <c r="S1437" s="4" t="s">
        <v>2276</v>
      </c>
      <c r="T1437" s="204"/>
    </row>
    <row r="1438" spans="1:20" ht="43.5" customHeight="1">
      <c r="A1438" s="11" t="s">
        <v>9190</v>
      </c>
      <c r="B1438" s="204" t="s">
        <v>2276</v>
      </c>
      <c r="C1438" s="204" t="s">
        <v>2276</v>
      </c>
      <c r="D1438" s="204" t="s">
        <v>2276</v>
      </c>
      <c r="E1438" s="204" t="s">
        <v>2276</v>
      </c>
      <c r="F1438" s="204" t="s">
        <v>2276</v>
      </c>
      <c r="G1438" s="204" t="s">
        <v>2276</v>
      </c>
      <c r="H1438" s="4" t="s">
        <v>2276</v>
      </c>
      <c r="I1438" s="4" t="s">
        <v>2276</v>
      </c>
      <c r="J1438" s="4" t="s">
        <v>2276</v>
      </c>
      <c r="K1438" s="4" t="s">
        <v>2276</v>
      </c>
      <c r="L1438" s="4" t="s">
        <v>2276</v>
      </c>
      <c r="M1438" s="4" t="s">
        <v>2276</v>
      </c>
      <c r="N1438" s="4" t="s">
        <v>2276</v>
      </c>
      <c r="O1438" s="4" t="s">
        <v>2276</v>
      </c>
      <c r="P1438" s="4" t="s">
        <v>2276</v>
      </c>
      <c r="Q1438" s="4" t="s">
        <v>2276</v>
      </c>
      <c r="R1438" s="4" t="s">
        <v>2276</v>
      </c>
      <c r="S1438" s="4" t="s">
        <v>2276</v>
      </c>
      <c r="T1438" s="204"/>
    </row>
    <row r="1439" spans="1:20" ht="43.5" customHeight="1">
      <c r="A1439" s="11" t="s">
        <v>9191</v>
      </c>
      <c r="B1439" s="204" t="s">
        <v>2276</v>
      </c>
      <c r="C1439" s="204" t="s">
        <v>2276</v>
      </c>
      <c r="D1439" s="204" t="s">
        <v>2276</v>
      </c>
      <c r="E1439" s="204" t="s">
        <v>2276</v>
      </c>
      <c r="F1439" s="204" t="s">
        <v>2276</v>
      </c>
      <c r="G1439" s="204" t="s">
        <v>2276</v>
      </c>
      <c r="H1439" s="4" t="s">
        <v>2276</v>
      </c>
      <c r="I1439" s="4" t="s">
        <v>2276</v>
      </c>
      <c r="J1439" s="4" t="s">
        <v>2276</v>
      </c>
      <c r="K1439" s="4" t="s">
        <v>2276</v>
      </c>
      <c r="L1439" s="4" t="s">
        <v>2276</v>
      </c>
      <c r="M1439" s="4" t="s">
        <v>2276</v>
      </c>
      <c r="N1439" s="4" t="s">
        <v>2276</v>
      </c>
      <c r="O1439" s="4" t="s">
        <v>2276</v>
      </c>
      <c r="P1439" s="4" t="s">
        <v>2276</v>
      </c>
      <c r="Q1439" s="4" t="s">
        <v>2276</v>
      </c>
      <c r="R1439" s="4" t="s">
        <v>2276</v>
      </c>
      <c r="S1439" s="4" t="s">
        <v>2276</v>
      </c>
      <c r="T1439" s="204"/>
    </row>
    <row r="1440" spans="1:20" ht="43.5" customHeight="1">
      <c r="A1440" s="11" t="s">
        <v>9192</v>
      </c>
      <c r="B1440" s="204" t="s">
        <v>2276</v>
      </c>
      <c r="C1440" s="204" t="s">
        <v>2276</v>
      </c>
      <c r="D1440" s="204" t="s">
        <v>2276</v>
      </c>
      <c r="E1440" s="204" t="s">
        <v>2276</v>
      </c>
      <c r="F1440" s="204" t="s">
        <v>2276</v>
      </c>
      <c r="G1440" s="204" t="s">
        <v>2276</v>
      </c>
      <c r="H1440" s="4" t="s">
        <v>2276</v>
      </c>
      <c r="I1440" s="4" t="s">
        <v>2276</v>
      </c>
      <c r="J1440" s="4" t="s">
        <v>2276</v>
      </c>
      <c r="K1440" s="4" t="s">
        <v>2276</v>
      </c>
      <c r="L1440" s="4" t="s">
        <v>2276</v>
      </c>
      <c r="M1440" s="4" t="s">
        <v>2276</v>
      </c>
      <c r="N1440" s="4" t="s">
        <v>2276</v>
      </c>
      <c r="O1440" s="4" t="s">
        <v>2276</v>
      </c>
      <c r="P1440" s="4" t="s">
        <v>2276</v>
      </c>
      <c r="Q1440" s="4" t="s">
        <v>2276</v>
      </c>
      <c r="R1440" s="4" t="s">
        <v>2276</v>
      </c>
      <c r="S1440" s="4" t="s">
        <v>2276</v>
      </c>
      <c r="T1440" s="204"/>
    </row>
    <row r="1441" spans="1:20" ht="43.5" customHeight="1">
      <c r="A1441" s="11" t="s">
        <v>9193</v>
      </c>
      <c r="B1441" s="204" t="s">
        <v>2276</v>
      </c>
      <c r="C1441" s="204" t="s">
        <v>2276</v>
      </c>
      <c r="D1441" s="204" t="s">
        <v>2276</v>
      </c>
      <c r="E1441" s="204" t="s">
        <v>2276</v>
      </c>
      <c r="F1441" s="204" t="s">
        <v>2276</v>
      </c>
      <c r="G1441" s="204" t="s">
        <v>2276</v>
      </c>
      <c r="H1441" s="4" t="s">
        <v>2276</v>
      </c>
      <c r="I1441" s="4" t="s">
        <v>2276</v>
      </c>
      <c r="J1441" s="4" t="s">
        <v>2276</v>
      </c>
      <c r="K1441" s="4" t="s">
        <v>2276</v>
      </c>
      <c r="L1441" s="4" t="s">
        <v>2276</v>
      </c>
      <c r="M1441" s="4" t="s">
        <v>2276</v>
      </c>
      <c r="N1441" s="4" t="s">
        <v>2276</v>
      </c>
      <c r="O1441" s="4" t="s">
        <v>2276</v>
      </c>
      <c r="P1441" s="4" t="s">
        <v>2276</v>
      </c>
      <c r="Q1441" s="4" t="s">
        <v>2276</v>
      </c>
      <c r="R1441" s="4" t="s">
        <v>2276</v>
      </c>
      <c r="S1441" s="4" t="s">
        <v>2276</v>
      </c>
      <c r="T1441" s="204"/>
    </row>
    <row r="1442" spans="1:20" ht="43.5" customHeight="1">
      <c r="A1442" s="11" t="s">
        <v>9194</v>
      </c>
      <c r="B1442" s="204" t="s">
        <v>2276</v>
      </c>
      <c r="C1442" s="204" t="s">
        <v>2646</v>
      </c>
      <c r="D1442" s="204" t="s">
        <v>2653</v>
      </c>
      <c r="E1442" s="204" t="s">
        <v>2276</v>
      </c>
      <c r="F1442" s="204" t="s">
        <v>2276</v>
      </c>
      <c r="G1442" s="204" t="s">
        <v>2276</v>
      </c>
      <c r="H1442" s="4" t="s">
        <v>2276</v>
      </c>
      <c r="I1442" s="4" t="s">
        <v>2276</v>
      </c>
      <c r="J1442" s="4" t="s">
        <v>2276</v>
      </c>
      <c r="K1442" s="4" t="s">
        <v>2276</v>
      </c>
      <c r="L1442" s="4" t="s">
        <v>2276</v>
      </c>
      <c r="M1442" s="4" t="s">
        <v>2276</v>
      </c>
      <c r="N1442" s="4" t="s">
        <v>2276</v>
      </c>
      <c r="O1442" s="4" t="s">
        <v>2276</v>
      </c>
      <c r="P1442" s="4" t="s">
        <v>2276</v>
      </c>
      <c r="Q1442" s="4" t="s">
        <v>2276</v>
      </c>
      <c r="R1442" s="4" t="s">
        <v>2276</v>
      </c>
      <c r="S1442" s="4" t="s">
        <v>2276</v>
      </c>
      <c r="T1442" s="204" t="s">
        <v>9238</v>
      </c>
    </row>
    <row r="1443" spans="1:20" ht="43.5" customHeight="1">
      <c r="A1443" s="11" t="s">
        <v>9195</v>
      </c>
      <c r="B1443" s="204" t="s">
        <v>2276</v>
      </c>
      <c r="C1443" s="204" t="s">
        <v>2646</v>
      </c>
      <c r="D1443" s="204" t="s">
        <v>2653</v>
      </c>
      <c r="E1443" s="204" t="s">
        <v>2276</v>
      </c>
      <c r="F1443" s="204" t="s">
        <v>2276</v>
      </c>
      <c r="G1443" s="204" t="s">
        <v>2276</v>
      </c>
      <c r="H1443" s="4" t="s">
        <v>2276</v>
      </c>
      <c r="I1443" s="4" t="s">
        <v>2276</v>
      </c>
      <c r="J1443" s="4" t="s">
        <v>2276</v>
      </c>
      <c r="K1443" s="4" t="s">
        <v>2276</v>
      </c>
      <c r="L1443" s="4" t="s">
        <v>2276</v>
      </c>
      <c r="M1443" s="4" t="s">
        <v>2276</v>
      </c>
      <c r="N1443" s="4" t="s">
        <v>2276</v>
      </c>
      <c r="O1443" s="4" t="s">
        <v>2276</v>
      </c>
      <c r="P1443" s="4" t="s">
        <v>2276</v>
      </c>
      <c r="Q1443" s="4" t="s">
        <v>2276</v>
      </c>
      <c r="R1443" s="4" t="s">
        <v>2276</v>
      </c>
      <c r="S1443" s="4" t="s">
        <v>2276</v>
      </c>
      <c r="T1443" s="204" t="s">
        <v>9238</v>
      </c>
    </row>
    <row r="1444" spans="1:20" ht="43.5" customHeight="1">
      <c r="A1444" s="11" t="s">
        <v>9196</v>
      </c>
      <c r="B1444" s="204" t="s">
        <v>2276</v>
      </c>
      <c r="C1444" s="204" t="s">
        <v>2276</v>
      </c>
      <c r="D1444" s="204" t="s">
        <v>2276</v>
      </c>
      <c r="E1444" s="204" t="s">
        <v>2276</v>
      </c>
      <c r="F1444" s="204" t="s">
        <v>2276</v>
      </c>
      <c r="G1444" s="204" t="s">
        <v>2276</v>
      </c>
      <c r="H1444" s="4" t="s">
        <v>2276</v>
      </c>
      <c r="I1444" s="4" t="s">
        <v>2276</v>
      </c>
      <c r="J1444" s="4" t="s">
        <v>2276</v>
      </c>
      <c r="K1444" s="4" t="s">
        <v>2276</v>
      </c>
      <c r="L1444" s="4" t="s">
        <v>2276</v>
      </c>
      <c r="M1444" s="4" t="s">
        <v>2276</v>
      </c>
      <c r="N1444" s="4" t="s">
        <v>2276</v>
      </c>
      <c r="O1444" s="4" t="s">
        <v>2276</v>
      </c>
      <c r="P1444" s="4" t="s">
        <v>2276</v>
      </c>
      <c r="Q1444" s="4" t="s">
        <v>2276</v>
      </c>
      <c r="R1444" s="4" t="s">
        <v>2276</v>
      </c>
      <c r="S1444" s="4" t="s">
        <v>2276</v>
      </c>
      <c r="T1444" s="204"/>
    </row>
    <row r="1445" spans="1:20" ht="43.5" customHeight="1">
      <c r="A1445" s="11" t="s">
        <v>9197</v>
      </c>
      <c r="B1445" s="204" t="s">
        <v>2276</v>
      </c>
      <c r="C1445" s="204" t="s">
        <v>2276</v>
      </c>
      <c r="D1445" s="204" t="s">
        <v>2276</v>
      </c>
      <c r="E1445" s="204" t="s">
        <v>2276</v>
      </c>
      <c r="F1445" s="204" t="s">
        <v>2276</v>
      </c>
      <c r="G1445" s="204" t="s">
        <v>2276</v>
      </c>
      <c r="H1445" s="4" t="s">
        <v>2276</v>
      </c>
      <c r="I1445" s="4" t="s">
        <v>2276</v>
      </c>
      <c r="J1445" s="4" t="s">
        <v>2276</v>
      </c>
      <c r="K1445" s="4" t="s">
        <v>2276</v>
      </c>
      <c r="L1445" s="4" t="s">
        <v>2276</v>
      </c>
      <c r="M1445" s="4" t="s">
        <v>2276</v>
      </c>
      <c r="N1445" s="4" t="s">
        <v>2276</v>
      </c>
      <c r="O1445" s="4" t="s">
        <v>2276</v>
      </c>
      <c r="P1445" s="4" t="s">
        <v>2276</v>
      </c>
      <c r="Q1445" s="4" t="s">
        <v>2276</v>
      </c>
      <c r="R1445" s="4" t="s">
        <v>2276</v>
      </c>
      <c r="S1445" s="4" t="s">
        <v>2276</v>
      </c>
      <c r="T1445" s="204"/>
    </row>
    <row r="1446" spans="1:20" ht="43.5" customHeight="1">
      <c r="A1446" s="11" t="s">
        <v>9198</v>
      </c>
      <c r="B1446" s="204" t="s">
        <v>2276</v>
      </c>
      <c r="C1446" s="204" t="s">
        <v>2276</v>
      </c>
      <c r="D1446" s="204" t="s">
        <v>2276</v>
      </c>
      <c r="E1446" s="204" t="s">
        <v>2276</v>
      </c>
      <c r="F1446" s="204" t="s">
        <v>2276</v>
      </c>
      <c r="G1446" s="204" t="s">
        <v>2276</v>
      </c>
      <c r="H1446" s="4" t="s">
        <v>2276</v>
      </c>
      <c r="I1446" s="4" t="s">
        <v>2276</v>
      </c>
      <c r="J1446" s="4" t="s">
        <v>2276</v>
      </c>
      <c r="K1446" s="4" t="s">
        <v>2276</v>
      </c>
      <c r="L1446" s="4" t="s">
        <v>2276</v>
      </c>
      <c r="M1446" s="4" t="s">
        <v>2276</v>
      </c>
      <c r="N1446" s="4" t="s">
        <v>2276</v>
      </c>
      <c r="O1446" s="4" t="s">
        <v>2276</v>
      </c>
      <c r="P1446" s="4" t="s">
        <v>2276</v>
      </c>
      <c r="Q1446" s="4" t="s">
        <v>2276</v>
      </c>
      <c r="R1446" s="4" t="s">
        <v>2276</v>
      </c>
      <c r="S1446" s="4" t="s">
        <v>2276</v>
      </c>
      <c r="T1446" s="204"/>
    </row>
    <row r="1447" spans="1:20" ht="43.5" customHeight="1">
      <c r="A1447" s="11" t="s">
        <v>9199</v>
      </c>
      <c r="B1447" s="204" t="s">
        <v>2276</v>
      </c>
      <c r="C1447" s="204" t="s">
        <v>2645</v>
      </c>
      <c r="D1447" s="204" t="s">
        <v>2649</v>
      </c>
      <c r="E1447" s="204" t="s">
        <v>2276</v>
      </c>
      <c r="F1447" s="204" t="s">
        <v>2276</v>
      </c>
      <c r="G1447" s="204" t="s">
        <v>2276</v>
      </c>
      <c r="H1447" s="4" t="s">
        <v>2276</v>
      </c>
      <c r="I1447" s="4" t="s">
        <v>2276</v>
      </c>
      <c r="J1447" s="4" t="s">
        <v>2276</v>
      </c>
      <c r="K1447" s="204" t="s">
        <v>534</v>
      </c>
      <c r="L1447" s="4" t="s">
        <v>2276</v>
      </c>
      <c r="M1447" s="4" t="s">
        <v>2276</v>
      </c>
      <c r="N1447" s="4" t="s">
        <v>2276</v>
      </c>
      <c r="O1447" s="4" t="s">
        <v>2276</v>
      </c>
      <c r="P1447" s="4" t="s">
        <v>2276</v>
      </c>
      <c r="Q1447" s="4" t="s">
        <v>2276</v>
      </c>
      <c r="R1447" s="4" t="s">
        <v>2276</v>
      </c>
      <c r="S1447" s="4" t="s">
        <v>2276</v>
      </c>
      <c r="T1447" s="204"/>
    </row>
    <row r="1448" spans="1:20" ht="43.5" customHeight="1">
      <c r="A1448" s="11" t="s">
        <v>9200</v>
      </c>
      <c r="B1448" s="204" t="s">
        <v>2276</v>
      </c>
      <c r="C1448" s="204" t="s">
        <v>2645</v>
      </c>
      <c r="D1448" s="204" t="s">
        <v>2649</v>
      </c>
      <c r="E1448" s="4" t="s">
        <v>396</v>
      </c>
      <c r="F1448" s="204" t="s">
        <v>2276</v>
      </c>
      <c r="G1448" s="204" t="s">
        <v>2276</v>
      </c>
      <c r="H1448" s="4" t="s">
        <v>2276</v>
      </c>
      <c r="I1448" s="4" t="s">
        <v>2276</v>
      </c>
      <c r="J1448" s="4" t="s">
        <v>2276</v>
      </c>
      <c r="K1448" s="204" t="s">
        <v>534</v>
      </c>
      <c r="L1448" s="4" t="s">
        <v>2276</v>
      </c>
      <c r="M1448" s="4" t="s">
        <v>2276</v>
      </c>
      <c r="N1448" s="4" t="s">
        <v>2276</v>
      </c>
      <c r="O1448" s="4" t="s">
        <v>2276</v>
      </c>
      <c r="P1448" s="4" t="s">
        <v>2276</v>
      </c>
      <c r="Q1448" s="4" t="s">
        <v>2276</v>
      </c>
      <c r="R1448" s="4" t="s">
        <v>2276</v>
      </c>
      <c r="S1448" s="4" t="s">
        <v>2276</v>
      </c>
      <c r="T1448" s="204"/>
    </row>
    <row r="1449" spans="1:20" ht="43.5" customHeight="1">
      <c r="A1449" s="11" t="s">
        <v>9201</v>
      </c>
      <c r="B1449" s="204" t="s">
        <v>2276</v>
      </c>
      <c r="C1449" s="204" t="s">
        <v>2276</v>
      </c>
      <c r="D1449" s="204" t="s">
        <v>2276</v>
      </c>
      <c r="E1449" s="204" t="s">
        <v>2276</v>
      </c>
      <c r="F1449" s="204" t="s">
        <v>2276</v>
      </c>
      <c r="G1449" s="204" t="s">
        <v>2276</v>
      </c>
      <c r="H1449" s="4" t="s">
        <v>2276</v>
      </c>
      <c r="I1449" s="4" t="s">
        <v>2276</v>
      </c>
      <c r="J1449" s="4" t="s">
        <v>2276</v>
      </c>
      <c r="K1449" s="4" t="s">
        <v>2276</v>
      </c>
      <c r="L1449" s="4" t="s">
        <v>2276</v>
      </c>
      <c r="M1449" s="4" t="s">
        <v>2276</v>
      </c>
      <c r="N1449" s="4" t="s">
        <v>2276</v>
      </c>
      <c r="O1449" s="4" t="s">
        <v>2276</v>
      </c>
      <c r="P1449" s="4" t="s">
        <v>2276</v>
      </c>
      <c r="Q1449" s="4" t="s">
        <v>2276</v>
      </c>
      <c r="R1449" s="4" t="s">
        <v>2276</v>
      </c>
      <c r="S1449" s="4" t="s">
        <v>2276</v>
      </c>
      <c r="T1449" s="204"/>
    </row>
    <row r="1450" spans="1:20" ht="43.5" customHeight="1">
      <c r="A1450" s="11" t="s">
        <v>9202</v>
      </c>
      <c r="B1450" s="204" t="s">
        <v>2276</v>
      </c>
      <c r="C1450" s="204" t="s">
        <v>2276</v>
      </c>
      <c r="D1450" s="204" t="s">
        <v>2276</v>
      </c>
      <c r="E1450" s="204" t="s">
        <v>2276</v>
      </c>
      <c r="F1450" s="204" t="s">
        <v>2276</v>
      </c>
      <c r="G1450" s="204" t="s">
        <v>2276</v>
      </c>
      <c r="H1450" s="4" t="s">
        <v>2276</v>
      </c>
      <c r="I1450" s="4" t="s">
        <v>2276</v>
      </c>
      <c r="J1450" s="4" t="s">
        <v>2276</v>
      </c>
      <c r="K1450" s="4" t="s">
        <v>2276</v>
      </c>
      <c r="L1450" s="4" t="s">
        <v>2276</v>
      </c>
      <c r="M1450" s="4" t="s">
        <v>2276</v>
      </c>
      <c r="N1450" s="4" t="s">
        <v>2276</v>
      </c>
      <c r="O1450" s="4" t="s">
        <v>2276</v>
      </c>
      <c r="P1450" s="4" t="s">
        <v>2276</v>
      </c>
      <c r="Q1450" s="4" t="s">
        <v>2276</v>
      </c>
      <c r="R1450" s="4" t="s">
        <v>2276</v>
      </c>
      <c r="S1450" s="4" t="s">
        <v>2276</v>
      </c>
      <c r="T1450" s="204"/>
    </row>
    <row r="1451" spans="1:20" ht="43.5" customHeight="1">
      <c r="A1451" s="11" t="s">
        <v>9203</v>
      </c>
      <c r="B1451" s="204" t="s">
        <v>2276</v>
      </c>
      <c r="C1451" s="204" t="s">
        <v>2276</v>
      </c>
      <c r="D1451" s="204" t="s">
        <v>2276</v>
      </c>
      <c r="E1451" s="204" t="s">
        <v>2276</v>
      </c>
      <c r="F1451" s="204" t="s">
        <v>2276</v>
      </c>
      <c r="G1451" s="204" t="s">
        <v>2276</v>
      </c>
      <c r="H1451" s="4" t="s">
        <v>2276</v>
      </c>
      <c r="I1451" s="4" t="s">
        <v>2276</v>
      </c>
      <c r="J1451" s="4" t="s">
        <v>2276</v>
      </c>
      <c r="K1451" s="4" t="s">
        <v>2276</v>
      </c>
      <c r="L1451" s="4" t="s">
        <v>2276</v>
      </c>
      <c r="M1451" s="4" t="s">
        <v>2276</v>
      </c>
      <c r="N1451" s="4" t="s">
        <v>2276</v>
      </c>
      <c r="O1451" s="4" t="s">
        <v>2276</v>
      </c>
      <c r="P1451" s="4" t="s">
        <v>2276</v>
      </c>
      <c r="Q1451" s="4" t="s">
        <v>2276</v>
      </c>
      <c r="R1451" s="4" t="s">
        <v>2276</v>
      </c>
      <c r="S1451" s="4" t="s">
        <v>2276</v>
      </c>
      <c r="T1451" s="204"/>
    </row>
    <row r="1452" spans="1:20" ht="51" customHeight="1">
      <c r="A1452" s="11" t="s">
        <v>9235</v>
      </c>
      <c r="B1452" s="204" t="s">
        <v>2276</v>
      </c>
      <c r="C1452" s="204" t="s">
        <v>2646</v>
      </c>
      <c r="D1452" s="204" t="s">
        <v>137</v>
      </c>
      <c r="E1452" s="204" t="s">
        <v>2652</v>
      </c>
      <c r="F1452" s="204" t="s">
        <v>2276</v>
      </c>
      <c r="G1452" s="204" t="s">
        <v>2276</v>
      </c>
      <c r="H1452" s="4" t="s">
        <v>2276</v>
      </c>
      <c r="I1452" s="4" t="s">
        <v>2276</v>
      </c>
      <c r="J1452" s="4" t="s">
        <v>2276</v>
      </c>
      <c r="K1452" s="4" t="s">
        <v>2276</v>
      </c>
      <c r="L1452" s="4" t="s">
        <v>2276</v>
      </c>
      <c r="M1452" s="4" t="s">
        <v>2276</v>
      </c>
      <c r="N1452" s="4" t="s">
        <v>2276</v>
      </c>
      <c r="O1452" s="4" t="s">
        <v>2276</v>
      </c>
      <c r="P1452" s="4" t="s">
        <v>2276</v>
      </c>
      <c r="Q1452" s="4" t="s">
        <v>2276</v>
      </c>
      <c r="R1452" s="4" t="s">
        <v>2276</v>
      </c>
      <c r="S1452" s="4" t="s">
        <v>2276</v>
      </c>
      <c r="T1452" s="204"/>
    </row>
    <row r="1453" spans="1:20" ht="48" customHeight="1">
      <c r="A1453" s="11" t="s">
        <v>9257</v>
      </c>
      <c r="B1453" s="204" t="s">
        <v>1197</v>
      </c>
      <c r="C1453" s="204" t="s">
        <v>2276</v>
      </c>
      <c r="D1453" s="204" t="s">
        <v>137</v>
      </c>
      <c r="E1453" s="204" t="s">
        <v>2276</v>
      </c>
      <c r="F1453" s="204" t="s">
        <v>2276</v>
      </c>
      <c r="G1453" s="204" t="s">
        <v>2276</v>
      </c>
      <c r="H1453" s="204" t="s">
        <v>2276</v>
      </c>
      <c r="I1453" s="204" t="s">
        <v>2276</v>
      </c>
      <c r="J1453" s="204" t="s">
        <v>2276</v>
      </c>
      <c r="K1453" s="204" t="s">
        <v>2276</v>
      </c>
      <c r="L1453" s="204" t="s">
        <v>2276</v>
      </c>
      <c r="M1453" s="204" t="s">
        <v>2276</v>
      </c>
      <c r="N1453" s="4">
        <v>0</v>
      </c>
      <c r="O1453" s="4">
        <v>0</v>
      </c>
      <c r="P1453" s="4">
        <v>0</v>
      </c>
      <c r="Q1453" s="4">
        <v>0</v>
      </c>
      <c r="R1453" s="21">
        <v>100</v>
      </c>
      <c r="S1453" s="4" t="s">
        <v>2276</v>
      </c>
      <c r="T1453" s="204"/>
    </row>
    <row r="1454" spans="1:20" ht="50" customHeight="1">
      <c r="A1454" s="11" t="s">
        <v>9258</v>
      </c>
      <c r="B1454" s="204" t="s">
        <v>2276</v>
      </c>
      <c r="C1454" s="204" t="s">
        <v>12</v>
      </c>
      <c r="D1454" s="4" t="s">
        <v>396</v>
      </c>
      <c r="E1454" s="204" t="s">
        <v>2276</v>
      </c>
      <c r="F1454" s="204" t="s">
        <v>2276</v>
      </c>
      <c r="G1454" s="204" t="s">
        <v>2276</v>
      </c>
      <c r="H1454" s="204" t="s">
        <v>2276</v>
      </c>
      <c r="I1454" s="204" t="s">
        <v>2276</v>
      </c>
      <c r="J1454" s="204" t="s">
        <v>2276</v>
      </c>
      <c r="K1454" s="204" t="s">
        <v>2276</v>
      </c>
      <c r="L1454" s="204" t="s">
        <v>2276</v>
      </c>
      <c r="M1454" s="204" t="s">
        <v>2276</v>
      </c>
      <c r="N1454" s="4">
        <v>0</v>
      </c>
      <c r="O1454" s="4">
        <v>0</v>
      </c>
      <c r="P1454" s="21">
        <v>100</v>
      </c>
      <c r="Q1454" s="4">
        <v>0</v>
      </c>
      <c r="R1454" s="4">
        <v>0</v>
      </c>
      <c r="S1454" s="4" t="s">
        <v>2276</v>
      </c>
      <c r="T1454" s="204"/>
    </row>
    <row r="1455" spans="1:20" ht="48" customHeight="1">
      <c r="A1455" s="11" t="s">
        <v>9265</v>
      </c>
      <c r="B1455" s="204" t="s">
        <v>70</v>
      </c>
      <c r="C1455" s="204" t="s">
        <v>2645</v>
      </c>
      <c r="D1455" s="204" t="s">
        <v>2649</v>
      </c>
      <c r="E1455" s="204" t="s">
        <v>2276</v>
      </c>
      <c r="F1455" s="204" t="s">
        <v>2276</v>
      </c>
      <c r="G1455" s="204" t="s">
        <v>2276</v>
      </c>
      <c r="H1455" s="204" t="s">
        <v>2276</v>
      </c>
      <c r="I1455" s="204" t="s">
        <v>2276</v>
      </c>
      <c r="J1455" s="204" t="s">
        <v>2276</v>
      </c>
      <c r="K1455" s="204" t="s">
        <v>534</v>
      </c>
      <c r="L1455" s="204" t="s">
        <v>2276</v>
      </c>
      <c r="M1455" s="204" t="s">
        <v>2276</v>
      </c>
      <c r="N1455" s="21">
        <v>100</v>
      </c>
      <c r="O1455" s="4">
        <v>0</v>
      </c>
      <c r="P1455" s="4">
        <v>0</v>
      </c>
      <c r="Q1455" s="4">
        <v>0</v>
      </c>
      <c r="R1455" s="4">
        <v>0</v>
      </c>
      <c r="S1455" s="204" t="s">
        <v>2276</v>
      </c>
      <c r="T1455" s="204"/>
    </row>
    <row r="1456" spans="1:20" ht="45.5" customHeight="1">
      <c r="A1456" s="11" t="s">
        <v>9276</v>
      </c>
      <c r="B1456" s="204" t="s">
        <v>70</v>
      </c>
      <c r="C1456" s="204" t="s">
        <v>2645</v>
      </c>
      <c r="D1456" s="204" t="s">
        <v>2649</v>
      </c>
      <c r="E1456" s="204" t="s">
        <v>2276</v>
      </c>
      <c r="F1456" s="204" t="s">
        <v>2276</v>
      </c>
      <c r="G1456" s="204" t="s">
        <v>2276</v>
      </c>
      <c r="H1456" s="204" t="s">
        <v>2276</v>
      </c>
      <c r="I1456" s="204" t="s">
        <v>2276</v>
      </c>
      <c r="J1456" s="204" t="s">
        <v>2276</v>
      </c>
      <c r="K1456" s="204" t="s">
        <v>534</v>
      </c>
      <c r="L1456" s="204" t="s">
        <v>2276</v>
      </c>
      <c r="M1456" s="204">
        <v>6.7690000000000001</v>
      </c>
      <c r="N1456" s="21">
        <v>100</v>
      </c>
      <c r="O1456" s="4">
        <v>0</v>
      </c>
      <c r="P1456" s="4">
        <v>0</v>
      </c>
      <c r="Q1456" s="4">
        <v>0</v>
      </c>
      <c r="R1456" s="4">
        <v>0</v>
      </c>
      <c r="S1456" s="204" t="s">
        <v>2276</v>
      </c>
      <c r="T1456" s="204"/>
    </row>
    <row r="1457" spans="1:20" ht="45.5" customHeight="1">
      <c r="A1457" s="11" t="s">
        <v>9279</v>
      </c>
      <c r="B1457" s="204" t="s">
        <v>2276</v>
      </c>
      <c r="C1457" s="204" t="s">
        <v>2645</v>
      </c>
      <c r="D1457" s="204" t="s">
        <v>2649</v>
      </c>
      <c r="E1457" s="204" t="s">
        <v>2653</v>
      </c>
      <c r="F1457" s="4" t="s">
        <v>396</v>
      </c>
      <c r="G1457" s="4" t="s">
        <v>397</v>
      </c>
      <c r="H1457" s="204" t="s">
        <v>2276</v>
      </c>
      <c r="I1457" s="204" t="s">
        <v>2276</v>
      </c>
      <c r="J1457" s="204" t="s">
        <v>2276</v>
      </c>
      <c r="K1457" s="204" t="s">
        <v>534</v>
      </c>
      <c r="L1457" s="204" t="s">
        <v>2276</v>
      </c>
      <c r="M1457" s="204" t="s">
        <v>2276</v>
      </c>
      <c r="N1457" s="21">
        <v>14</v>
      </c>
      <c r="O1457" s="21">
        <v>12</v>
      </c>
      <c r="P1457" s="21">
        <v>10</v>
      </c>
      <c r="Q1457" s="204" t="s">
        <v>2276</v>
      </c>
      <c r="R1457" s="21">
        <v>50</v>
      </c>
      <c r="S1457" s="204" t="s">
        <v>2276</v>
      </c>
      <c r="T1457" s="204" t="s">
        <v>9292</v>
      </c>
    </row>
    <row r="1458" spans="1:20" ht="51" customHeight="1">
      <c r="A1458" s="11" t="s">
        <v>9288</v>
      </c>
      <c r="B1458" s="204" t="s">
        <v>32</v>
      </c>
      <c r="C1458" s="204" t="s">
        <v>12</v>
      </c>
      <c r="D1458" s="204" t="s">
        <v>2649</v>
      </c>
      <c r="E1458" s="4" t="s">
        <v>397</v>
      </c>
      <c r="F1458" s="204" t="s">
        <v>5801</v>
      </c>
      <c r="G1458" s="204" t="s">
        <v>2276</v>
      </c>
      <c r="H1458" s="204" t="s">
        <v>2276</v>
      </c>
      <c r="I1458" s="204" t="s">
        <v>2276</v>
      </c>
      <c r="J1458" s="204" t="s">
        <v>2276</v>
      </c>
      <c r="K1458" s="204" t="s">
        <v>534</v>
      </c>
      <c r="L1458" s="204" t="s">
        <v>2276</v>
      </c>
      <c r="M1458" s="204" t="s">
        <v>2276</v>
      </c>
      <c r="N1458" s="204" t="s">
        <v>2276</v>
      </c>
      <c r="O1458" s="204" t="s">
        <v>2276</v>
      </c>
      <c r="P1458" s="204" t="s">
        <v>2276</v>
      </c>
      <c r="Q1458" s="204" t="s">
        <v>2276</v>
      </c>
      <c r="R1458" s="204" t="s">
        <v>2276</v>
      </c>
      <c r="S1458" s="204" t="s">
        <v>2276</v>
      </c>
      <c r="T1458" s="204"/>
    </row>
    <row r="1459" spans="1:20" ht="44.5" customHeight="1">
      <c r="A1459" s="11" t="s">
        <v>9293</v>
      </c>
      <c r="B1459" s="204" t="s">
        <v>32</v>
      </c>
      <c r="C1459" s="204" t="s">
        <v>2645</v>
      </c>
      <c r="D1459" s="204" t="s">
        <v>2649</v>
      </c>
      <c r="E1459" s="204" t="s">
        <v>137</v>
      </c>
      <c r="F1459" s="204" t="s">
        <v>116</v>
      </c>
      <c r="G1459" s="204" t="s">
        <v>2276</v>
      </c>
      <c r="H1459" s="178" t="s">
        <v>2276</v>
      </c>
      <c r="I1459" s="204" t="s">
        <v>2276</v>
      </c>
      <c r="J1459" s="204" t="s">
        <v>2276</v>
      </c>
      <c r="K1459" s="204" t="s">
        <v>534</v>
      </c>
      <c r="L1459" s="204" t="s">
        <v>2276</v>
      </c>
      <c r="M1459" s="204" t="s">
        <v>2276</v>
      </c>
      <c r="N1459" s="204" t="s">
        <v>2276</v>
      </c>
      <c r="O1459" s="204" t="s">
        <v>2276</v>
      </c>
      <c r="P1459" s="204" t="s">
        <v>2276</v>
      </c>
      <c r="Q1459" s="204" t="s">
        <v>2276</v>
      </c>
      <c r="R1459" s="204" t="s">
        <v>2276</v>
      </c>
      <c r="S1459" s="204" t="s">
        <v>2276</v>
      </c>
      <c r="T1459" s="41" t="s">
        <v>9296</v>
      </c>
    </row>
    <row r="1460" spans="1:20" ht="40" customHeight="1">
      <c r="A1460" s="11" t="s">
        <v>9302</v>
      </c>
      <c r="B1460" s="204" t="s">
        <v>32</v>
      </c>
      <c r="C1460" s="204" t="s">
        <v>2645</v>
      </c>
      <c r="D1460" s="204" t="s">
        <v>2649</v>
      </c>
      <c r="E1460" s="204" t="s">
        <v>137</v>
      </c>
      <c r="F1460" s="204" t="s">
        <v>2653</v>
      </c>
      <c r="G1460" s="204" t="s">
        <v>2276</v>
      </c>
      <c r="H1460" s="178" t="s">
        <v>2276</v>
      </c>
      <c r="I1460" s="204" t="s">
        <v>2276</v>
      </c>
      <c r="J1460" s="204" t="s">
        <v>2276</v>
      </c>
      <c r="K1460" s="204" t="s">
        <v>534</v>
      </c>
      <c r="L1460" s="204" t="s">
        <v>2276</v>
      </c>
      <c r="M1460" s="204" t="s">
        <v>2276</v>
      </c>
      <c r="N1460" s="204" t="s">
        <v>2276</v>
      </c>
      <c r="O1460" s="204" t="s">
        <v>2276</v>
      </c>
      <c r="P1460" s="204" t="s">
        <v>2276</v>
      </c>
      <c r="Q1460" s="204" t="s">
        <v>2276</v>
      </c>
      <c r="R1460" s="204" t="s">
        <v>2276</v>
      </c>
      <c r="S1460" s="204" t="s">
        <v>2276</v>
      </c>
      <c r="T1460" s="204"/>
    </row>
    <row r="1461" spans="1:20" ht="42.5" customHeight="1">
      <c r="A1461" s="11" t="s">
        <v>9303</v>
      </c>
      <c r="B1461" s="204" t="s">
        <v>32</v>
      </c>
      <c r="C1461" s="204" t="s">
        <v>2645</v>
      </c>
      <c r="D1461" s="204" t="s">
        <v>2649</v>
      </c>
      <c r="E1461" s="204" t="s">
        <v>137</v>
      </c>
      <c r="F1461" s="204" t="s">
        <v>2653</v>
      </c>
      <c r="G1461" s="204" t="s">
        <v>2276</v>
      </c>
      <c r="H1461" s="178" t="s">
        <v>2276</v>
      </c>
      <c r="I1461" s="204" t="s">
        <v>2276</v>
      </c>
      <c r="J1461" s="204" t="s">
        <v>2276</v>
      </c>
      <c r="K1461" s="204" t="s">
        <v>534</v>
      </c>
      <c r="L1461" s="204" t="s">
        <v>2276</v>
      </c>
      <c r="M1461" s="204" t="s">
        <v>2276</v>
      </c>
      <c r="N1461" s="204" t="s">
        <v>2276</v>
      </c>
      <c r="O1461" s="204" t="s">
        <v>2276</v>
      </c>
      <c r="P1461" s="204" t="s">
        <v>2276</v>
      </c>
      <c r="Q1461" s="204" t="s">
        <v>2276</v>
      </c>
      <c r="R1461" s="204" t="s">
        <v>2276</v>
      </c>
      <c r="S1461" s="204" t="s">
        <v>2276</v>
      </c>
      <c r="T1461" s="204"/>
    </row>
    <row r="1462" spans="1:20" ht="37" customHeight="1">
      <c r="A1462" s="11" t="s">
        <v>9314</v>
      </c>
      <c r="B1462" s="204" t="s">
        <v>1197</v>
      </c>
      <c r="C1462" s="204" t="s">
        <v>2645</v>
      </c>
      <c r="D1462" s="204" t="s">
        <v>3209</v>
      </c>
      <c r="E1462" s="204" t="s">
        <v>2649</v>
      </c>
      <c r="F1462" s="204" t="s">
        <v>137</v>
      </c>
      <c r="G1462" s="204" t="s">
        <v>2276</v>
      </c>
      <c r="H1462" s="178" t="s">
        <v>2276</v>
      </c>
      <c r="I1462" s="204" t="s">
        <v>2276</v>
      </c>
      <c r="J1462" s="204" t="s">
        <v>2276</v>
      </c>
      <c r="K1462" s="204" t="s">
        <v>2276</v>
      </c>
      <c r="L1462" s="204" t="s">
        <v>2276</v>
      </c>
      <c r="M1462" s="204" t="s">
        <v>2276</v>
      </c>
      <c r="N1462" s="204" t="s">
        <v>2276</v>
      </c>
      <c r="O1462" s="204" t="s">
        <v>2276</v>
      </c>
      <c r="P1462" s="204" t="s">
        <v>2276</v>
      </c>
      <c r="Q1462" s="204" t="s">
        <v>2276</v>
      </c>
      <c r="R1462" s="204" t="s">
        <v>2276</v>
      </c>
      <c r="S1462" s="204" t="s">
        <v>2276</v>
      </c>
      <c r="T1462" s="204"/>
    </row>
    <row r="1463" spans="1:20" ht="42.5" customHeight="1">
      <c r="A1463" s="11" t="s">
        <v>9322</v>
      </c>
      <c r="B1463" s="204" t="s">
        <v>32</v>
      </c>
      <c r="C1463" s="204" t="s">
        <v>2276</v>
      </c>
      <c r="D1463" s="204" t="s">
        <v>2649</v>
      </c>
      <c r="E1463" s="204" t="s">
        <v>137</v>
      </c>
      <c r="F1463" s="204" t="s">
        <v>2653</v>
      </c>
      <c r="G1463" s="204" t="s">
        <v>116</v>
      </c>
      <c r="H1463" s="178" t="s">
        <v>2276</v>
      </c>
      <c r="I1463" s="178" t="s">
        <v>2276</v>
      </c>
      <c r="J1463" s="178" t="s">
        <v>2276</v>
      </c>
      <c r="K1463" s="178" t="s">
        <v>2276</v>
      </c>
      <c r="L1463" s="178" t="s">
        <v>2276</v>
      </c>
      <c r="M1463" s="178" t="s">
        <v>2276</v>
      </c>
      <c r="N1463" s="178" t="s">
        <v>2276</v>
      </c>
      <c r="O1463" s="178" t="s">
        <v>2276</v>
      </c>
      <c r="P1463" s="178" t="s">
        <v>2276</v>
      </c>
      <c r="Q1463" s="178" t="s">
        <v>2276</v>
      </c>
      <c r="R1463" s="178" t="s">
        <v>2276</v>
      </c>
      <c r="S1463" s="178" t="s">
        <v>2276</v>
      </c>
      <c r="T1463" s="204"/>
    </row>
    <row r="1464" spans="1:20" ht="42.5" customHeight="1">
      <c r="A1464" s="11" t="s">
        <v>9345</v>
      </c>
      <c r="B1464" s="204" t="s">
        <v>32</v>
      </c>
      <c r="C1464" s="204" t="s">
        <v>2276</v>
      </c>
      <c r="D1464" s="204" t="s">
        <v>2653</v>
      </c>
      <c r="E1464" s="204" t="s">
        <v>3209</v>
      </c>
      <c r="F1464" s="204" t="s">
        <v>2276</v>
      </c>
      <c r="G1464" s="204" t="s">
        <v>2276</v>
      </c>
      <c r="H1464" s="204" t="s">
        <v>2276</v>
      </c>
      <c r="I1464" s="204" t="s">
        <v>2276</v>
      </c>
      <c r="J1464" s="204" t="s">
        <v>2276</v>
      </c>
      <c r="K1464" s="204" t="s">
        <v>2276</v>
      </c>
      <c r="L1464" s="204" t="s">
        <v>2276</v>
      </c>
      <c r="M1464" s="204" t="s">
        <v>2276</v>
      </c>
      <c r="N1464" s="204" t="s">
        <v>2276</v>
      </c>
      <c r="O1464" s="204" t="s">
        <v>2276</v>
      </c>
      <c r="P1464" s="204" t="s">
        <v>2276</v>
      </c>
      <c r="Q1464" s="204" t="s">
        <v>2276</v>
      </c>
      <c r="R1464" s="204" t="s">
        <v>2276</v>
      </c>
      <c r="S1464" s="204" t="s">
        <v>2276</v>
      </c>
      <c r="T1464" s="204"/>
    </row>
    <row r="1465" spans="1:20" ht="42.5" customHeight="1">
      <c r="A1465" s="11" t="s">
        <v>9346</v>
      </c>
      <c r="B1465" s="204" t="s">
        <v>32</v>
      </c>
      <c r="C1465" s="204" t="s">
        <v>2276</v>
      </c>
      <c r="D1465" s="204" t="s">
        <v>2653</v>
      </c>
      <c r="E1465" s="204" t="s">
        <v>3209</v>
      </c>
      <c r="F1465" s="204" t="s">
        <v>2276</v>
      </c>
      <c r="G1465" s="204" t="s">
        <v>2276</v>
      </c>
      <c r="H1465" s="204" t="s">
        <v>2276</v>
      </c>
      <c r="I1465" s="204" t="s">
        <v>2276</v>
      </c>
      <c r="J1465" s="204" t="s">
        <v>2276</v>
      </c>
      <c r="K1465" s="204" t="s">
        <v>2276</v>
      </c>
      <c r="L1465" s="204" t="s">
        <v>2276</v>
      </c>
      <c r="M1465" s="204" t="s">
        <v>2276</v>
      </c>
      <c r="N1465" s="204" t="s">
        <v>2276</v>
      </c>
      <c r="O1465" s="204" t="s">
        <v>2276</v>
      </c>
      <c r="P1465" s="204" t="s">
        <v>2276</v>
      </c>
      <c r="Q1465" s="204" t="s">
        <v>2276</v>
      </c>
      <c r="R1465" s="204" t="s">
        <v>2276</v>
      </c>
      <c r="S1465" s="204" t="s">
        <v>2276</v>
      </c>
      <c r="T1465" s="204"/>
    </row>
    <row r="1466" spans="1:20" ht="42.5" customHeight="1">
      <c r="A1466" s="11" t="s">
        <v>9347</v>
      </c>
      <c r="B1466" s="204" t="s">
        <v>32</v>
      </c>
      <c r="C1466" s="204" t="s">
        <v>2276</v>
      </c>
      <c r="D1466" s="204" t="s">
        <v>2653</v>
      </c>
      <c r="E1466" s="204" t="s">
        <v>3209</v>
      </c>
      <c r="F1466" s="204" t="s">
        <v>2276</v>
      </c>
      <c r="G1466" s="204" t="s">
        <v>2276</v>
      </c>
      <c r="H1466" s="204" t="s">
        <v>2276</v>
      </c>
      <c r="I1466" s="204" t="s">
        <v>2276</v>
      </c>
      <c r="J1466" s="204" t="s">
        <v>2276</v>
      </c>
      <c r="K1466" s="204" t="s">
        <v>2276</v>
      </c>
      <c r="L1466" s="204" t="s">
        <v>2276</v>
      </c>
      <c r="M1466" s="204" t="s">
        <v>2276</v>
      </c>
      <c r="N1466" s="204" t="s">
        <v>2276</v>
      </c>
      <c r="O1466" s="204" t="s">
        <v>2276</v>
      </c>
      <c r="P1466" s="204" t="s">
        <v>2276</v>
      </c>
      <c r="Q1466" s="204" t="s">
        <v>2276</v>
      </c>
      <c r="R1466" s="204" t="s">
        <v>2276</v>
      </c>
      <c r="S1466" s="204" t="s">
        <v>2276</v>
      </c>
      <c r="T1466" s="204"/>
    </row>
    <row r="1467" spans="1:20" ht="42.5" customHeight="1">
      <c r="A1467" s="11" t="s">
        <v>9348</v>
      </c>
      <c r="B1467" s="204" t="s">
        <v>32</v>
      </c>
      <c r="C1467" s="204" t="s">
        <v>2276</v>
      </c>
      <c r="D1467" s="204" t="s">
        <v>2653</v>
      </c>
      <c r="E1467" s="204" t="s">
        <v>3209</v>
      </c>
      <c r="F1467" s="204" t="s">
        <v>2276</v>
      </c>
      <c r="G1467" s="204" t="s">
        <v>2276</v>
      </c>
      <c r="H1467" s="204" t="s">
        <v>2276</v>
      </c>
      <c r="I1467" s="204" t="s">
        <v>2276</v>
      </c>
      <c r="J1467" s="204" t="s">
        <v>2276</v>
      </c>
      <c r="K1467" s="204" t="s">
        <v>2276</v>
      </c>
      <c r="L1467" s="204" t="s">
        <v>2276</v>
      </c>
      <c r="M1467" s="204" t="s">
        <v>2276</v>
      </c>
      <c r="N1467" s="204" t="s">
        <v>2276</v>
      </c>
      <c r="O1467" s="204" t="s">
        <v>2276</v>
      </c>
      <c r="P1467" s="204" t="s">
        <v>2276</v>
      </c>
      <c r="Q1467" s="204" t="s">
        <v>2276</v>
      </c>
      <c r="R1467" s="204" t="s">
        <v>2276</v>
      </c>
      <c r="S1467" s="204" t="s">
        <v>2276</v>
      </c>
      <c r="T1467" s="204"/>
    </row>
    <row r="1468" spans="1:20" ht="42.5" customHeight="1">
      <c r="A1468" s="11" t="s">
        <v>9349</v>
      </c>
      <c r="B1468" s="204" t="s">
        <v>32</v>
      </c>
      <c r="C1468" s="204" t="s">
        <v>2276</v>
      </c>
      <c r="D1468" s="204" t="s">
        <v>2653</v>
      </c>
      <c r="E1468" s="204" t="s">
        <v>3209</v>
      </c>
      <c r="F1468" s="204" t="s">
        <v>2276</v>
      </c>
      <c r="G1468" s="204" t="s">
        <v>2276</v>
      </c>
      <c r="H1468" s="204" t="s">
        <v>2276</v>
      </c>
      <c r="I1468" s="204" t="s">
        <v>2276</v>
      </c>
      <c r="J1468" s="204" t="s">
        <v>2276</v>
      </c>
      <c r="K1468" s="204" t="s">
        <v>2276</v>
      </c>
      <c r="L1468" s="204" t="s">
        <v>2276</v>
      </c>
      <c r="M1468" s="204" t="s">
        <v>2276</v>
      </c>
      <c r="N1468" s="204" t="s">
        <v>2276</v>
      </c>
      <c r="O1468" s="204" t="s">
        <v>2276</v>
      </c>
      <c r="P1468" s="204" t="s">
        <v>2276</v>
      </c>
      <c r="Q1468" s="204" t="s">
        <v>2276</v>
      </c>
      <c r="R1468" s="204" t="s">
        <v>2276</v>
      </c>
      <c r="S1468" s="204" t="s">
        <v>2276</v>
      </c>
      <c r="T1468" s="204"/>
    </row>
    <row r="1469" spans="1:20" ht="42.5" customHeight="1">
      <c r="A1469" s="11" t="s">
        <v>9350</v>
      </c>
      <c r="B1469" s="204" t="s">
        <v>32</v>
      </c>
      <c r="C1469" s="204" t="s">
        <v>2276</v>
      </c>
      <c r="D1469" s="204" t="s">
        <v>2653</v>
      </c>
      <c r="E1469" s="204" t="s">
        <v>3209</v>
      </c>
      <c r="F1469" s="204" t="s">
        <v>2276</v>
      </c>
      <c r="G1469" s="204" t="s">
        <v>2276</v>
      </c>
      <c r="H1469" s="204" t="s">
        <v>2276</v>
      </c>
      <c r="I1469" s="204" t="s">
        <v>2276</v>
      </c>
      <c r="J1469" s="204" t="s">
        <v>2276</v>
      </c>
      <c r="K1469" s="204" t="s">
        <v>2276</v>
      </c>
      <c r="L1469" s="204" t="s">
        <v>2276</v>
      </c>
      <c r="M1469" s="204" t="s">
        <v>2276</v>
      </c>
      <c r="N1469" s="204" t="s">
        <v>2276</v>
      </c>
      <c r="O1469" s="204" t="s">
        <v>2276</v>
      </c>
      <c r="P1469" s="204" t="s">
        <v>2276</v>
      </c>
      <c r="Q1469" s="204" t="s">
        <v>2276</v>
      </c>
      <c r="R1469" s="204" t="s">
        <v>2276</v>
      </c>
      <c r="S1469" s="204" t="s">
        <v>2276</v>
      </c>
      <c r="T1469" s="204"/>
    </row>
    <row r="1470" spans="1:20" ht="42.5" customHeight="1">
      <c r="A1470" s="11" t="s">
        <v>9351</v>
      </c>
      <c r="B1470" s="204" t="s">
        <v>32</v>
      </c>
      <c r="C1470" s="204" t="s">
        <v>2276</v>
      </c>
      <c r="D1470" s="204" t="s">
        <v>2653</v>
      </c>
      <c r="E1470" s="204" t="s">
        <v>3209</v>
      </c>
      <c r="F1470" s="204" t="s">
        <v>2276</v>
      </c>
      <c r="G1470" s="204" t="s">
        <v>2276</v>
      </c>
      <c r="H1470" s="204" t="s">
        <v>2276</v>
      </c>
      <c r="I1470" s="204" t="s">
        <v>2276</v>
      </c>
      <c r="J1470" s="204" t="s">
        <v>2276</v>
      </c>
      <c r="K1470" s="204" t="s">
        <v>2276</v>
      </c>
      <c r="L1470" s="204" t="s">
        <v>2276</v>
      </c>
      <c r="M1470" s="204" t="s">
        <v>2276</v>
      </c>
      <c r="N1470" s="204" t="s">
        <v>2276</v>
      </c>
      <c r="O1470" s="204" t="s">
        <v>2276</v>
      </c>
      <c r="P1470" s="204" t="s">
        <v>2276</v>
      </c>
      <c r="Q1470" s="204" t="s">
        <v>2276</v>
      </c>
      <c r="R1470" s="204" t="s">
        <v>2276</v>
      </c>
      <c r="S1470" s="204" t="s">
        <v>2276</v>
      </c>
      <c r="T1470" s="204"/>
    </row>
    <row r="1471" spans="1:20" ht="42.5" customHeight="1">
      <c r="A1471" s="11" t="s">
        <v>9352</v>
      </c>
      <c r="B1471" s="204" t="s">
        <v>32</v>
      </c>
      <c r="C1471" s="204" t="s">
        <v>2276</v>
      </c>
      <c r="D1471" s="204" t="s">
        <v>2653</v>
      </c>
      <c r="E1471" s="204" t="s">
        <v>3209</v>
      </c>
      <c r="F1471" s="204" t="s">
        <v>2276</v>
      </c>
      <c r="G1471" s="204" t="s">
        <v>2276</v>
      </c>
      <c r="H1471" s="204" t="s">
        <v>2276</v>
      </c>
      <c r="I1471" s="204" t="s">
        <v>2276</v>
      </c>
      <c r="J1471" s="204" t="s">
        <v>2276</v>
      </c>
      <c r="K1471" s="204" t="s">
        <v>2276</v>
      </c>
      <c r="L1471" s="204" t="s">
        <v>2276</v>
      </c>
      <c r="M1471" s="204" t="s">
        <v>2276</v>
      </c>
      <c r="N1471" s="204" t="s">
        <v>2276</v>
      </c>
      <c r="O1471" s="204" t="s">
        <v>2276</v>
      </c>
      <c r="P1471" s="204" t="s">
        <v>2276</v>
      </c>
      <c r="Q1471" s="204" t="s">
        <v>2276</v>
      </c>
      <c r="R1471" s="204" t="s">
        <v>2276</v>
      </c>
      <c r="S1471" s="204" t="s">
        <v>2276</v>
      </c>
      <c r="T1471" s="204"/>
    </row>
    <row r="1472" spans="1:20" ht="42.5" customHeight="1">
      <c r="A1472" s="11" t="s">
        <v>9353</v>
      </c>
      <c r="B1472" s="204" t="s">
        <v>32</v>
      </c>
      <c r="C1472" s="204" t="s">
        <v>2276</v>
      </c>
      <c r="D1472" s="204" t="s">
        <v>2653</v>
      </c>
      <c r="E1472" s="204" t="s">
        <v>3209</v>
      </c>
      <c r="F1472" s="204" t="s">
        <v>2276</v>
      </c>
      <c r="G1472" s="204" t="s">
        <v>2276</v>
      </c>
      <c r="H1472" s="204" t="s">
        <v>2276</v>
      </c>
      <c r="I1472" s="204" t="s">
        <v>2276</v>
      </c>
      <c r="J1472" s="204" t="s">
        <v>2276</v>
      </c>
      <c r="K1472" s="204" t="s">
        <v>2276</v>
      </c>
      <c r="L1472" s="204" t="s">
        <v>2276</v>
      </c>
      <c r="M1472" s="204" t="s">
        <v>2276</v>
      </c>
      <c r="N1472" s="204" t="s">
        <v>2276</v>
      </c>
      <c r="O1472" s="204" t="s">
        <v>2276</v>
      </c>
      <c r="P1472" s="204" t="s">
        <v>2276</v>
      </c>
      <c r="Q1472" s="204" t="s">
        <v>2276</v>
      </c>
      <c r="R1472" s="204" t="s">
        <v>2276</v>
      </c>
      <c r="S1472" s="204" t="s">
        <v>2276</v>
      </c>
      <c r="T1472" s="204"/>
    </row>
    <row r="1473" spans="1:20" ht="42.5" customHeight="1">
      <c r="A1473" s="11" t="s">
        <v>9354</v>
      </c>
      <c r="B1473" s="204" t="s">
        <v>32</v>
      </c>
      <c r="C1473" s="204" t="s">
        <v>2276</v>
      </c>
      <c r="D1473" s="204" t="s">
        <v>2653</v>
      </c>
      <c r="E1473" s="204" t="s">
        <v>3209</v>
      </c>
      <c r="F1473" s="204" t="s">
        <v>2276</v>
      </c>
      <c r="G1473" s="204" t="s">
        <v>2276</v>
      </c>
      <c r="H1473" s="204" t="s">
        <v>2276</v>
      </c>
      <c r="I1473" s="204" t="s">
        <v>2276</v>
      </c>
      <c r="J1473" s="204" t="s">
        <v>2276</v>
      </c>
      <c r="K1473" s="204" t="s">
        <v>2276</v>
      </c>
      <c r="L1473" s="204" t="s">
        <v>2276</v>
      </c>
      <c r="M1473" s="204" t="s">
        <v>2276</v>
      </c>
      <c r="N1473" s="204" t="s">
        <v>2276</v>
      </c>
      <c r="O1473" s="204" t="s">
        <v>2276</v>
      </c>
      <c r="P1473" s="204" t="s">
        <v>2276</v>
      </c>
      <c r="Q1473" s="204" t="s">
        <v>2276</v>
      </c>
      <c r="R1473" s="204" t="s">
        <v>2276</v>
      </c>
      <c r="S1473" s="204" t="s">
        <v>2276</v>
      </c>
      <c r="T1473" s="204"/>
    </row>
    <row r="1474" spans="1:20" ht="42.5" customHeight="1">
      <c r="A1474" s="11" t="s">
        <v>9355</v>
      </c>
      <c r="B1474" s="204" t="s">
        <v>32</v>
      </c>
      <c r="C1474" s="204" t="s">
        <v>2276</v>
      </c>
      <c r="D1474" s="204" t="s">
        <v>2653</v>
      </c>
      <c r="E1474" s="204" t="s">
        <v>3209</v>
      </c>
      <c r="F1474" s="204" t="s">
        <v>2276</v>
      </c>
      <c r="G1474" s="204" t="s">
        <v>2276</v>
      </c>
      <c r="H1474" s="204" t="s">
        <v>2276</v>
      </c>
      <c r="I1474" s="204" t="s">
        <v>2276</v>
      </c>
      <c r="J1474" s="204" t="s">
        <v>2276</v>
      </c>
      <c r="K1474" s="204" t="s">
        <v>2276</v>
      </c>
      <c r="L1474" s="204" t="s">
        <v>2276</v>
      </c>
      <c r="M1474" s="204" t="s">
        <v>2276</v>
      </c>
      <c r="N1474" s="204" t="s">
        <v>2276</v>
      </c>
      <c r="O1474" s="204" t="s">
        <v>2276</v>
      </c>
      <c r="P1474" s="204" t="s">
        <v>2276</v>
      </c>
      <c r="Q1474" s="204" t="s">
        <v>2276</v>
      </c>
      <c r="R1474" s="204" t="s">
        <v>2276</v>
      </c>
      <c r="S1474" s="204" t="s">
        <v>2276</v>
      </c>
      <c r="T1474" s="204"/>
    </row>
    <row r="1475" spans="1:20" ht="40" customHeight="1">
      <c r="A1475" s="11" t="s">
        <v>9371</v>
      </c>
      <c r="B1475" s="204" t="s">
        <v>2276</v>
      </c>
      <c r="C1475" s="204" t="s">
        <v>12</v>
      </c>
      <c r="D1475" s="204" t="s">
        <v>863</v>
      </c>
      <c r="E1475" s="204" t="s">
        <v>2276</v>
      </c>
      <c r="F1475" s="204" t="s">
        <v>2276</v>
      </c>
      <c r="G1475" s="204" t="s">
        <v>2276</v>
      </c>
      <c r="H1475" s="204" t="s">
        <v>2276</v>
      </c>
      <c r="I1475" s="204" t="s">
        <v>2276</v>
      </c>
      <c r="J1475" s="204" t="s">
        <v>2276</v>
      </c>
      <c r="K1475" s="204" t="s">
        <v>534</v>
      </c>
      <c r="L1475" s="204" t="s">
        <v>2276</v>
      </c>
      <c r="M1475" s="204" t="s">
        <v>2276</v>
      </c>
      <c r="N1475" s="204" t="s">
        <v>2276</v>
      </c>
      <c r="O1475" s="204" t="s">
        <v>2276</v>
      </c>
      <c r="P1475" s="204" t="s">
        <v>2276</v>
      </c>
      <c r="Q1475" s="21">
        <f>100*205/1118</f>
        <v>18.336314847942756</v>
      </c>
      <c r="R1475" s="21">
        <f>100*338/1118</f>
        <v>30.232558139534884</v>
      </c>
      <c r="S1475" s="21">
        <v>1.325</v>
      </c>
      <c r="T1475" s="204" t="s">
        <v>9374</v>
      </c>
    </row>
    <row r="1476" spans="1:20" ht="41" customHeight="1">
      <c r="A1476" s="11" t="s">
        <v>9381</v>
      </c>
      <c r="B1476" s="204" t="s">
        <v>2276</v>
      </c>
      <c r="C1476" s="204" t="s">
        <v>2276</v>
      </c>
      <c r="D1476" s="204" t="s">
        <v>2276</v>
      </c>
      <c r="E1476" s="204" t="s">
        <v>2276</v>
      </c>
      <c r="F1476" s="204" t="s">
        <v>2276</v>
      </c>
      <c r="G1476" s="204" t="s">
        <v>2276</v>
      </c>
      <c r="H1476" s="204" t="s">
        <v>2276</v>
      </c>
      <c r="I1476" s="204" t="s">
        <v>2276</v>
      </c>
      <c r="J1476" s="204" t="s">
        <v>2276</v>
      </c>
      <c r="K1476" s="204" t="s">
        <v>2276</v>
      </c>
      <c r="L1476" s="204" t="s">
        <v>2276</v>
      </c>
      <c r="M1476" s="204" t="s">
        <v>2276</v>
      </c>
      <c r="N1476" s="204" t="s">
        <v>2276</v>
      </c>
      <c r="O1476" s="204" t="s">
        <v>2276</v>
      </c>
      <c r="P1476" s="204" t="s">
        <v>2276</v>
      </c>
      <c r="Q1476" s="204" t="s">
        <v>2276</v>
      </c>
      <c r="R1476" s="204" t="s">
        <v>2276</v>
      </c>
      <c r="S1476" s="21">
        <v>1.325</v>
      </c>
      <c r="T1476" s="204"/>
    </row>
    <row r="1477" spans="1:20" ht="45.5" customHeight="1">
      <c r="A1477" s="11" t="s">
        <v>9382</v>
      </c>
      <c r="B1477" s="204" t="s">
        <v>32</v>
      </c>
      <c r="C1477" s="204" t="s">
        <v>12</v>
      </c>
      <c r="D1477" s="204" t="s">
        <v>116</v>
      </c>
      <c r="E1477" s="204" t="s">
        <v>45</v>
      </c>
      <c r="F1477" s="204" t="s">
        <v>5005</v>
      </c>
      <c r="G1477" s="204" t="s">
        <v>137</v>
      </c>
      <c r="H1477" s="204" t="s">
        <v>2276</v>
      </c>
      <c r="I1477" s="204" t="s">
        <v>2276</v>
      </c>
      <c r="J1477" s="204" t="s">
        <v>2276</v>
      </c>
      <c r="K1477" s="204" t="s">
        <v>534</v>
      </c>
      <c r="L1477" s="204">
        <f>AVERAGE(0.48, 0.1, 0.35, 0.6, 0.275)</f>
        <v>0.36099999999999993</v>
      </c>
      <c r="M1477" s="204" t="s">
        <v>2276</v>
      </c>
      <c r="N1477" s="204" t="s">
        <v>2276</v>
      </c>
      <c r="O1477" s="204" t="s">
        <v>2276</v>
      </c>
      <c r="P1477" s="204" t="s">
        <v>2276</v>
      </c>
      <c r="Q1477" s="21">
        <v>50</v>
      </c>
      <c r="R1477" s="21">
        <v>50</v>
      </c>
      <c r="S1477" s="204" t="s">
        <v>2276</v>
      </c>
      <c r="T1477" s="4" t="s">
        <v>9395</v>
      </c>
    </row>
    <row r="1478" spans="1:20" ht="45.5" customHeight="1">
      <c r="A1478" s="11" t="s">
        <v>9405</v>
      </c>
      <c r="B1478" s="204" t="s">
        <v>2258</v>
      </c>
      <c r="C1478" s="204" t="s">
        <v>12</v>
      </c>
      <c r="D1478" s="204" t="s">
        <v>130</v>
      </c>
      <c r="E1478" s="4" t="s">
        <v>3855</v>
      </c>
      <c r="F1478" s="204" t="s">
        <v>84</v>
      </c>
      <c r="G1478" s="204" t="s">
        <v>2649</v>
      </c>
      <c r="H1478" s="204" t="s">
        <v>2276</v>
      </c>
      <c r="I1478" s="204">
        <v>8</v>
      </c>
      <c r="J1478" s="204" t="s">
        <v>2276</v>
      </c>
      <c r="K1478" s="204" t="s">
        <v>534</v>
      </c>
      <c r="L1478" s="204" t="s">
        <v>2276</v>
      </c>
      <c r="M1478" s="204" t="s">
        <v>2276</v>
      </c>
      <c r="N1478" s="21">
        <f>AVERAGE(0, 6863)/'Record info'!K1478</f>
        <v>1.9609243745499845</v>
      </c>
      <c r="O1478" s="21">
        <f>Q1478/2</f>
        <v>5.2913957049955993</v>
      </c>
      <c r="P1478" s="21">
        <f>(AVERAGE(23475, 80197)/'Record info'!K1478)+Q1478/2</f>
        <v>34.912982730836482</v>
      </c>
      <c r="Q1478" s="21">
        <f>AVERAGE(26493, 47584)/'Record info'!K1478/2</f>
        <v>10.582791409991199</v>
      </c>
      <c r="R1478" s="21">
        <f>AVERAGE((86690+27344), (7249+18330))/'Record info'!K1478</f>
        <v>39.890796255871628</v>
      </c>
      <c r="S1478" s="21">
        <f>100*(1-(7249+18330)/((86690+27344)))/8</f>
        <v>9.696121332234247</v>
      </c>
      <c r="T1478" s="204"/>
    </row>
    <row r="1479" spans="1:20" ht="48" customHeight="1">
      <c r="A1479" s="11" t="s">
        <v>9405</v>
      </c>
      <c r="B1479" s="204" t="s">
        <v>2258</v>
      </c>
      <c r="C1479" s="204" t="s">
        <v>12</v>
      </c>
      <c r="D1479" s="204" t="s">
        <v>130</v>
      </c>
      <c r="E1479" s="4" t="s">
        <v>3855</v>
      </c>
      <c r="F1479" s="204" t="s">
        <v>84</v>
      </c>
      <c r="G1479" s="204" t="s">
        <v>2649</v>
      </c>
      <c r="H1479" s="204" t="s">
        <v>2276</v>
      </c>
      <c r="I1479" s="204" t="s">
        <v>2276</v>
      </c>
      <c r="J1479" s="204" t="s">
        <v>2276</v>
      </c>
      <c r="K1479" s="204" t="s">
        <v>534</v>
      </c>
      <c r="L1479" s="204" t="s">
        <v>2276</v>
      </c>
      <c r="M1479" s="204" t="s">
        <v>2276</v>
      </c>
      <c r="N1479" s="204" t="s">
        <v>2276</v>
      </c>
      <c r="O1479" s="204" t="s">
        <v>2276</v>
      </c>
      <c r="P1479" s="204" t="s">
        <v>2276</v>
      </c>
      <c r="Q1479" s="204" t="s">
        <v>2276</v>
      </c>
      <c r="R1479" s="204" t="s">
        <v>2276</v>
      </c>
      <c r="S1479" s="204" t="s">
        <v>2276</v>
      </c>
      <c r="T1479" s="11" t="s">
        <v>9417</v>
      </c>
    </row>
    <row r="1480" spans="1:20" ht="44.5" customHeight="1">
      <c r="A1480" s="11" t="s">
        <v>9426</v>
      </c>
      <c r="B1480" s="204" t="s">
        <v>2258</v>
      </c>
      <c r="C1480" s="204" t="s">
        <v>12</v>
      </c>
      <c r="D1480" s="204" t="s">
        <v>45</v>
      </c>
      <c r="E1480" s="4" t="s">
        <v>130</v>
      </c>
      <c r="F1480" s="4" t="s">
        <v>2651</v>
      </c>
      <c r="G1480" s="4" t="s">
        <v>2650</v>
      </c>
      <c r="H1480" s="204" t="s">
        <v>2276</v>
      </c>
      <c r="I1480" s="204">
        <v>1.5</v>
      </c>
      <c r="J1480" s="204" t="s">
        <v>2276</v>
      </c>
      <c r="K1480" s="204" t="s">
        <v>534</v>
      </c>
      <c r="L1480" s="204" t="s">
        <v>2276</v>
      </c>
      <c r="M1480" s="204" t="s">
        <v>2276</v>
      </c>
      <c r="N1480" s="204" t="s">
        <v>2276</v>
      </c>
      <c r="O1480" s="204" t="s">
        <v>2276</v>
      </c>
      <c r="P1480" s="204" t="s">
        <v>2276</v>
      </c>
      <c r="Q1480" s="204" t="s">
        <v>2276</v>
      </c>
      <c r="R1480" s="204" t="s">
        <v>2276</v>
      </c>
      <c r="S1480" s="204" t="s">
        <v>2276</v>
      </c>
      <c r="T1480" s="19" t="s">
        <v>9437</v>
      </c>
    </row>
    <row r="1481" spans="1:20" ht="44.5" customHeight="1">
      <c r="A1481" s="11" t="s">
        <v>9432</v>
      </c>
      <c r="B1481" s="204" t="s">
        <v>2258</v>
      </c>
      <c r="C1481" s="204" t="s">
        <v>12</v>
      </c>
      <c r="D1481" s="204" t="s">
        <v>45</v>
      </c>
      <c r="E1481" s="4" t="s">
        <v>130</v>
      </c>
      <c r="F1481" s="4" t="s">
        <v>2651</v>
      </c>
      <c r="G1481" s="4" t="s">
        <v>2650</v>
      </c>
      <c r="H1481" s="204" t="s">
        <v>2276</v>
      </c>
      <c r="I1481" s="204">
        <v>1.5</v>
      </c>
      <c r="J1481" s="204" t="s">
        <v>2276</v>
      </c>
      <c r="K1481" s="204" t="s">
        <v>534</v>
      </c>
      <c r="L1481" s="204" t="s">
        <v>2276</v>
      </c>
      <c r="M1481" s="204" t="s">
        <v>2276</v>
      </c>
      <c r="N1481" s="204" t="s">
        <v>2276</v>
      </c>
      <c r="O1481" s="204" t="s">
        <v>2276</v>
      </c>
      <c r="P1481" s="204" t="s">
        <v>2276</v>
      </c>
      <c r="Q1481" s="204" t="s">
        <v>2276</v>
      </c>
      <c r="R1481" s="204" t="s">
        <v>2276</v>
      </c>
      <c r="S1481" s="204" t="s">
        <v>2276</v>
      </c>
      <c r="T1481" s="19" t="s">
        <v>9437</v>
      </c>
    </row>
    <row r="1482" spans="1:20" ht="44.5" customHeight="1">
      <c r="A1482" s="11" t="s">
        <v>9433</v>
      </c>
      <c r="B1482" s="204" t="s">
        <v>2258</v>
      </c>
      <c r="C1482" s="204" t="s">
        <v>12</v>
      </c>
      <c r="D1482" s="204" t="s">
        <v>45</v>
      </c>
      <c r="E1482" s="4" t="s">
        <v>130</v>
      </c>
      <c r="F1482" s="4" t="s">
        <v>2651</v>
      </c>
      <c r="G1482" s="4" t="s">
        <v>2650</v>
      </c>
      <c r="H1482" s="204" t="s">
        <v>2276</v>
      </c>
      <c r="I1482" s="204">
        <v>1.5</v>
      </c>
      <c r="J1482" s="204" t="s">
        <v>2276</v>
      </c>
      <c r="K1482" s="204" t="s">
        <v>534</v>
      </c>
      <c r="L1482" s="204" t="s">
        <v>2276</v>
      </c>
      <c r="M1482" s="204" t="s">
        <v>2276</v>
      </c>
      <c r="N1482" s="204" t="s">
        <v>2276</v>
      </c>
      <c r="O1482" s="204" t="s">
        <v>2276</v>
      </c>
      <c r="P1482" s="204" t="s">
        <v>2276</v>
      </c>
      <c r="Q1482" s="204" t="s">
        <v>2276</v>
      </c>
      <c r="R1482" s="204" t="s">
        <v>2276</v>
      </c>
      <c r="S1482" s="204" t="s">
        <v>2276</v>
      </c>
      <c r="T1482" s="19" t="s">
        <v>9437</v>
      </c>
    </row>
    <row r="1483" spans="1:20" ht="44.5" customHeight="1">
      <c r="A1483" s="11" t="s">
        <v>9434</v>
      </c>
      <c r="B1483" s="204" t="s">
        <v>2258</v>
      </c>
      <c r="C1483" s="204" t="s">
        <v>12</v>
      </c>
      <c r="D1483" s="4" t="s">
        <v>2651</v>
      </c>
      <c r="E1483" s="4" t="s">
        <v>2650</v>
      </c>
      <c r="F1483" s="4" t="s">
        <v>130</v>
      </c>
      <c r="G1483" s="4" t="s">
        <v>137</v>
      </c>
      <c r="H1483" s="204" t="s">
        <v>2276</v>
      </c>
      <c r="I1483" s="204">
        <v>1.5</v>
      </c>
      <c r="J1483" s="204" t="s">
        <v>2276</v>
      </c>
      <c r="K1483" s="204" t="s">
        <v>534</v>
      </c>
      <c r="L1483" s="204" t="s">
        <v>2276</v>
      </c>
      <c r="M1483" s="204" t="s">
        <v>2276</v>
      </c>
      <c r="N1483" s="204" t="s">
        <v>2276</v>
      </c>
      <c r="O1483" s="204" t="s">
        <v>2276</v>
      </c>
      <c r="P1483" s="204" t="s">
        <v>2276</v>
      </c>
      <c r="Q1483" s="204" t="s">
        <v>2276</v>
      </c>
      <c r="R1483" s="204" t="s">
        <v>2276</v>
      </c>
      <c r="S1483" s="204" t="s">
        <v>2276</v>
      </c>
      <c r="T1483" s="19" t="s">
        <v>9437</v>
      </c>
    </row>
    <row r="1484" spans="1:20" ht="45.5" customHeight="1">
      <c r="A1484" s="11" t="s">
        <v>9431</v>
      </c>
      <c r="B1484" s="204" t="s">
        <v>2258</v>
      </c>
      <c r="C1484" s="204" t="s">
        <v>12</v>
      </c>
      <c r="D1484" s="4" t="s">
        <v>2651</v>
      </c>
      <c r="E1484" s="4" t="s">
        <v>2650</v>
      </c>
      <c r="F1484" s="4" t="s">
        <v>130</v>
      </c>
      <c r="G1484" s="4" t="s">
        <v>137</v>
      </c>
      <c r="H1484" s="204" t="s">
        <v>2276</v>
      </c>
      <c r="I1484" s="204">
        <v>1.5</v>
      </c>
      <c r="J1484" s="204" t="s">
        <v>2276</v>
      </c>
      <c r="K1484" s="204" t="s">
        <v>534</v>
      </c>
      <c r="L1484" s="204" t="s">
        <v>2276</v>
      </c>
      <c r="M1484" s="204" t="s">
        <v>2276</v>
      </c>
      <c r="N1484" s="204" t="s">
        <v>2276</v>
      </c>
      <c r="O1484" s="204" t="s">
        <v>2276</v>
      </c>
      <c r="P1484" s="204" t="s">
        <v>2276</v>
      </c>
      <c r="Q1484" s="204" t="s">
        <v>2276</v>
      </c>
      <c r="R1484" s="204" t="s">
        <v>2276</v>
      </c>
      <c r="S1484" s="204" t="s">
        <v>2276</v>
      </c>
      <c r="T1484" s="19" t="s">
        <v>9437</v>
      </c>
    </row>
    <row r="1485" spans="1:20" ht="45.5" customHeight="1">
      <c r="A1485" s="11" t="s">
        <v>9466</v>
      </c>
      <c r="B1485" s="204" t="s">
        <v>2276</v>
      </c>
      <c r="C1485" s="204" t="s">
        <v>12</v>
      </c>
      <c r="D1485" s="204" t="s">
        <v>45</v>
      </c>
      <c r="E1485" s="204" t="s">
        <v>2649</v>
      </c>
      <c r="F1485" s="204" t="s">
        <v>116</v>
      </c>
      <c r="G1485" s="4" t="s">
        <v>396</v>
      </c>
      <c r="H1485" s="204" t="s">
        <v>2276</v>
      </c>
      <c r="I1485" s="204" t="s">
        <v>2276</v>
      </c>
      <c r="J1485" s="204" t="s">
        <v>2276</v>
      </c>
      <c r="K1485" s="204" t="s">
        <v>534</v>
      </c>
      <c r="L1485" s="204" t="s">
        <v>2276</v>
      </c>
      <c r="M1485" s="204" t="s">
        <v>2276</v>
      </c>
      <c r="N1485" s="204" t="s">
        <v>2276</v>
      </c>
      <c r="O1485" s="21">
        <v>76.2</v>
      </c>
      <c r="P1485" s="21">
        <v>1.65</v>
      </c>
      <c r="Q1485" s="204" t="s">
        <v>2276</v>
      </c>
      <c r="R1485" s="21">
        <v>11.4</v>
      </c>
      <c r="S1485" s="204" t="s">
        <v>2276</v>
      </c>
      <c r="T1485" s="204"/>
    </row>
    <row r="1486" spans="1:20" ht="52" customHeight="1">
      <c r="A1486" s="11" t="s">
        <v>9467</v>
      </c>
      <c r="B1486" s="204" t="s">
        <v>2276</v>
      </c>
      <c r="C1486" s="204" t="s">
        <v>2276</v>
      </c>
      <c r="D1486" s="204" t="s">
        <v>9476</v>
      </c>
      <c r="E1486" s="204" t="s">
        <v>2276</v>
      </c>
      <c r="F1486" s="204" t="s">
        <v>2276</v>
      </c>
      <c r="G1486" s="204" t="s">
        <v>2276</v>
      </c>
      <c r="H1486" s="204" t="s">
        <v>2276</v>
      </c>
      <c r="I1486" s="204" t="s">
        <v>2276</v>
      </c>
      <c r="J1486" s="204" t="s">
        <v>2276</v>
      </c>
      <c r="K1486" s="204" t="s">
        <v>537</v>
      </c>
      <c r="L1486" s="204" t="s">
        <v>2276</v>
      </c>
      <c r="M1486" s="204" t="s">
        <v>2276</v>
      </c>
      <c r="N1486" s="204" t="s">
        <v>2276</v>
      </c>
      <c r="O1486" s="204" t="s">
        <v>2276</v>
      </c>
      <c r="P1486" s="204" t="s">
        <v>2276</v>
      </c>
      <c r="Q1486" s="204" t="s">
        <v>2276</v>
      </c>
      <c r="R1486" s="21">
        <v>100</v>
      </c>
      <c r="S1486" s="204" t="s">
        <v>2276</v>
      </c>
      <c r="T1486" s="204"/>
    </row>
    <row r="1487" spans="1:20" ht="52" customHeight="1">
      <c r="A1487" s="11" t="s">
        <v>9468</v>
      </c>
      <c r="B1487" s="204" t="s">
        <v>2276</v>
      </c>
      <c r="C1487" s="204" t="s">
        <v>2276</v>
      </c>
      <c r="D1487" s="204" t="s">
        <v>9476</v>
      </c>
      <c r="E1487" s="204" t="s">
        <v>2276</v>
      </c>
      <c r="F1487" s="204" t="s">
        <v>2276</v>
      </c>
      <c r="G1487" s="204" t="s">
        <v>2276</v>
      </c>
      <c r="H1487" s="204" t="s">
        <v>2276</v>
      </c>
      <c r="I1487" s="204" t="s">
        <v>2276</v>
      </c>
      <c r="J1487" s="204" t="s">
        <v>2276</v>
      </c>
      <c r="K1487" s="204" t="s">
        <v>537</v>
      </c>
      <c r="L1487" s="204" t="s">
        <v>2276</v>
      </c>
      <c r="M1487" s="204" t="s">
        <v>2276</v>
      </c>
      <c r="N1487" s="204" t="s">
        <v>2276</v>
      </c>
      <c r="O1487" s="204" t="s">
        <v>2276</v>
      </c>
      <c r="P1487" s="204" t="s">
        <v>2276</v>
      </c>
      <c r="Q1487" s="204" t="s">
        <v>2276</v>
      </c>
      <c r="R1487" s="21">
        <v>100</v>
      </c>
      <c r="S1487" s="204" t="s">
        <v>2276</v>
      </c>
      <c r="T1487" s="204"/>
    </row>
    <row r="1488" spans="1:20" ht="52" customHeight="1">
      <c r="A1488" s="11" t="s">
        <v>9469</v>
      </c>
      <c r="B1488" s="204" t="s">
        <v>2276</v>
      </c>
      <c r="C1488" s="204" t="s">
        <v>2276</v>
      </c>
      <c r="D1488" s="204" t="s">
        <v>9476</v>
      </c>
      <c r="E1488" s="204" t="s">
        <v>2276</v>
      </c>
      <c r="F1488" s="204" t="s">
        <v>2276</v>
      </c>
      <c r="G1488" s="204" t="s">
        <v>2276</v>
      </c>
      <c r="H1488" s="204" t="s">
        <v>2276</v>
      </c>
      <c r="I1488" s="204" t="s">
        <v>2276</v>
      </c>
      <c r="J1488" s="204" t="s">
        <v>2276</v>
      </c>
      <c r="K1488" s="204" t="s">
        <v>537</v>
      </c>
      <c r="L1488" s="204" t="s">
        <v>2276</v>
      </c>
      <c r="M1488" s="204" t="s">
        <v>2276</v>
      </c>
      <c r="N1488" s="204" t="s">
        <v>2276</v>
      </c>
      <c r="O1488" s="204" t="s">
        <v>2276</v>
      </c>
      <c r="P1488" s="204" t="s">
        <v>2276</v>
      </c>
      <c r="Q1488" s="204" t="s">
        <v>2276</v>
      </c>
      <c r="R1488" s="21">
        <v>100</v>
      </c>
      <c r="S1488" s="204" t="s">
        <v>2276</v>
      </c>
      <c r="T1488" s="204"/>
    </row>
    <row r="1489" spans="1:20" ht="49.5" customHeight="1">
      <c r="A1489" s="11" t="s">
        <v>9470</v>
      </c>
      <c r="B1489" s="204" t="s">
        <v>2276</v>
      </c>
      <c r="C1489" s="204" t="s">
        <v>2276</v>
      </c>
      <c r="D1489" s="204" t="s">
        <v>9476</v>
      </c>
      <c r="E1489" s="204" t="s">
        <v>2276</v>
      </c>
      <c r="F1489" s="204" t="s">
        <v>2276</v>
      </c>
      <c r="G1489" s="204" t="s">
        <v>2276</v>
      </c>
      <c r="H1489" s="204" t="s">
        <v>2276</v>
      </c>
      <c r="I1489" s="204" t="s">
        <v>2276</v>
      </c>
      <c r="J1489" s="204" t="s">
        <v>2276</v>
      </c>
      <c r="K1489" s="204" t="s">
        <v>537</v>
      </c>
      <c r="L1489" s="204" t="s">
        <v>2276</v>
      </c>
      <c r="M1489" s="204" t="s">
        <v>2276</v>
      </c>
      <c r="N1489" s="204" t="s">
        <v>2276</v>
      </c>
      <c r="O1489" s="204" t="s">
        <v>2276</v>
      </c>
      <c r="P1489" s="204" t="s">
        <v>2276</v>
      </c>
      <c r="Q1489" s="204" t="s">
        <v>2276</v>
      </c>
      <c r="R1489" s="21">
        <v>100</v>
      </c>
      <c r="S1489" s="204" t="s">
        <v>2276</v>
      </c>
      <c r="T1489" s="204"/>
    </row>
    <row r="1490" spans="1:20" ht="53.5" customHeight="1">
      <c r="A1490" s="11" t="s">
        <v>9487</v>
      </c>
      <c r="B1490" s="204" t="s">
        <v>2276</v>
      </c>
      <c r="C1490" s="204" t="s">
        <v>2276</v>
      </c>
      <c r="D1490" s="204" t="s">
        <v>2649</v>
      </c>
      <c r="E1490" s="204" t="s">
        <v>3209</v>
      </c>
      <c r="F1490" s="204" t="s">
        <v>2276</v>
      </c>
      <c r="G1490" s="204" t="s">
        <v>2276</v>
      </c>
      <c r="H1490" s="204" t="s">
        <v>2276</v>
      </c>
      <c r="I1490" s="204" t="s">
        <v>2276</v>
      </c>
      <c r="J1490" s="204" t="s">
        <v>2276</v>
      </c>
      <c r="K1490" s="204" t="s">
        <v>2276</v>
      </c>
      <c r="L1490" s="204" t="s">
        <v>2276</v>
      </c>
      <c r="M1490" s="204" t="s">
        <v>2276</v>
      </c>
      <c r="N1490" s="204" t="s">
        <v>2276</v>
      </c>
      <c r="O1490" s="204" t="s">
        <v>2276</v>
      </c>
      <c r="P1490" s="204" t="s">
        <v>2276</v>
      </c>
      <c r="Q1490" s="204" t="s">
        <v>2276</v>
      </c>
      <c r="R1490" s="204" t="s">
        <v>2276</v>
      </c>
      <c r="S1490" s="204" t="s">
        <v>2276</v>
      </c>
      <c r="T1490" s="204"/>
    </row>
    <row r="1491" spans="1:20" ht="53.5" customHeight="1">
      <c r="A1491" s="11" t="s">
        <v>9492</v>
      </c>
      <c r="B1491" s="204" t="s">
        <v>32</v>
      </c>
      <c r="C1491" s="204" t="s">
        <v>12</v>
      </c>
      <c r="D1491" s="4" t="s">
        <v>396</v>
      </c>
      <c r="E1491" s="4" t="s">
        <v>2276</v>
      </c>
      <c r="F1491" s="204" t="s">
        <v>2276</v>
      </c>
      <c r="G1491" s="204" t="s">
        <v>2276</v>
      </c>
      <c r="H1491" s="204" t="s">
        <v>2276</v>
      </c>
      <c r="I1491" s="204" t="s">
        <v>2276</v>
      </c>
      <c r="J1491" s="204">
        <v>0.5</v>
      </c>
      <c r="K1491" s="204" t="s">
        <v>2276</v>
      </c>
      <c r="L1491" s="204" t="s">
        <v>2276</v>
      </c>
      <c r="M1491" s="204" t="s">
        <v>2276</v>
      </c>
      <c r="N1491" s="204" t="s">
        <v>2276</v>
      </c>
      <c r="O1491" s="204" t="s">
        <v>2276</v>
      </c>
      <c r="P1491" s="204" t="s">
        <v>2276</v>
      </c>
      <c r="Q1491" s="204" t="s">
        <v>2276</v>
      </c>
      <c r="R1491" s="204" t="s">
        <v>2276</v>
      </c>
      <c r="S1491" s="204" t="s">
        <v>2276</v>
      </c>
      <c r="T1491" s="11" t="s">
        <v>9495</v>
      </c>
    </row>
    <row r="1492" spans="1:20" ht="54.5" customHeight="1">
      <c r="A1492" s="204" t="s">
        <v>9492</v>
      </c>
      <c r="B1492" s="204" t="s">
        <v>32</v>
      </c>
      <c r="C1492" s="204" t="s">
        <v>12</v>
      </c>
      <c r="D1492" s="4" t="s">
        <v>396</v>
      </c>
      <c r="E1492" s="4" t="s">
        <v>2650</v>
      </c>
      <c r="F1492" s="204" t="s">
        <v>2276</v>
      </c>
      <c r="G1492" s="204" t="s">
        <v>2276</v>
      </c>
      <c r="H1492" s="204" t="s">
        <v>2276</v>
      </c>
      <c r="I1492" s="204" t="s">
        <v>2276</v>
      </c>
      <c r="J1492" s="204">
        <v>1</v>
      </c>
      <c r="K1492" s="204" t="s">
        <v>2276</v>
      </c>
      <c r="L1492" s="204" t="s">
        <v>2276</v>
      </c>
      <c r="M1492" s="204" t="s">
        <v>2276</v>
      </c>
      <c r="N1492" s="204" t="s">
        <v>2276</v>
      </c>
      <c r="O1492" s="204" t="s">
        <v>2276</v>
      </c>
      <c r="P1492" s="204" t="s">
        <v>2276</v>
      </c>
      <c r="Q1492" s="204" t="s">
        <v>2276</v>
      </c>
      <c r="R1492" s="204" t="s">
        <v>2276</v>
      </c>
      <c r="S1492" s="204" t="s">
        <v>2276</v>
      </c>
      <c r="T1492" s="11" t="s">
        <v>9496</v>
      </c>
    </row>
    <row r="1493" spans="1:20" ht="53.5" customHeight="1">
      <c r="A1493" s="11" t="s">
        <v>9504</v>
      </c>
      <c r="B1493" s="204" t="s">
        <v>32</v>
      </c>
      <c r="C1493" s="204" t="s">
        <v>12</v>
      </c>
      <c r="D1493" s="204" t="s">
        <v>84</v>
      </c>
      <c r="E1493" s="204" t="s">
        <v>130</v>
      </c>
      <c r="F1493" s="4" t="s">
        <v>396</v>
      </c>
      <c r="G1493" s="204" t="s">
        <v>137</v>
      </c>
      <c r="H1493" s="204" t="s">
        <v>2276</v>
      </c>
      <c r="I1493" s="204" t="s">
        <v>2276</v>
      </c>
      <c r="J1493" s="204" t="s">
        <v>2276</v>
      </c>
      <c r="K1493" s="204" t="s">
        <v>2276</v>
      </c>
      <c r="L1493" s="204" t="s">
        <v>2276</v>
      </c>
      <c r="M1493" s="204" t="s">
        <v>2276</v>
      </c>
      <c r="N1493" s="204" t="s">
        <v>2276</v>
      </c>
      <c r="O1493" s="204" t="s">
        <v>2276</v>
      </c>
      <c r="P1493" s="21">
        <f>27.8+20.6</f>
        <v>48.400000000000006</v>
      </c>
      <c r="Q1493" s="204">
        <f>2.6</f>
        <v>2.6</v>
      </c>
      <c r="R1493" s="204">
        <f>24</f>
        <v>24</v>
      </c>
      <c r="S1493" s="21">
        <v>1.22</v>
      </c>
      <c r="T1493" s="204"/>
    </row>
    <row r="1494" spans="1:20" ht="49" customHeight="1">
      <c r="A1494" s="11" t="s">
        <v>9506</v>
      </c>
      <c r="B1494" s="204" t="s">
        <v>32</v>
      </c>
      <c r="C1494" s="204" t="s">
        <v>12</v>
      </c>
      <c r="D1494" s="204" t="s">
        <v>84</v>
      </c>
      <c r="E1494" s="204" t="s">
        <v>130</v>
      </c>
      <c r="F1494" s="4" t="s">
        <v>396</v>
      </c>
      <c r="G1494" s="204" t="s">
        <v>137</v>
      </c>
      <c r="H1494" s="204" t="s">
        <v>2276</v>
      </c>
      <c r="I1494" s="204" t="s">
        <v>2276</v>
      </c>
      <c r="J1494" s="204" t="s">
        <v>2276</v>
      </c>
      <c r="K1494" s="204" t="s">
        <v>2276</v>
      </c>
      <c r="L1494" s="204" t="s">
        <v>2276</v>
      </c>
      <c r="M1494" s="204" t="s">
        <v>2276</v>
      </c>
      <c r="N1494" s="204" t="s">
        <v>2276</v>
      </c>
      <c r="O1494" s="204" t="s">
        <v>2276</v>
      </c>
      <c r="P1494" s="204" t="s">
        <v>2276</v>
      </c>
      <c r="Q1494" s="204" t="s">
        <v>2276</v>
      </c>
      <c r="R1494" s="21">
        <f>AVERAGE(51, 73.8, 60.7, 34.3) * (24/AVERAGE(44.6, 55.3, 57.1, 17.2))</f>
        <v>30.282433983926527</v>
      </c>
      <c r="S1494" s="21">
        <f>AVERAGE(0.9, 1.8, 0, 2) * 1.22/AVERAGE(0.3, 1.9, 0.4, 0.8)</f>
        <v>1.6864705882352944</v>
      </c>
      <c r="T1494" s="204"/>
    </row>
    <row r="1495" spans="1:20" ht="42.5" customHeight="1">
      <c r="A1495" s="11" t="s">
        <v>9517</v>
      </c>
      <c r="B1495" s="204" t="s">
        <v>2258</v>
      </c>
      <c r="C1495" s="204" t="s">
        <v>12</v>
      </c>
      <c r="D1495" s="204" t="s">
        <v>2649</v>
      </c>
      <c r="E1495" s="204" t="s">
        <v>130</v>
      </c>
      <c r="F1495" s="204" t="s">
        <v>45</v>
      </c>
      <c r="G1495" s="204" t="s">
        <v>116</v>
      </c>
      <c r="H1495" s="204" t="s">
        <v>2276</v>
      </c>
      <c r="I1495" s="204" t="s">
        <v>2276</v>
      </c>
      <c r="J1495" s="204" t="s">
        <v>2276</v>
      </c>
      <c r="K1495" s="204" t="s">
        <v>534</v>
      </c>
      <c r="L1495" s="204" t="s">
        <v>2276</v>
      </c>
      <c r="M1495" s="204" t="s">
        <v>2276</v>
      </c>
      <c r="N1495" s="204" t="s">
        <v>2276</v>
      </c>
      <c r="O1495" s="204" t="s">
        <v>2276</v>
      </c>
      <c r="P1495" s="204" t="s">
        <v>2276</v>
      </c>
      <c r="Q1495" s="204" t="s">
        <v>2276</v>
      </c>
      <c r="R1495" s="204" t="s">
        <v>2276</v>
      </c>
      <c r="S1495" s="204" t="s">
        <v>2276</v>
      </c>
      <c r="T1495" s="204"/>
    </row>
    <row r="1496" spans="1:20" ht="50" customHeight="1">
      <c r="A1496" s="11" t="s">
        <v>9532</v>
      </c>
      <c r="B1496" s="204" t="s">
        <v>2258</v>
      </c>
      <c r="C1496" s="204" t="s">
        <v>12</v>
      </c>
      <c r="D1496" s="204" t="s">
        <v>84</v>
      </c>
      <c r="E1496" s="204" t="s">
        <v>2649</v>
      </c>
      <c r="F1496" s="4" t="s">
        <v>397</v>
      </c>
      <c r="G1496" s="204" t="s">
        <v>9476</v>
      </c>
      <c r="H1496" s="204" t="s">
        <v>2276</v>
      </c>
      <c r="I1496" s="204">
        <v>25</v>
      </c>
      <c r="J1496" s="204" t="s">
        <v>2276</v>
      </c>
      <c r="K1496" s="204" t="s">
        <v>534</v>
      </c>
      <c r="L1496" s="204" t="s">
        <v>2276</v>
      </c>
      <c r="M1496" s="204" t="s">
        <v>2276</v>
      </c>
      <c r="N1496" s="21">
        <f>(899642*(67/163))/'Record info'!K1496</f>
        <v>9.0037634291374466</v>
      </c>
      <c r="O1496" s="204" t="s">
        <v>2276</v>
      </c>
      <c r="P1496" s="21">
        <f>(591061+1626053+899642*(96/163))/'Record info'!K1496</f>
        <v>66.883686453102413</v>
      </c>
      <c r="Q1496" s="204" t="s">
        <v>2276</v>
      </c>
      <c r="R1496" s="21">
        <f>(478072+304726)/41070.77</f>
        <v>19.059735183927646</v>
      </c>
      <c r="S1496" s="204" t="s">
        <v>2276</v>
      </c>
      <c r="T1496" s="204" t="s">
        <v>9538</v>
      </c>
    </row>
    <row r="1497" spans="1:20" ht="50" customHeight="1">
      <c r="A1497" s="11" t="s">
        <v>9549</v>
      </c>
      <c r="B1497" s="204" t="s">
        <v>32</v>
      </c>
      <c r="C1497" s="204" t="s">
        <v>12</v>
      </c>
      <c r="D1497" s="204" t="s">
        <v>130</v>
      </c>
      <c r="E1497" s="204" t="s">
        <v>2649</v>
      </c>
      <c r="F1497" s="204" t="s">
        <v>84</v>
      </c>
      <c r="G1497" s="204" t="s">
        <v>863</v>
      </c>
      <c r="H1497" s="204" t="s">
        <v>2276</v>
      </c>
      <c r="I1497" s="204" t="s">
        <v>2276</v>
      </c>
      <c r="J1497" s="204" t="s">
        <v>2276</v>
      </c>
      <c r="K1497" s="204" t="s">
        <v>534</v>
      </c>
      <c r="L1497" s="204" t="s">
        <v>2276</v>
      </c>
      <c r="M1497" s="204" t="s">
        <v>2276</v>
      </c>
      <c r="N1497" s="204" t="s">
        <v>2276</v>
      </c>
      <c r="O1497" s="204" t="s">
        <v>2276</v>
      </c>
      <c r="P1497" s="204" t="s">
        <v>2276</v>
      </c>
      <c r="Q1497" s="204" t="s">
        <v>2276</v>
      </c>
      <c r="R1497" s="204" t="s">
        <v>2276</v>
      </c>
      <c r="S1497" s="204" t="s">
        <v>2276</v>
      </c>
      <c r="T1497" s="204"/>
    </row>
    <row r="1498" spans="1:20" ht="50" customHeight="1">
      <c r="A1498" s="11" t="s">
        <v>9553</v>
      </c>
      <c r="B1498" s="204" t="s">
        <v>32</v>
      </c>
      <c r="C1498" s="204" t="s">
        <v>12</v>
      </c>
      <c r="D1498" s="204" t="s">
        <v>130</v>
      </c>
      <c r="E1498" s="204" t="s">
        <v>2649</v>
      </c>
      <c r="F1498" s="204" t="s">
        <v>84</v>
      </c>
      <c r="G1498" s="204" t="s">
        <v>863</v>
      </c>
      <c r="H1498" s="204" t="s">
        <v>2276</v>
      </c>
      <c r="I1498" s="204" t="s">
        <v>2276</v>
      </c>
      <c r="J1498" s="204" t="s">
        <v>2276</v>
      </c>
      <c r="K1498" s="204" t="s">
        <v>534</v>
      </c>
      <c r="L1498" s="204" t="s">
        <v>2276</v>
      </c>
      <c r="M1498" s="204" t="s">
        <v>2276</v>
      </c>
      <c r="N1498" s="204" t="s">
        <v>2276</v>
      </c>
      <c r="O1498" s="204" t="s">
        <v>2276</v>
      </c>
      <c r="P1498" s="204" t="s">
        <v>2276</v>
      </c>
      <c r="Q1498" s="204" t="s">
        <v>2276</v>
      </c>
      <c r="R1498" s="204" t="s">
        <v>2276</v>
      </c>
      <c r="S1498" s="204" t="s">
        <v>2276</v>
      </c>
      <c r="T1498" s="204"/>
    </row>
    <row r="1499" spans="1:20" ht="50" customHeight="1">
      <c r="A1499" s="11" t="s">
        <v>9554</v>
      </c>
      <c r="B1499" s="204" t="s">
        <v>32</v>
      </c>
      <c r="C1499" s="204" t="s">
        <v>12</v>
      </c>
      <c r="D1499" s="204" t="s">
        <v>130</v>
      </c>
      <c r="E1499" s="204" t="s">
        <v>2649</v>
      </c>
      <c r="F1499" s="204" t="s">
        <v>84</v>
      </c>
      <c r="G1499" s="204" t="s">
        <v>863</v>
      </c>
      <c r="H1499" s="204" t="s">
        <v>2276</v>
      </c>
      <c r="I1499" s="204" t="s">
        <v>2276</v>
      </c>
      <c r="J1499" s="204" t="s">
        <v>2276</v>
      </c>
      <c r="K1499" s="204" t="s">
        <v>534</v>
      </c>
      <c r="L1499" s="204" t="s">
        <v>2276</v>
      </c>
      <c r="M1499" s="204" t="s">
        <v>2276</v>
      </c>
      <c r="N1499" s="204" t="s">
        <v>2276</v>
      </c>
      <c r="O1499" s="204" t="s">
        <v>2276</v>
      </c>
      <c r="P1499" s="204" t="s">
        <v>2276</v>
      </c>
      <c r="Q1499" s="204" t="s">
        <v>2276</v>
      </c>
      <c r="R1499" s="204" t="s">
        <v>2276</v>
      </c>
      <c r="S1499" s="204" t="s">
        <v>2276</v>
      </c>
      <c r="T1499" s="204"/>
    </row>
    <row r="1500" spans="1:20" ht="50" customHeight="1">
      <c r="A1500" s="11" t="s">
        <v>9555</v>
      </c>
      <c r="B1500" s="204" t="s">
        <v>32</v>
      </c>
      <c r="C1500" s="204" t="s">
        <v>12</v>
      </c>
      <c r="D1500" s="204" t="s">
        <v>130</v>
      </c>
      <c r="E1500" s="204" t="s">
        <v>2649</v>
      </c>
      <c r="F1500" s="204" t="s">
        <v>84</v>
      </c>
      <c r="G1500" s="204" t="s">
        <v>863</v>
      </c>
      <c r="H1500" s="204" t="s">
        <v>2276</v>
      </c>
      <c r="I1500" s="204" t="s">
        <v>2276</v>
      </c>
      <c r="J1500" s="204" t="s">
        <v>2276</v>
      </c>
      <c r="K1500" s="204" t="s">
        <v>534</v>
      </c>
      <c r="L1500" s="204" t="s">
        <v>2276</v>
      </c>
      <c r="M1500" s="204" t="s">
        <v>2276</v>
      </c>
      <c r="N1500" s="204" t="s">
        <v>2276</v>
      </c>
      <c r="O1500" s="204" t="s">
        <v>2276</v>
      </c>
      <c r="P1500" s="204" t="s">
        <v>2276</v>
      </c>
      <c r="Q1500" s="204" t="s">
        <v>2276</v>
      </c>
      <c r="R1500" s="204" t="s">
        <v>2276</v>
      </c>
      <c r="S1500" s="204" t="s">
        <v>2276</v>
      </c>
      <c r="T1500" s="204"/>
    </row>
    <row r="1501" spans="1:20" ht="50" customHeight="1">
      <c r="A1501" s="11" t="s">
        <v>9556</v>
      </c>
      <c r="B1501" s="204" t="s">
        <v>32</v>
      </c>
      <c r="C1501" s="204" t="s">
        <v>12</v>
      </c>
      <c r="D1501" s="204" t="s">
        <v>130</v>
      </c>
      <c r="E1501" s="204" t="s">
        <v>2649</v>
      </c>
      <c r="F1501" s="204" t="s">
        <v>84</v>
      </c>
      <c r="G1501" s="204" t="s">
        <v>863</v>
      </c>
      <c r="H1501" s="204" t="s">
        <v>2276</v>
      </c>
      <c r="I1501" s="204" t="s">
        <v>2276</v>
      </c>
      <c r="J1501" s="204" t="s">
        <v>2276</v>
      </c>
      <c r="K1501" s="204" t="s">
        <v>534</v>
      </c>
      <c r="L1501" s="204" t="s">
        <v>2276</v>
      </c>
      <c r="M1501" s="204" t="s">
        <v>2276</v>
      </c>
      <c r="N1501" s="204" t="s">
        <v>2276</v>
      </c>
      <c r="O1501" s="204" t="s">
        <v>2276</v>
      </c>
      <c r="P1501" s="204" t="s">
        <v>2276</v>
      </c>
      <c r="Q1501" s="204" t="s">
        <v>2276</v>
      </c>
      <c r="R1501" s="204" t="s">
        <v>2276</v>
      </c>
      <c r="S1501" s="204" t="s">
        <v>2276</v>
      </c>
      <c r="T1501" s="204"/>
    </row>
    <row r="1502" spans="1:20" ht="50" customHeight="1">
      <c r="A1502" s="11" t="s">
        <v>9557</v>
      </c>
      <c r="B1502" s="204" t="s">
        <v>32</v>
      </c>
      <c r="C1502" s="204" t="s">
        <v>12</v>
      </c>
      <c r="D1502" s="204" t="s">
        <v>130</v>
      </c>
      <c r="E1502" s="204" t="s">
        <v>2649</v>
      </c>
      <c r="F1502" s="204" t="s">
        <v>84</v>
      </c>
      <c r="G1502" s="204" t="s">
        <v>137</v>
      </c>
      <c r="H1502" s="204" t="s">
        <v>2276</v>
      </c>
      <c r="I1502" s="204" t="s">
        <v>2276</v>
      </c>
      <c r="J1502" s="204" t="s">
        <v>2276</v>
      </c>
      <c r="K1502" s="204" t="s">
        <v>534</v>
      </c>
      <c r="L1502" s="204" t="s">
        <v>2276</v>
      </c>
      <c r="M1502" s="204" t="s">
        <v>2276</v>
      </c>
      <c r="N1502" s="204" t="s">
        <v>2276</v>
      </c>
      <c r="O1502" s="204" t="s">
        <v>2276</v>
      </c>
      <c r="P1502" s="204" t="s">
        <v>2276</v>
      </c>
      <c r="Q1502" s="204" t="s">
        <v>2276</v>
      </c>
      <c r="R1502" s="204" t="s">
        <v>2276</v>
      </c>
      <c r="S1502" s="204" t="s">
        <v>2276</v>
      </c>
      <c r="T1502" s="204"/>
    </row>
    <row r="1503" spans="1:20" ht="47" customHeight="1">
      <c r="A1503" s="11" t="s">
        <v>9595</v>
      </c>
      <c r="B1503" s="204" t="s">
        <v>32</v>
      </c>
      <c r="C1503" s="204" t="s">
        <v>12</v>
      </c>
      <c r="D1503" s="204" t="s">
        <v>2649</v>
      </c>
      <c r="E1503" s="204" t="s">
        <v>863</v>
      </c>
      <c r="F1503" s="204" t="s">
        <v>2276</v>
      </c>
      <c r="G1503" s="204" t="s">
        <v>2276</v>
      </c>
      <c r="H1503" s="204" t="s">
        <v>2276</v>
      </c>
      <c r="I1503" s="4">
        <v>13810</v>
      </c>
      <c r="J1503" s="204" t="s">
        <v>2276</v>
      </c>
      <c r="K1503" s="204" t="s">
        <v>534</v>
      </c>
      <c r="L1503" s="204" t="s">
        <v>2276</v>
      </c>
      <c r="M1503" s="204">
        <f>27.2/0.4</f>
        <v>68</v>
      </c>
      <c r="N1503" s="204" t="s">
        <v>2276</v>
      </c>
      <c r="O1503" s="204" t="s">
        <v>2276</v>
      </c>
      <c r="P1503" s="204" t="s">
        <v>2276</v>
      </c>
      <c r="Q1503" s="204" t="s">
        <v>2276</v>
      </c>
      <c r="R1503" s="204" t="s">
        <v>2276</v>
      </c>
      <c r="S1503" s="204" t="s">
        <v>2276</v>
      </c>
      <c r="T1503" s="4" t="s">
        <v>9597</v>
      </c>
    </row>
    <row r="1504" spans="1:20" ht="46" customHeight="1">
      <c r="A1504" s="11" t="s">
        <v>9599</v>
      </c>
      <c r="B1504" s="204" t="s">
        <v>2258</v>
      </c>
      <c r="C1504" s="204" t="s">
        <v>12</v>
      </c>
      <c r="D1504" s="204" t="s">
        <v>84</v>
      </c>
      <c r="E1504" s="204" t="s">
        <v>130</v>
      </c>
      <c r="F1504" s="204" t="s">
        <v>2649</v>
      </c>
      <c r="G1504" s="204" t="s">
        <v>2276</v>
      </c>
      <c r="H1504" s="204" t="s">
        <v>2276</v>
      </c>
      <c r="I1504" s="204" t="s">
        <v>2276</v>
      </c>
      <c r="J1504" s="204" t="s">
        <v>2276</v>
      </c>
      <c r="K1504" s="204" t="s">
        <v>534</v>
      </c>
      <c r="L1504" s="204" t="s">
        <v>2276</v>
      </c>
      <c r="M1504" s="204" t="s">
        <v>2276</v>
      </c>
      <c r="N1504" s="204" t="s">
        <v>2276</v>
      </c>
      <c r="O1504" s="204" t="s">
        <v>2276</v>
      </c>
      <c r="P1504" s="204" t="s">
        <v>2276</v>
      </c>
      <c r="Q1504" s="204" t="s">
        <v>2276</v>
      </c>
      <c r="R1504" s="204" t="s">
        <v>2276</v>
      </c>
      <c r="S1504" s="204" t="s">
        <v>2276</v>
      </c>
      <c r="T1504" s="204"/>
    </row>
    <row r="1505" spans="1:20" ht="46.5" customHeight="1">
      <c r="A1505" s="11" t="s">
        <v>9603</v>
      </c>
      <c r="B1505" s="204" t="s">
        <v>2258</v>
      </c>
      <c r="C1505" s="204" t="s">
        <v>12</v>
      </c>
      <c r="D1505" s="204" t="s">
        <v>84</v>
      </c>
      <c r="E1505" s="204" t="s">
        <v>130</v>
      </c>
      <c r="F1505" s="204" t="s">
        <v>2649</v>
      </c>
      <c r="G1505" s="204" t="s">
        <v>2276</v>
      </c>
      <c r="H1505" s="204" t="s">
        <v>2276</v>
      </c>
      <c r="I1505" s="204" t="s">
        <v>2276</v>
      </c>
      <c r="J1505" s="204" t="s">
        <v>2276</v>
      </c>
      <c r="K1505" s="204" t="s">
        <v>534</v>
      </c>
      <c r="L1505" s="204" t="s">
        <v>2276</v>
      </c>
      <c r="M1505" s="204" t="s">
        <v>2276</v>
      </c>
      <c r="N1505" s="204" t="s">
        <v>2276</v>
      </c>
      <c r="O1505" s="204" t="s">
        <v>2276</v>
      </c>
      <c r="P1505" s="204" t="s">
        <v>2276</v>
      </c>
      <c r="Q1505" s="204" t="s">
        <v>2276</v>
      </c>
      <c r="R1505" s="204" t="s">
        <v>2276</v>
      </c>
      <c r="S1505" s="204" t="s">
        <v>2276</v>
      </c>
      <c r="T1505" s="204"/>
    </row>
    <row r="1506" spans="1:20" ht="47" customHeight="1">
      <c r="A1506" s="11" t="s">
        <v>9609</v>
      </c>
      <c r="B1506" s="204" t="s">
        <v>2258</v>
      </c>
      <c r="C1506" s="204" t="s">
        <v>12</v>
      </c>
      <c r="D1506" s="4" t="s">
        <v>397</v>
      </c>
      <c r="E1506" s="204" t="s">
        <v>2649</v>
      </c>
      <c r="F1506" s="204" t="s">
        <v>2276</v>
      </c>
      <c r="G1506" s="204" t="s">
        <v>2276</v>
      </c>
      <c r="H1506" s="204" t="s">
        <v>2276</v>
      </c>
      <c r="I1506" s="204" t="s">
        <v>2276</v>
      </c>
      <c r="J1506" s="204" t="s">
        <v>2276</v>
      </c>
      <c r="K1506" s="204" t="s">
        <v>2276</v>
      </c>
      <c r="L1506" s="204" t="s">
        <v>2276</v>
      </c>
      <c r="M1506" s="204" t="s">
        <v>2276</v>
      </c>
      <c r="N1506" s="21">
        <v>25</v>
      </c>
      <c r="O1506" s="204" t="s">
        <v>2276</v>
      </c>
      <c r="P1506" s="21">
        <v>75</v>
      </c>
      <c r="Q1506" s="204" t="s">
        <v>2276</v>
      </c>
      <c r="R1506" s="204" t="s">
        <v>2276</v>
      </c>
      <c r="S1506" s="204" t="s">
        <v>2276</v>
      </c>
      <c r="T1506" s="204"/>
    </row>
    <row r="1507" spans="1:20" ht="43.5" customHeight="1">
      <c r="A1507" s="11" t="s">
        <v>9621</v>
      </c>
      <c r="B1507" s="204" t="s">
        <v>2258</v>
      </c>
      <c r="C1507" s="204" t="s">
        <v>12</v>
      </c>
      <c r="D1507" s="4" t="s">
        <v>396</v>
      </c>
      <c r="E1507" s="204" t="s">
        <v>137</v>
      </c>
      <c r="F1507" s="204" t="s">
        <v>863</v>
      </c>
      <c r="G1507" s="204" t="s">
        <v>2276</v>
      </c>
      <c r="H1507" s="204" t="s">
        <v>2276</v>
      </c>
      <c r="I1507" s="204" t="s">
        <v>2276</v>
      </c>
      <c r="J1507" s="204" t="s">
        <v>2276</v>
      </c>
      <c r="K1507" s="204" t="s">
        <v>2276</v>
      </c>
      <c r="L1507" s="204" t="s">
        <v>2276</v>
      </c>
      <c r="M1507" s="204" t="s">
        <v>2276</v>
      </c>
      <c r="N1507" s="204" t="s">
        <v>2276</v>
      </c>
      <c r="O1507" s="204" t="s">
        <v>2276</v>
      </c>
      <c r="P1507" s="21">
        <v>75</v>
      </c>
      <c r="Q1507" s="204" t="s">
        <v>2276</v>
      </c>
      <c r="R1507" s="21">
        <v>25</v>
      </c>
      <c r="S1507" s="204" t="s">
        <v>2276</v>
      </c>
      <c r="T1507" s="204"/>
    </row>
    <row r="1508" spans="1:20" ht="45.5" customHeight="1">
      <c r="A1508" s="11" t="s">
        <v>9625</v>
      </c>
      <c r="B1508" s="204" t="s">
        <v>2276</v>
      </c>
      <c r="C1508" s="204" t="s">
        <v>12</v>
      </c>
      <c r="D1508" s="4" t="s">
        <v>2651</v>
      </c>
      <c r="E1508" s="4" t="s">
        <v>5801</v>
      </c>
      <c r="F1508" s="204" t="s">
        <v>2276</v>
      </c>
      <c r="G1508" s="204" t="s">
        <v>2276</v>
      </c>
      <c r="H1508" s="204" t="s">
        <v>2276</v>
      </c>
      <c r="I1508" s="204" t="s">
        <v>2276</v>
      </c>
      <c r="J1508" s="204" t="s">
        <v>2276</v>
      </c>
      <c r="K1508" s="204" t="s">
        <v>2276</v>
      </c>
      <c r="L1508" s="204" t="s">
        <v>2276</v>
      </c>
      <c r="M1508" s="204" t="s">
        <v>2276</v>
      </c>
      <c r="N1508" s="204" t="s">
        <v>2276</v>
      </c>
      <c r="O1508" s="204" t="s">
        <v>2276</v>
      </c>
      <c r="P1508" s="204" t="s">
        <v>2276</v>
      </c>
      <c r="Q1508" s="204" t="s">
        <v>2276</v>
      </c>
      <c r="R1508" s="21">
        <f>100*AVERAGE(27692, 27673)/'Record info'!K1508</f>
        <v>35.292205308651418</v>
      </c>
      <c r="S1508" s="204" t="s">
        <v>2276</v>
      </c>
      <c r="T1508" s="204" t="s">
        <v>9646</v>
      </c>
    </row>
    <row r="1509" spans="1:20" ht="45.5" customHeight="1">
      <c r="A1509" s="11" t="s">
        <v>9627</v>
      </c>
      <c r="B1509" s="204" t="s">
        <v>2276</v>
      </c>
      <c r="C1509" s="204" t="s">
        <v>12</v>
      </c>
      <c r="D1509" s="204" t="s">
        <v>130</v>
      </c>
      <c r="E1509" s="4" t="s">
        <v>2651</v>
      </c>
      <c r="F1509" s="4" t="s">
        <v>5801</v>
      </c>
      <c r="G1509" s="204" t="s">
        <v>2276</v>
      </c>
      <c r="H1509" s="204" t="s">
        <v>2276</v>
      </c>
      <c r="I1509" s="204" t="s">
        <v>2276</v>
      </c>
      <c r="J1509" s="204" t="s">
        <v>2276</v>
      </c>
      <c r="K1509" s="204" t="s">
        <v>2276</v>
      </c>
      <c r="L1509" s="204" t="s">
        <v>2276</v>
      </c>
      <c r="M1509" s="204" t="s">
        <v>2276</v>
      </c>
      <c r="N1509" s="204" t="s">
        <v>2276</v>
      </c>
      <c r="O1509" s="204" t="s">
        <v>2276</v>
      </c>
      <c r="P1509" s="204" t="s">
        <v>2276</v>
      </c>
      <c r="Q1509" s="21">
        <f>AVERAGE(161313, 153146)/'Record info'!K1509</f>
        <v>1.8775240915658622</v>
      </c>
      <c r="R1509" s="21">
        <f>(100*AVERAGE(67484, 67410)/'Record info'!K1509)-Q1509</f>
        <v>78.662938991915738</v>
      </c>
      <c r="S1509" s="204" t="s">
        <v>2276</v>
      </c>
      <c r="T1509" s="4" t="s">
        <v>9647</v>
      </c>
    </row>
    <row r="1510" spans="1:20" ht="45.5" customHeight="1">
      <c r="A1510" s="11" t="s">
        <v>9628</v>
      </c>
      <c r="B1510" s="204" t="s">
        <v>2276</v>
      </c>
      <c r="C1510" s="204" t="s">
        <v>12</v>
      </c>
      <c r="D1510" s="204" t="s">
        <v>130</v>
      </c>
      <c r="E1510" s="4" t="s">
        <v>2651</v>
      </c>
      <c r="F1510" s="4" t="s">
        <v>5801</v>
      </c>
      <c r="G1510" s="4" t="s">
        <v>3854</v>
      </c>
      <c r="H1510" s="204" t="s">
        <v>2276</v>
      </c>
      <c r="I1510" s="204" t="s">
        <v>2276</v>
      </c>
      <c r="J1510" s="204" t="s">
        <v>2276</v>
      </c>
      <c r="K1510" s="204" t="s">
        <v>2276</v>
      </c>
      <c r="L1510" s="204" t="s">
        <v>2276</v>
      </c>
      <c r="M1510" s="204" t="s">
        <v>2276</v>
      </c>
      <c r="N1510" s="204" t="s">
        <v>2276</v>
      </c>
      <c r="O1510" s="204" t="s">
        <v>2276</v>
      </c>
      <c r="P1510" s="204" t="s">
        <v>2276</v>
      </c>
      <c r="Q1510" s="21">
        <f>AVERAGE(481668, 85220)/'Record info'!K1510</f>
        <v>12.695122497424643</v>
      </c>
      <c r="R1510" s="21">
        <f>(100*AVERAGE(17280, 17090)/'Record info'!K1510)-Q1510</f>
        <v>64.274465893313021</v>
      </c>
      <c r="S1510" s="204" t="s">
        <v>2276</v>
      </c>
      <c r="T1510" s="4" t="s">
        <v>9647</v>
      </c>
    </row>
    <row r="1511" spans="1:20" ht="45.5" customHeight="1">
      <c r="A1511" s="11" t="s">
        <v>9629</v>
      </c>
      <c r="B1511" s="204" t="s">
        <v>2276</v>
      </c>
      <c r="C1511" s="204" t="s">
        <v>12</v>
      </c>
      <c r="D1511" s="204" t="s">
        <v>130</v>
      </c>
      <c r="E1511" s="4" t="s">
        <v>2651</v>
      </c>
      <c r="F1511" s="4" t="s">
        <v>5801</v>
      </c>
      <c r="G1511" s="204" t="s">
        <v>2276</v>
      </c>
      <c r="H1511" s="204" t="s">
        <v>2276</v>
      </c>
      <c r="I1511" s="204" t="s">
        <v>2276</v>
      </c>
      <c r="J1511" s="204" t="s">
        <v>2276</v>
      </c>
      <c r="K1511" s="204" t="s">
        <v>2276</v>
      </c>
      <c r="L1511" s="204" t="s">
        <v>2276</v>
      </c>
      <c r="M1511" s="204" t="s">
        <v>2276</v>
      </c>
      <c r="N1511" s="204" t="s">
        <v>2276</v>
      </c>
      <c r="O1511" s="204" t="s">
        <v>2276</v>
      </c>
      <c r="P1511" s="204" t="s">
        <v>2276</v>
      </c>
      <c r="Q1511" s="21">
        <f>AVERAGE(44899, 74383)/'Record info'!K1511</f>
        <v>2.659102055374738</v>
      </c>
      <c r="R1511" s="21">
        <f>(100*AVERAGE(17321, 17275)/'Record info'!K1511)-Q1511</f>
        <v>74.464265014044329</v>
      </c>
      <c r="S1511" s="204" t="s">
        <v>2276</v>
      </c>
      <c r="T1511" s="4" t="s">
        <v>9647</v>
      </c>
    </row>
    <row r="1512" spans="1:20" ht="45.5" customHeight="1">
      <c r="A1512" s="11" t="s">
        <v>9630</v>
      </c>
      <c r="B1512" s="204" t="s">
        <v>2276</v>
      </c>
      <c r="C1512" s="204" t="s">
        <v>12</v>
      </c>
      <c r="D1512" s="204" t="s">
        <v>130</v>
      </c>
      <c r="E1512" s="4" t="s">
        <v>2651</v>
      </c>
      <c r="F1512" s="4" t="s">
        <v>5801</v>
      </c>
      <c r="G1512" s="204" t="s">
        <v>2276</v>
      </c>
      <c r="H1512" s="204" t="s">
        <v>2276</v>
      </c>
      <c r="I1512" s="204" t="s">
        <v>2276</v>
      </c>
      <c r="J1512" s="204" t="s">
        <v>2276</v>
      </c>
      <c r="K1512" s="204" t="s">
        <v>2276</v>
      </c>
      <c r="L1512" s="204" t="s">
        <v>2276</v>
      </c>
      <c r="M1512" s="204" t="s">
        <v>2276</v>
      </c>
      <c r="N1512" s="204" t="s">
        <v>2276</v>
      </c>
      <c r="O1512" s="204" t="s">
        <v>2276</v>
      </c>
      <c r="P1512" s="204" t="s">
        <v>2276</v>
      </c>
      <c r="Q1512" s="21">
        <f>AVERAGE(261756, 401741)/'Record info'!K1512</f>
        <v>15.736848346852616</v>
      </c>
      <c r="R1512" s="21">
        <f>(100*AVERAGE(19240, 19117)/'Record info'!K1512)-Q1512</f>
        <v>75.238437455528683</v>
      </c>
      <c r="S1512" s="204" t="s">
        <v>2276</v>
      </c>
      <c r="T1512" s="4" t="s">
        <v>9647</v>
      </c>
    </row>
    <row r="1513" spans="1:20" ht="45.5" customHeight="1">
      <c r="A1513" s="11" t="s">
        <v>9631</v>
      </c>
      <c r="B1513" s="204" t="s">
        <v>2276</v>
      </c>
      <c r="C1513" s="204" t="s">
        <v>12</v>
      </c>
      <c r="D1513" s="204" t="s">
        <v>130</v>
      </c>
      <c r="E1513" s="4" t="s">
        <v>2651</v>
      </c>
      <c r="F1513" s="4" t="s">
        <v>5801</v>
      </c>
      <c r="G1513" s="204" t="s">
        <v>2276</v>
      </c>
      <c r="H1513" s="204" t="s">
        <v>2276</v>
      </c>
      <c r="I1513" s="204" t="s">
        <v>2276</v>
      </c>
      <c r="J1513" s="204" t="s">
        <v>2276</v>
      </c>
      <c r="K1513" s="204" t="s">
        <v>2276</v>
      </c>
      <c r="L1513" s="204" t="s">
        <v>2276</v>
      </c>
      <c r="M1513" s="204" t="s">
        <v>2276</v>
      </c>
      <c r="N1513" s="204" t="s">
        <v>2276</v>
      </c>
      <c r="O1513" s="204" t="s">
        <v>2276</v>
      </c>
      <c r="P1513" s="204" t="s">
        <v>2276</v>
      </c>
      <c r="Q1513" s="21">
        <f>AVERAGE(282774, 191790)/'Record info'!K1513</f>
        <v>14.312202183485132</v>
      </c>
      <c r="R1513" s="21">
        <f>(100*AVERAGE(13464, 13318)/'Record info'!K1513)-Q1513</f>
        <v>66.458652512214258</v>
      </c>
      <c r="S1513" s="204" t="s">
        <v>2276</v>
      </c>
      <c r="T1513" s="4" t="s">
        <v>9647</v>
      </c>
    </row>
    <row r="1514" spans="1:20" ht="45.5" customHeight="1">
      <c r="A1514" s="11" t="s">
        <v>9632</v>
      </c>
      <c r="B1514" s="204" t="s">
        <v>2276</v>
      </c>
      <c r="C1514" s="204" t="s">
        <v>12</v>
      </c>
      <c r="D1514" s="204" t="s">
        <v>130</v>
      </c>
      <c r="E1514" s="4" t="s">
        <v>2651</v>
      </c>
      <c r="F1514" s="4" t="s">
        <v>5801</v>
      </c>
      <c r="G1514" s="204" t="s">
        <v>2276</v>
      </c>
      <c r="H1514" s="204" t="s">
        <v>2276</v>
      </c>
      <c r="I1514" s="204" t="s">
        <v>2276</v>
      </c>
      <c r="J1514" s="204" t="s">
        <v>2276</v>
      </c>
      <c r="K1514" s="204" t="s">
        <v>2276</v>
      </c>
      <c r="L1514" s="204" t="s">
        <v>2276</v>
      </c>
      <c r="M1514" s="204" t="s">
        <v>2276</v>
      </c>
      <c r="N1514" s="204" t="s">
        <v>2276</v>
      </c>
      <c r="O1514" s="204" t="s">
        <v>2276</v>
      </c>
      <c r="P1514" s="204" t="s">
        <v>2276</v>
      </c>
      <c r="Q1514" s="21">
        <f>AVERAGE(25411, 39526)/'Record info'!K1514</f>
        <v>3.0963665840167844</v>
      </c>
      <c r="R1514" s="21">
        <f>(100*AVERAGE(8073, 7977)/'Record info'!K1514)-Q1514</f>
        <v>73.434245660881174</v>
      </c>
      <c r="S1514" s="204" t="s">
        <v>2276</v>
      </c>
      <c r="T1514" s="4" t="s">
        <v>9647</v>
      </c>
    </row>
    <row r="1515" spans="1:20" ht="45.5" customHeight="1">
      <c r="A1515" s="11" t="s">
        <v>9633</v>
      </c>
      <c r="B1515" s="204" t="s">
        <v>2276</v>
      </c>
      <c r="C1515" s="204" t="s">
        <v>12</v>
      </c>
      <c r="D1515" s="4" t="s">
        <v>2651</v>
      </c>
      <c r="E1515" s="4" t="s">
        <v>5801</v>
      </c>
      <c r="F1515" s="204" t="s">
        <v>2276</v>
      </c>
      <c r="G1515" s="204" t="s">
        <v>2276</v>
      </c>
      <c r="H1515" s="204" t="s">
        <v>2276</v>
      </c>
      <c r="I1515" s="204" t="s">
        <v>2276</v>
      </c>
      <c r="J1515" s="204" t="s">
        <v>2276</v>
      </c>
      <c r="K1515" s="204" t="s">
        <v>2276</v>
      </c>
      <c r="L1515" s="204" t="s">
        <v>2276</v>
      </c>
      <c r="M1515" s="204" t="s">
        <v>2276</v>
      </c>
      <c r="N1515" s="204" t="s">
        <v>2276</v>
      </c>
      <c r="O1515" s="204" t="s">
        <v>2276</v>
      </c>
      <c r="P1515" s="204" t="s">
        <v>2276</v>
      </c>
      <c r="Q1515" s="204" t="s">
        <v>2276</v>
      </c>
      <c r="R1515" s="21">
        <f>100*AVERAGE(3357, 3359)/'Record info'!K1515</f>
        <v>47.322435174746339</v>
      </c>
      <c r="S1515" s="204" t="s">
        <v>2276</v>
      </c>
      <c r="T1515" s="204" t="s">
        <v>9646</v>
      </c>
    </row>
    <row r="1516" spans="1:20" ht="50" customHeight="1">
      <c r="A1516" s="11" t="s">
        <v>9655</v>
      </c>
      <c r="B1516" s="204" t="s">
        <v>2276</v>
      </c>
      <c r="C1516" s="204" t="s">
        <v>12</v>
      </c>
      <c r="D1516" s="4" t="s">
        <v>2651</v>
      </c>
      <c r="E1516" s="4" t="s">
        <v>3854</v>
      </c>
      <c r="F1516" s="204" t="s">
        <v>2276</v>
      </c>
      <c r="G1516" s="204" t="s">
        <v>2276</v>
      </c>
      <c r="H1516" s="204" t="s">
        <v>2276</v>
      </c>
      <c r="I1516" s="204" t="s">
        <v>2276</v>
      </c>
      <c r="J1516" s="204" t="s">
        <v>2276</v>
      </c>
      <c r="K1516" s="204" t="s">
        <v>2276</v>
      </c>
      <c r="L1516" s="204" t="s">
        <v>2276</v>
      </c>
      <c r="M1516" s="204" t="s">
        <v>2276</v>
      </c>
      <c r="N1516" s="204" t="s">
        <v>2276</v>
      </c>
      <c r="O1516" s="204" t="s">
        <v>2276</v>
      </c>
      <c r="P1516" s="204" t="s">
        <v>2276</v>
      </c>
      <c r="Q1516" s="204" t="s">
        <v>2276</v>
      </c>
      <c r="R1516" s="204" t="s">
        <v>2276</v>
      </c>
      <c r="S1516" s="204" t="s">
        <v>2276</v>
      </c>
      <c r="T1516" s="204"/>
    </row>
    <row r="1517" spans="1:20" ht="42.5" customHeight="1">
      <c r="A1517" s="204" t="s">
        <v>9659</v>
      </c>
      <c r="B1517" s="204" t="s">
        <v>32</v>
      </c>
      <c r="C1517" s="204" t="s">
        <v>12</v>
      </c>
      <c r="D1517" s="204" t="s">
        <v>2649</v>
      </c>
      <c r="E1517" s="204" t="s">
        <v>863</v>
      </c>
      <c r="F1517" s="204" t="s">
        <v>130</v>
      </c>
      <c r="G1517" s="204" t="s">
        <v>116</v>
      </c>
      <c r="H1517" s="204" t="s">
        <v>2276</v>
      </c>
      <c r="I1517" s="204" t="s">
        <v>2276</v>
      </c>
      <c r="J1517" s="204" t="s">
        <v>2276</v>
      </c>
      <c r="K1517" s="204" t="s">
        <v>534</v>
      </c>
      <c r="L1517" s="204" t="s">
        <v>2276</v>
      </c>
      <c r="M1517" s="204" t="s">
        <v>2276</v>
      </c>
      <c r="N1517" s="204" t="s">
        <v>2276</v>
      </c>
      <c r="O1517" s="204" t="s">
        <v>2276</v>
      </c>
      <c r="P1517" s="204" t="s">
        <v>2276</v>
      </c>
      <c r="Q1517" s="204" t="s">
        <v>2276</v>
      </c>
      <c r="R1517" s="21">
        <v>95</v>
      </c>
      <c r="S1517" s="204" t="s">
        <v>2276</v>
      </c>
      <c r="T1517" s="204" t="s">
        <v>9663</v>
      </c>
    </row>
    <row r="1518" spans="1:20" ht="42.5" customHeight="1">
      <c r="A1518" s="11" t="s">
        <v>9672</v>
      </c>
      <c r="B1518" s="204" t="s">
        <v>2276</v>
      </c>
      <c r="C1518" s="204" t="s">
        <v>12</v>
      </c>
      <c r="D1518" s="204" t="s">
        <v>130</v>
      </c>
      <c r="E1518" s="204" t="s">
        <v>116</v>
      </c>
      <c r="F1518" s="4" t="s">
        <v>397</v>
      </c>
      <c r="G1518" s="204" t="s">
        <v>2649</v>
      </c>
      <c r="H1518" s="204" t="s">
        <v>2276</v>
      </c>
      <c r="I1518" s="204" t="s">
        <v>2276</v>
      </c>
      <c r="J1518" s="204" t="s">
        <v>2276</v>
      </c>
      <c r="K1518" s="204" t="s">
        <v>534</v>
      </c>
      <c r="L1518" s="204" t="s">
        <v>2276</v>
      </c>
      <c r="M1518" s="204" t="s">
        <v>2276</v>
      </c>
      <c r="N1518" s="204" t="s">
        <v>2276</v>
      </c>
      <c r="O1518" s="204" t="s">
        <v>2276</v>
      </c>
      <c r="P1518" s="204" t="s">
        <v>2276</v>
      </c>
      <c r="Q1518" s="204" t="s">
        <v>2276</v>
      </c>
      <c r="R1518" s="204" t="s">
        <v>2276</v>
      </c>
      <c r="S1518" s="204" t="s">
        <v>2276</v>
      </c>
      <c r="T1518" s="204"/>
    </row>
    <row r="1519" spans="1:20" ht="42.5" customHeight="1">
      <c r="A1519" s="11" t="s">
        <v>9673</v>
      </c>
      <c r="B1519" s="204" t="s">
        <v>2276</v>
      </c>
      <c r="C1519" s="204" t="s">
        <v>12</v>
      </c>
      <c r="D1519" s="204" t="s">
        <v>130</v>
      </c>
      <c r="E1519" s="204" t="s">
        <v>2649</v>
      </c>
      <c r="F1519" s="4" t="s">
        <v>397</v>
      </c>
      <c r="G1519" s="204" t="s">
        <v>84</v>
      </c>
      <c r="H1519" s="204" t="s">
        <v>2276</v>
      </c>
      <c r="I1519" s="204" t="s">
        <v>2276</v>
      </c>
      <c r="J1519" s="204" t="s">
        <v>2276</v>
      </c>
      <c r="K1519" s="204" t="s">
        <v>534</v>
      </c>
      <c r="L1519" s="204" t="s">
        <v>2276</v>
      </c>
      <c r="M1519" s="204" t="s">
        <v>2276</v>
      </c>
      <c r="N1519" s="204" t="s">
        <v>2276</v>
      </c>
      <c r="O1519" s="204" t="s">
        <v>2276</v>
      </c>
      <c r="P1519" s="204" t="s">
        <v>2276</v>
      </c>
      <c r="Q1519" s="204" t="s">
        <v>2276</v>
      </c>
      <c r="R1519" s="204" t="s">
        <v>2276</v>
      </c>
      <c r="S1519" s="204" t="s">
        <v>2276</v>
      </c>
      <c r="T1519" s="204"/>
    </row>
    <row r="1520" spans="1:20" ht="42.5" customHeight="1">
      <c r="A1520" s="11" t="s">
        <v>9674</v>
      </c>
      <c r="B1520" s="204" t="s">
        <v>2276</v>
      </c>
      <c r="C1520" s="204" t="s">
        <v>12</v>
      </c>
      <c r="D1520" s="204" t="s">
        <v>130</v>
      </c>
      <c r="E1520" s="204" t="s">
        <v>116</v>
      </c>
      <c r="F1520" s="204" t="s">
        <v>2649</v>
      </c>
      <c r="G1520" s="204" t="s">
        <v>2276</v>
      </c>
      <c r="H1520" s="204" t="s">
        <v>2276</v>
      </c>
      <c r="I1520" s="204" t="s">
        <v>2276</v>
      </c>
      <c r="J1520" s="204" t="s">
        <v>2276</v>
      </c>
      <c r="K1520" s="204" t="s">
        <v>534</v>
      </c>
      <c r="L1520" s="204" t="s">
        <v>2276</v>
      </c>
      <c r="M1520" s="204" t="s">
        <v>2276</v>
      </c>
      <c r="N1520" s="204" t="s">
        <v>2276</v>
      </c>
      <c r="O1520" s="204" t="s">
        <v>2276</v>
      </c>
      <c r="P1520" s="204" t="s">
        <v>2276</v>
      </c>
      <c r="Q1520" s="204" t="s">
        <v>2276</v>
      </c>
      <c r="R1520" s="204" t="s">
        <v>2276</v>
      </c>
      <c r="S1520" s="204" t="s">
        <v>2276</v>
      </c>
      <c r="T1520" s="204"/>
    </row>
    <row r="1521" spans="1:21" ht="42.5" customHeight="1">
      <c r="A1521" s="11" t="s">
        <v>9675</v>
      </c>
      <c r="B1521" s="204" t="s">
        <v>2276</v>
      </c>
      <c r="C1521" s="204" t="s">
        <v>12</v>
      </c>
      <c r="D1521" s="204" t="s">
        <v>2649</v>
      </c>
      <c r="E1521" s="204" t="s">
        <v>130</v>
      </c>
      <c r="F1521" s="204" t="s">
        <v>2653</v>
      </c>
      <c r="G1521" s="204" t="s">
        <v>116</v>
      </c>
      <c r="H1521" s="204" t="s">
        <v>2276</v>
      </c>
      <c r="I1521" s="204" t="s">
        <v>2276</v>
      </c>
      <c r="J1521" s="204" t="s">
        <v>2276</v>
      </c>
      <c r="K1521" s="204" t="s">
        <v>534</v>
      </c>
      <c r="L1521" s="204" t="s">
        <v>2276</v>
      </c>
      <c r="M1521" s="204" t="s">
        <v>2276</v>
      </c>
      <c r="N1521" s="204" t="s">
        <v>2276</v>
      </c>
      <c r="O1521" s="204" t="s">
        <v>2276</v>
      </c>
      <c r="P1521" s="204" t="s">
        <v>2276</v>
      </c>
      <c r="Q1521" s="204" t="s">
        <v>2276</v>
      </c>
      <c r="R1521" s="204" t="s">
        <v>2276</v>
      </c>
      <c r="S1521" s="204" t="s">
        <v>2276</v>
      </c>
      <c r="T1521" s="204"/>
    </row>
    <row r="1522" spans="1:21" ht="42.5" customHeight="1">
      <c r="A1522" s="11" t="s">
        <v>9676</v>
      </c>
      <c r="B1522" s="204" t="s">
        <v>2276</v>
      </c>
      <c r="C1522" s="204" t="s">
        <v>12</v>
      </c>
      <c r="D1522" s="204" t="s">
        <v>130</v>
      </c>
      <c r="E1522" s="204" t="s">
        <v>2653</v>
      </c>
      <c r="F1522" s="204" t="s">
        <v>84</v>
      </c>
      <c r="G1522" s="204" t="s">
        <v>2276</v>
      </c>
      <c r="H1522" s="204" t="s">
        <v>2276</v>
      </c>
      <c r="I1522" s="204" t="s">
        <v>2276</v>
      </c>
      <c r="J1522" s="204" t="s">
        <v>2276</v>
      </c>
      <c r="K1522" s="204" t="s">
        <v>2276</v>
      </c>
      <c r="L1522" s="204" t="s">
        <v>2276</v>
      </c>
      <c r="M1522" s="204" t="s">
        <v>2276</v>
      </c>
      <c r="N1522" s="204" t="s">
        <v>2276</v>
      </c>
      <c r="O1522" s="204" t="s">
        <v>2276</v>
      </c>
      <c r="P1522" s="204" t="s">
        <v>2276</v>
      </c>
      <c r="Q1522" s="204" t="s">
        <v>2276</v>
      </c>
      <c r="R1522" s="204" t="s">
        <v>2276</v>
      </c>
      <c r="S1522" s="204" t="s">
        <v>2276</v>
      </c>
      <c r="T1522" s="204"/>
    </row>
    <row r="1523" spans="1:21" ht="42.5" customHeight="1">
      <c r="A1523" s="11" t="s">
        <v>9677</v>
      </c>
      <c r="B1523" s="204" t="s">
        <v>2276</v>
      </c>
      <c r="C1523" s="204" t="s">
        <v>12</v>
      </c>
      <c r="D1523" s="204" t="s">
        <v>130</v>
      </c>
      <c r="E1523" s="204" t="s">
        <v>2649</v>
      </c>
      <c r="F1523" s="204" t="s">
        <v>116</v>
      </c>
      <c r="G1523" s="204" t="s">
        <v>84</v>
      </c>
      <c r="H1523" s="204" t="s">
        <v>2276</v>
      </c>
      <c r="I1523" s="204" t="s">
        <v>2276</v>
      </c>
      <c r="J1523" s="204" t="s">
        <v>2276</v>
      </c>
      <c r="K1523" s="204" t="s">
        <v>534</v>
      </c>
      <c r="L1523" s="204" t="s">
        <v>2276</v>
      </c>
      <c r="M1523" s="204" t="s">
        <v>2276</v>
      </c>
      <c r="N1523" s="204" t="s">
        <v>2276</v>
      </c>
      <c r="O1523" s="204" t="s">
        <v>2276</v>
      </c>
      <c r="P1523" s="204" t="s">
        <v>2276</v>
      </c>
      <c r="Q1523" s="204" t="s">
        <v>2276</v>
      </c>
      <c r="R1523" s="204" t="s">
        <v>2276</v>
      </c>
      <c r="S1523" s="204" t="s">
        <v>2276</v>
      </c>
      <c r="T1523" s="204"/>
    </row>
    <row r="1524" spans="1:21" ht="41" customHeight="1">
      <c r="A1524" s="11" t="s">
        <v>9731</v>
      </c>
      <c r="B1524" s="204" t="s">
        <v>2276</v>
      </c>
      <c r="C1524" s="204" t="s">
        <v>12</v>
      </c>
      <c r="D1524" s="204" t="s">
        <v>863</v>
      </c>
      <c r="E1524" s="204" t="s">
        <v>130</v>
      </c>
      <c r="F1524" s="4" t="s">
        <v>397</v>
      </c>
      <c r="G1524" s="204" t="s">
        <v>137</v>
      </c>
      <c r="H1524" s="204" t="s">
        <v>2276</v>
      </c>
      <c r="I1524" s="204">
        <v>2</v>
      </c>
      <c r="J1524" s="204" t="s">
        <v>2276</v>
      </c>
      <c r="K1524" s="204" t="s">
        <v>2276</v>
      </c>
      <c r="L1524" s="204" t="s">
        <v>534</v>
      </c>
      <c r="M1524" s="204" t="s">
        <v>2276</v>
      </c>
      <c r="N1524" s="204">
        <v>19.191919191919194</v>
      </c>
      <c r="O1524" s="204" t="s">
        <v>2276</v>
      </c>
      <c r="P1524" s="204" t="s">
        <v>2276</v>
      </c>
      <c r="Q1524" s="204" t="s">
        <v>2276</v>
      </c>
      <c r="R1524" s="204" t="s">
        <v>2276</v>
      </c>
      <c r="S1524" s="204" t="s">
        <v>2276</v>
      </c>
      <c r="T1524" s="204" t="s">
        <v>2276</v>
      </c>
      <c r="U1524" s="204"/>
    </row>
    <row r="1525" spans="1:21" ht="37" customHeight="1">
      <c r="A1525" s="204" t="s">
        <v>9740</v>
      </c>
      <c r="B1525" s="204" t="s">
        <v>2276</v>
      </c>
      <c r="C1525" s="204" t="s">
        <v>12</v>
      </c>
      <c r="D1525" s="204" t="s">
        <v>863</v>
      </c>
      <c r="E1525" s="204" t="s">
        <v>130</v>
      </c>
      <c r="F1525" s="204" t="s">
        <v>2276</v>
      </c>
      <c r="G1525" s="204" t="s">
        <v>2276</v>
      </c>
      <c r="H1525" s="204" t="s">
        <v>2276</v>
      </c>
      <c r="I1525" s="204" t="s">
        <v>2276</v>
      </c>
      <c r="J1525" s="204" t="s">
        <v>2276</v>
      </c>
      <c r="K1525" s="204" t="s">
        <v>534</v>
      </c>
      <c r="L1525" s="204" t="s">
        <v>2276</v>
      </c>
      <c r="M1525" s="204" t="s">
        <v>2276</v>
      </c>
      <c r="N1525" s="204" t="s">
        <v>2276</v>
      </c>
      <c r="O1525" s="204" t="s">
        <v>2276</v>
      </c>
      <c r="P1525" s="21">
        <f>AVERAGE(7583,4496)/'Record info'!K1525</f>
        <v>13.653730321429769</v>
      </c>
      <c r="Q1525" s="21">
        <f>AVERAGE(9363, 10540)/'Record info'!K1525</f>
        <v>22.497739431030443</v>
      </c>
      <c r="R1525" s="21">
        <f>AVERAGE(27266, 29180)/'Record info'!K1525</f>
        <v>63.804823389636951</v>
      </c>
      <c r="S1525" s="21">
        <f>100/15*(15.4/AVERAGE(66, 61.7))</f>
        <v>1.607935264943879</v>
      </c>
      <c r="T1525" s="204" t="s">
        <v>9742</v>
      </c>
    </row>
    <row r="1526" spans="1:21" ht="47" customHeight="1">
      <c r="A1526" s="11" t="s">
        <v>9744</v>
      </c>
      <c r="B1526" s="204" t="s">
        <v>2276</v>
      </c>
      <c r="C1526" s="204" t="s">
        <v>395</v>
      </c>
      <c r="D1526" s="204" t="s">
        <v>130</v>
      </c>
      <c r="E1526" s="204" t="s">
        <v>2276</v>
      </c>
      <c r="F1526" s="204" t="s">
        <v>2276</v>
      </c>
      <c r="G1526" s="204" t="s">
        <v>2276</v>
      </c>
      <c r="H1526" s="204" t="s">
        <v>2276</v>
      </c>
      <c r="I1526" s="204" t="s">
        <v>2276</v>
      </c>
      <c r="J1526" s="204" t="s">
        <v>2276</v>
      </c>
      <c r="K1526" s="204" t="s">
        <v>2276</v>
      </c>
      <c r="L1526" s="204" t="s">
        <v>2276</v>
      </c>
      <c r="M1526" s="204" t="s">
        <v>2276</v>
      </c>
      <c r="N1526" s="204" t="s">
        <v>2276</v>
      </c>
      <c r="O1526" s="204" t="s">
        <v>2276</v>
      </c>
      <c r="P1526" s="21">
        <f>4487/'Record info'!K1526</f>
        <v>10.143933761446373</v>
      </c>
      <c r="Q1526" s="21">
        <f>9018/'Record info'!K1526</f>
        <v>20.387340017990507</v>
      </c>
      <c r="R1526" s="21">
        <f>30714/'Record info'!K1526</f>
        <v>69.43632305528503</v>
      </c>
      <c r="S1526" s="21">
        <f>100/8*(4.3/70.3)</f>
        <v>0.76458036984352773</v>
      </c>
      <c r="T1526" s="204"/>
    </row>
    <row r="1527" spans="1:21" ht="47" customHeight="1">
      <c r="A1527" s="204" t="s">
        <v>9765</v>
      </c>
      <c r="B1527" s="204" t="s">
        <v>32</v>
      </c>
      <c r="C1527" s="204" t="s">
        <v>12</v>
      </c>
      <c r="D1527" s="204" t="s">
        <v>130</v>
      </c>
      <c r="E1527" s="204" t="s">
        <v>2649</v>
      </c>
      <c r="F1527" s="204" t="s">
        <v>84</v>
      </c>
      <c r="G1527" s="204" t="s">
        <v>2276</v>
      </c>
      <c r="H1527" s="204" t="s">
        <v>2276</v>
      </c>
      <c r="I1527" s="204" t="s">
        <v>2276</v>
      </c>
      <c r="J1527" s="204" t="s">
        <v>2276</v>
      </c>
      <c r="K1527" s="204" t="s">
        <v>534</v>
      </c>
      <c r="L1527" s="204" t="s">
        <v>2276</v>
      </c>
      <c r="M1527" s="204" t="s">
        <v>2276</v>
      </c>
      <c r="N1527" s="204" t="s">
        <v>2276</v>
      </c>
      <c r="O1527" s="204" t="s">
        <v>2276</v>
      </c>
      <c r="P1527" s="204" t="s">
        <v>2276</v>
      </c>
      <c r="Q1527" s="204" t="s">
        <v>2276</v>
      </c>
      <c r="R1527" s="21">
        <f>AVERAGE(2126200, 1869724)/'Record info'!K1527</f>
        <v>93.968676512087285</v>
      </c>
      <c r="S1527" s="21">
        <f>(100/30)*(2126200-1869724)/AVERAGE(2126200, 1869724)</f>
        <v>0.4278960260505455</v>
      </c>
      <c r="T1527" s="21"/>
    </row>
    <row r="1528" spans="1:21" ht="47" customHeight="1">
      <c r="A1528" s="204" t="s">
        <v>9766</v>
      </c>
      <c r="B1528" s="204" t="s">
        <v>32</v>
      </c>
      <c r="C1528" s="204" t="s">
        <v>395</v>
      </c>
      <c r="D1528" s="204" t="s">
        <v>130</v>
      </c>
      <c r="E1528" s="204" t="s">
        <v>2276</v>
      </c>
      <c r="F1528" s="204" t="s">
        <v>2276</v>
      </c>
      <c r="G1528" s="204" t="s">
        <v>2276</v>
      </c>
      <c r="H1528" s="204" t="s">
        <v>2276</v>
      </c>
      <c r="I1528" s="204" t="s">
        <v>2276</v>
      </c>
      <c r="J1528" s="204" t="s">
        <v>2276</v>
      </c>
      <c r="K1528" s="204" t="s">
        <v>537</v>
      </c>
      <c r="L1528" s="204" t="s">
        <v>2276</v>
      </c>
      <c r="M1528" s="204" t="s">
        <v>2276</v>
      </c>
      <c r="N1528" s="204" t="s">
        <v>2276</v>
      </c>
      <c r="O1528" s="204" t="s">
        <v>2276</v>
      </c>
      <c r="P1528" s="204" t="s">
        <v>2276</v>
      </c>
      <c r="Q1528" s="204" t="s">
        <v>2276</v>
      </c>
      <c r="R1528" s="21">
        <f>AVERAGE(929318, 807871)/'Record info'!K1528</f>
        <v>93.46559850213059</v>
      </c>
      <c r="S1528" s="21">
        <f>(100/30)*(929318-807871)/AVERAGE(929318, 807871)</f>
        <v>0.46606711570627418</v>
      </c>
      <c r="T1528" s="204"/>
    </row>
    <row r="1529" spans="1:21" ht="47" customHeight="1">
      <c r="A1529" s="204" t="s">
        <v>9767</v>
      </c>
      <c r="B1529" s="204" t="s">
        <v>32</v>
      </c>
      <c r="C1529" s="204" t="s">
        <v>395</v>
      </c>
      <c r="D1529" s="204" t="s">
        <v>130</v>
      </c>
      <c r="E1529" s="204" t="s">
        <v>2276</v>
      </c>
      <c r="F1529" s="204" t="s">
        <v>2276</v>
      </c>
      <c r="G1529" s="204" t="s">
        <v>2276</v>
      </c>
      <c r="H1529" s="204" t="s">
        <v>2276</v>
      </c>
      <c r="I1529" s="204" t="s">
        <v>2276</v>
      </c>
      <c r="J1529" s="204" t="s">
        <v>2276</v>
      </c>
      <c r="K1529" s="204" t="s">
        <v>537</v>
      </c>
      <c r="L1529" s="204" t="s">
        <v>2276</v>
      </c>
      <c r="M1529" s="204" t="s">
        <v>2276</v>
      </c>
      <c r="N1529" s="204" t="s">
        <v>2276</v>
      </c>
      <c r="O1529" s="204" t="s">
        <v>2276</v>
      </c>
      <c r="P1529" s="204" t="s">
        <v>2276</v>
      </c>
      <c r="Q1529" s="204" t="s">
        <v>2276</v>
      </c>
      <c r="R1529" s="21">
        <f>AVERAGE(583448, 498065)/'Record info'!K1529</f>
        <v>92.68257777016025</v>
      </c>
      <c r="S1529" s="21">
        <f>(100/30)*(583448-498065)/AVERAGE(583448, 498065)</f>
        <v>0.52631822271207096</v>
      </c>
      <c r="T1529" s="204"/>
    </row>
    <row r="1530" spans="1:21" ht="47" customHeight="1">
      <c r="A1530" s="204" t="s">
        <v>9768</v>
      </c>
      <c r="B1530" s="204" t="s">
        <v>32</v>
      </c>
      <c r="C1530" s="204" t="s">
        <v>395</v>
      </c>
      <c r="D1530" s="204" t="s">
        <v>130</v>
      </c>
      <c r="E1530" s="204" t="s">
        <v>2276</v>
      </c>
      <c r="F1530" s="204" t="s">
        <v>2276</v>
      </c>
      <c r="G1530" s="204" t="s">
        <v>2276</v>
      </c>
      <c r="H1530" s="204" t="s">
        <v>2276</v>
      </c>
      <c r="I1530" s="204" t="s">
        <v>2276</v>
      </c>
      <c r="J1530" s="204" t="s">
        <v>2276</v>
      </c>
      <c r="K1530" s="204" t="s">
        <v>537</v>
      </c>
      <c r="L1530" s="204" t="s">
        <v>2276</v>
      </c>
      <c r="M1530" s="204" t="s">
        <v>2276</v>
      </c>
      <c r="N1530" s="204" t="s">
        <v>2276</v>
      </c>
      <c r="O1530" s="204" t="s">
        <v>2276</v>
      </c>
      <c r="P1530" s="204" t="s">
        <v>2276</v>
      </c>
      <c r="Q1530" s="204" t="s">
        <v>2276</v>
      </c>
      <c r="R1530" s="21">
        <f>AVERAGE(435907, 363714)/'Record info'!K1530</f>
        <v>91.718588699502178</v>
      </c>
      <c r="S1530" s="21">
        <f>(100/30)*(435907-363714)/AVERAGE(435907, 363714)</f>
        <v>0.60189348036965851</v>
      </c>
      <c r="T1530" s="204"/>
    </row>
    <row r="1531" spans="1:21" ht="47" customHeight="1">
      <c r="A1531" s="204" t="s">
        <v>9769</v>
      </c>
      <c r="B1531" s="204" t="s">
        <v>32</v>
      </c>
      <c r="C1531" s="204" t="s">
        <v>12</v>
      </c>
      <c r="D1531" s="204" t="s">
        <v>130</v>
      </c>
      <c r="E1531" s="204" t="s">
        <v>2649</v>
      </c>
      <c r="F1531" s="204" t="s">
        <v>2276</v>
      </c>
      <c r="G1531" s="204" t="s">
        <v>2276</v>
      </c>
      <c r="H1531" s="204" t="s">
        <v>2276</v>
      </c>
      <c r="I1531" s="204" t="s">
        <v>2276</v>
      </c>
      <c r="J1531" s="204" t="s">
        <v>2276</v>
      </c>
      <c r="K1531" s="204" t="s">
        <v>534</v>
      </c>
      <c r="L1531" s="204" t="s">
        <v>2276</v>
      </c>
      <c r="M1531" s="204" t="s">
        <v>2276</v>
      </c>
      <c r="N1531" s="204" t="s">
        <v>2276</v>
      </c>
      <c r="O1531" s="204" t="s">
        <v>2276</v>
      </c>
      <c r="P1531" s="204" t="s">
        <v>2276</v>
      </c>
      <c r="Q1531" s="204" t="s">
        <v>2276</v>
      </c>
      <c r="R1531" s="21">
        <f>AVERAGE(701660, 565542)/'Record info'!K1531</f>
        <v>90.30028788872103</v>
      </c>
      <c r="S1531" s="21">
        <f>(100/30)*(701660-565542)/AVERAGE(701660, 565542)</f>
        <v>0.71610787651324204</v>
      </c>
      <c r="T1531" s="204"/>
    </row>
    <row r="1532" spans="1:21" ht="47" customHeight="1">
      <c r="A1532" s="204" t="s">
        <v>9770</v>
      </c>
      <c r="B1532" s="204" t="s">
        <v>32</v>
      </c>
      <c r="C1532" s="204" t="s">
        <v>12</v>
      </c>
      <c r="D1532" s="204" t="s">
        <v>130</v>
      </c>
      <c r="E1532" s="204" t="s">
        <v>2649</v>
      </c>
      <c r="F1532" s="204" t="s">
        <v>2276</v>
      </c>
      <c r="G1532" s="204" t="s">
        <v>2276</v>
      </c>
      <c r="H1532" s="204" t="s">
        <v>2276</v>
      </c>
      <c r="I1532" s="204" t="s">
        <v>2276</v>
      </c>
      <c r="J1532" s="204" t="s">
        <v>2276</v>
      </c>
      <c r="K1532" s="204" t="s">
        <v>534</v>
      </c>
      <c r="L1532" s="204" t="s">
        <v>2276</v>
      </c>
      <c r="M1532" s="204" t="s">
        <v>2276</v>
      </c>
      <c r="N1532" s="204" t="s">
        <v>2276</v>
      </c>
      <c r="O1532" s="204" t="s">
        <v>2276</v>
      </c>
      <c r="P1532" s="204" t="s">
        <v>2276</v>
      </c>
      <c r="Q1532" s="204" t="s">
        <v>2276</v>
      </c>
      <c r="R1532" s="21">
        <f>AVERAGE(5194206, 4022038)/'Record info'!K1532</f>
        <v>88.716513194499257</v>
      </c>
      <c r="S1532" s="21">
        <f>(100/30)*(5194206-4022038)/AVERAGE(5194206, 4022038)</f>
        <v>0.84790000496225293</v>
      </c>
      <c r="T1532" s="204"/>
    </row>
    <row r="1533" spans="1:21" ht="47" customHeight="1">
      <c r="A1533" s="204" t="s">
        <v>9771</v>
      </c>
      <c r="B1533" s="204" t="s">
        <v>32</v>
      </c>
      <c r="C1533" s="204" t="s">
        <v>12</v>
      </c>
      <c r="D1533" s="204" t="s">
        <v>130</v>
      </c>
      <c r="E1533" s="204" t="s">
        <v>2649</v>
      </c>
      <c r="F1533" s="204" t="s">
        <v>2276</v>
      </c>
      <c r="G1533" s="204" t="s">
        <v>2276</v>
      </c>
      <c r="H1533" s="204" t="s">
        <v>2276</v>
      </c>
      <c r="I1533" s="204" t="s">
        <v>2276</v>
      </c>
      <c r="J1533" s="204" t="s">
        <v>2276</v>
      </c>
      <c r="K1533" s="204" t="s">
        <v>534</v>
      </c>
      <c r="L1533" s="204" t="s">
        <v>2276</v>
      </c>
      <c r="M1533" s="204" t="s">
        <v>2276</v>
      </c>
      <c r="N1533" s="204" t="s">
        <v>2276</v>
      </c>
      <c r="O1533" s="204" t="s">
        <v>2276</v>
      </c>
      <c r="P1533" s="204" t="s">
        <v>2276</v>
      </c>
      <c r="Q1533" s="204" t="s">
        <v>2276</v>
      </c>
      <c r="R1533" s="21">
        <f>AVERAGE(2522310, 2029969)/'Record info'!K1533</f>
        <v>90.240275778948671</v>
      </c>
      <c r="S1533" s="21">
        <f>(100/30)*(2522310-2029969)/AVERAGE(2522310, 2029969)</f>
        <v>0.7210176119111622</v>
      </c>
      <c r="T1533" s="204"/>
    </row>
    <row r="1534" spans="1:21" ht="47" customHeight="1">
      <c r="A1534" s="204" t="s">
        <v>9772</v>
      </c>
      <c r="B1534" s="204" t="s">
        <v>32</v>
      </c>
      <c r="C1534" s="204" t="s">
        <v>12</v>
      </c>
      <c r="D1534" s="204" t="s">
        <v>130</v>
      </c>
      <c r="E1534" s="204" t="s">
        <v>2649</v>
      </c>
      <c r="F1534" s="204" t="s">
        <v>2276</v>
      </c>
      <c r="G1534" s="204" t="s">
        <v>2276</v>
      </c>
      <c r="H1534" s="204" t="s">
        <v>2276</v>
      </c>
      <c r="I1534" s="204" t="s">
        <v>2276</v>
      </c>
      <c r="J1534" s="204" t="s">
        <v>2276</v>
      </c>
      <c r="K1534" s="204" t="s">
        <v>534</v>
      </c>
      <c r="L1534" s="204" t="s">
        <v>2276</v>
      </c>
      <c r="M1534" s="204" t="s">
        <v>2276</v>
      </c>
      <c r="N1534" s="204" t="s">
        <v>2276</v>
      </c>
      <c r="O1534" s="204" t="s">
        <v>2276</v>
      </c>
      <c r="P1534" s="204" t="s">
        <v>2276</v>
      </c>
      <c r="Q1534" s="204" t="s">
        <v>2276</v>
      </c>
      <c r="R1534" s="21">
        <f>AVERAGE(2382124, 1783019)/'Record info'!K1534</f>
        <v>87.425129716387076</v>
      </c>
      <c r="S1534" s="21">
        <f>(100/30)*(2382124-1783019)/AVERAGE(2382124, 1783019)</f>
        <v>0.95891865737462878</v>
      </c>
      <c r="T1534" s="204"/>
    </row>
    <row r="1535" spans="1:21" ht="47" customHeight="1">
      <c r="A1535" s="204" t="s">
        <v>9773</v>
      </c>
      <c r="B1535" s="204" t="s">
        <v>32</v>
      </c>
      <c r="C1535" s="204" t="s">
        <v>12</v>
      </c>
      <c r="D1535" s="204" t="s">
        <v>130</v>
      </c>
      <c r="E1535" s="204" t="s">
        <v>2649</v>
      </c>
      <c r="F1535" s="204" t="s">
        <v>2276</v>
      </c>
      <c r="G1535" s="204" t="s">
        <v>2276</v>
      </c>
      <c r="H1535" s="204" t="s">
        <v>2276</v>
      </c>
      <c r="I1535" s="204" t="s">
        <v>2276</v>
      </c>
      <c r="J1535" s="204" t="s">
        <v>2276</v>
      </c>
      <c r="K1535" s="204" t="s">
        <v>534</v>
      </c>
      <c r="L1535" s="204" t="s">
        <v>2276</v>
      </c>
      <c r="M1535" s="204" t="s">
        <v>2276</v>
      </c>
      <c r="N1535" s="204" t="s">
        <v>2276</v>
      </c>
      <c r="O1535" s="204" t="s">
        <v>2276</v>
      </c>
      <c r="P1535" s="204" t="s">
        <v>2276</v>
      </c>
      <c r="Q1535" s="204" t="s">
        <v>2276</v>
      </c>
      <c r="R1535" s="21">
        <f>AVERAGE(1134974, 825401)/'Record info'!K1535</f>
        <v>86.362414865591163</v>
      </c>
      <c r="S1535" s="21">
        <f>(100/30)*(1134974-825401)/AVERAGE(1134974, 825401)</f>
        <v>1.0527679653127591</v>
      </c>
      <c r="T1535" s="204"/>
    </row>
    <row r="1536" spans="1:21" ht="47" customHeight="1">
      <c r="A1536" s="204" t="s">
        <v>9774</v>
      </c>
      <c r="B1536" s="204" t="s">
        <v>32</v>
      </c>
      <c r="C1536" s="204" t="s">
        <v>12</v>
      </c>
      <c r="D1536" s="204" t="s">
        <v>130</v>
      </c>
      <c r="E1536" s="204" t="s">
        <v>2649</v>
      </c>
      <c r="F1536" s="204" t="s">
        <v>2276</v>
      </c>
      <c r="G1536" s="204" t="s">
        <v>2276</v>
      </c>
      <c r="H1536" s="204" t="s">
        <v>2276</v>
      </c>
      <c r="I1536" s="204" t="s">
        <v>2276</v>
      </c>
      <c r="J1536" s="204" t="s">
        <v>2276</v>
      </c>
      <c r="K1536" s="204" t="s">
        <v>534</v>
      </c>
      <c r="L1536" s="204" t="s">
        <v>2276</v>
      </c>
      <c r="M1536" s="204" t="s">
        <v>2276</v>
      </c>
      <c r="N1536" s="204" t="s">
        <v>2276</v>
      </c>
      <c r="O1536" s="204" t="s">
        <v>2276</v>
      </c>
      <c r="P1536" s="204" t="s">
        <v>2276</v>
      </c>
      <c r="Q1536" s="204" t="s">
        <v>2276</v>
      </c>
      <c r="R1536" s="21">
        <f>AVERAGE(1793923, 1469458)/'Record info'!K1536</f>
        <v>90.956703754905462</v>
      </c>
      <c r="S1536" s="21">
        <f>(100/30)*(1793923-1469458)/AVERAGE(1793923, 1469458)</f>
        <v>0.66284016484743891</v>
      </c>
      <c r="T1536" s="204"/>
    </row>
    <row r="1537" spans="1:20" ht="47" customHeight="1">
      <c r="A1537" s="204" t="s">
        <v>9775</v>
      </c>
      <c r="B1537" s="204" t="s">
        <v>32</v>
      </c>
      <c r="C1537" s="204" t="s">
        <v>12</v>
      </c>
      <c r="D1537" s="204" t="s">
        <v>130</v>
      </c>
      <c r="E1537" s="204" t="s">
        <v>2649</v>
      </c>
      <c r="F1537" s="204" t="s">
        <v>2276</v>
      </c>
      <c r="G1537" s="204" t="s">
        <v>2276</v>
      </c>
      <c r="H1537" s="204" t="s">
        <v>2276</v>
      </c>
      <c r="I1537" s="204" t="s">
        <v>2276</v>
      </c>
      <c r="J1537" s="204" t="s">
        <v>2276</v>
      </c>
      <c r="K1537" s="204" t="s">
        <v>534</v>
      </c>
      <c r="L1537" s="204" t="s">
        <v>2276</v>
      </c>
      <c r="M1537" s="204" t="s">
        <v>2276</v>
      </c>
      <c r="N1537" s="204" t="s">
        <v>2276</v>
      </c>
      <c r="O1537" s="204" t="s">
        <v>2276</v>
      </c>
      <c r="P1537" s="204" t="s">
        <v>2276</v>
      </c>
      <c r="Q1537" s="204" t="s">
        <v>2276</v>
      </c>
      <c r="R1537" s="21">
        <f>AVERAGE(2641800, 1986415)/'Record info'!K1537</f>
        <v>87.595862669392076</v>
      </c>
      <c r="S1537" s="21">
        <f>(100/30)*(2641800-1986415)/AVERAGE(2641800, 1986415)</f>
        <v>0.94404286173683249</v>
      </c>
      <c r="T1537" s="204"/>
    </row>
    <row r="1538" spans="1:20" ht="47" customHeight="1">
      <c r="A1538" s="204" t="s">
        <v>9776</v>
      </c>
      <c r="B1538" s="204" t="s">
        <v>32</v>
      </c>
      <c r="C1538" s="204" t="s">
        <v>12</v>
      </c>
      <c r="D1538" s="204" t="s">
        <v>130</v>
      </c>
      <c r="E1538" s="204" t="s">
        <v>2649</v>
      </c>
      <c r="F1538" s="204" t="s">
        <v>2276</v>
      </c>
      <c r="G1538" s="204" t="s">
        <v>2276</v>
      </c>
      <c r="H1538" s="204" t="s">
        <v>2276</v>
      </c>
      <c r="I1538" s="204" t="s">
        <v>2276</v>
      </c>
      <c r="J1538" s="204" t="s">
        <v>2276</v>
      </c>
      <c r="K1538" s="204" t="s">
        <v>534</v>
      </c>
      <c r="L1538" s="204" t="s">
        <v>2276</v>
      </c>
      <c r="M1538" s="204" t="s">
        <v>2276</v>
      </c>
      <c r="N1538" s="204" t="s">
        <v>2276</v>
      </c>
      <c r="O1538" s="204" t="s">
        <v>2276</v>
      </c>
      <c r="P1538" s="204" t="s">
        <v>2276</v>
      </c>
      <c r="Q1538" s="204" t="s">
        <v>2276</v>
      </c>
      <c r="R1538" s="21">
        <f>AVERAGE(2419307, 1921034)/'Record info'!K1538</f>
        <v>89.702043144532951</v>
      </c>
      <c r="S1538" s="21">
        <f>(100/30)*(2419307-1921034)/AVERAGE(2419307, 1921034)</f>
        <v>0.76533617980707047</v>
      </c>
      <c r="T1538" s="204"/>
    </row>
    <row r="1539" spans="1:20" ht="47" customHeight="1">
      <c r="A1539" s="204" t="s">
        <v>9777</v>
      </c>
      <c r="B1539" s="204" t="s">
        <v>32</v>
      </c>
      <c r="C1539" s="204" t="s">
        <v>12</v>
      </c>
      <c r="D1539" s="204" t="s">
        <v>130</v>
      </c>
      <c r="E1539" s="204" t="s">
        <v>2649</v>
      </c>
      <c r="F1539" s="204" t="s">
        <v>2276</v>
      </c>
      <c r="G1539" s="204" t="s">
        <v>2276</v>
      </c>
      <c r="H1539" s="204" t="s">
        <v>2276</v>
      </c>
      <c r="I1539" s="204" t="s">
        <v>2276</v>
      </c>
      <c r="J1539" s="204" t="s">
        <v>2276</v>
      </c>
      <c r="K1539" s="204" t="s">
        <v>534</v>
      </c>
      <c r="L1539" s="204" t="s">
        <v>2276</v>
      </c>
      <c r="M1539" s="204" t="s">
        <v>2276</v>
      </c>
      <c r="N1539" s="204" t="s">
        <v>2276</v>
      </c>
      <c r="O1539" s="204" t="s">
        <v>2276</v>
      </c>
      <c r="P1539" s="204" t="s">
        <v>2276</v>
      </c>
      <c r="Q1539" s="204" t="s">
        <v>2276</v>
      </c>
      <c r="R1539" s="21">
        <f>AVERAGE(2371213, 2002745)/'Record info'!K1539</f>
        <v>92.230506787673804</v>
      </c>
      <c r="S1539" s="21">
        <f>(100/30)*(2371213-2002745)/AVERAGE(2371213, 2002745)</f>
        <v>0.56160880679085934</v>
      </c>
      <c r="T1539" s="204"/>
    </row>
    <row r="1540" spans="1:20" ht="47" customHeight="1">
      <c r="A1540" s="204" t="s">
        <v>9778</v>
      </c>
      <c r="B1540" s="204" t="s">
        <v>32</v>
      </c>
      <c r="C1540" s="204" t="s">
        <v>12</v>
      </c>
      <c r="D1540" s="204" t="s">
        <v>130</v>
      </c>
      <c r="E1540" s="204" t="s">
        <v>2649</v>
      </c>
      <c r="F1540" s="204" t="s">
        <v>2276</v>
      </c>
      <c r="G1540" s="204" t="s">
        <v>2276</v>
      </c>
      <c r="H1540" s="204" t="s">
        <v>2276</v>
      </c>
      <c r="I1540" s="204" t="s">
        <v>2276</v>
      </c>
      <c r="J1540" s="204" t="s">
        <v>2276</v>
      </c>
      <c r="K1540" s="204" t="s">
        <v>534</v>
      </c>
      <c r="L1540" s="204" t="s">
        <v>2276</v>
      </c>
      <c r="M1540" s="204" t="s">
        <v>2276</v>
      </c>
      <c r="N1540" s="204" t="s">
        <v>2276</v>
      </c>
      <c r="O1540" s="204" t="s">
        <v>2276</v>
      </c>
      <c r="P1540" s="204" t="s">
        <v>2276</v>
      </c>
      <c r="Q1540" s="204" t="s">
        <v>2276</v>
      </c>
      <c r="R1540" s="21">
        <f>AVERAGE(3105473, 2488155)/'Record info'!K1540</f>
        <v>90.060892554106147</v>
      </c>
      <c r="S1540" s="21">
        <f>(100/30)*(3105473-2488155)/AVERAGE(3105473, 2488155)</f>
        <v>0.73573954745173142</v>
      </c>
      <c r="T1540" s="204"/>
    </row>
    <row r="1541" spans="1:20" ht="47" customHeight="1">
      <c r="A1541" s="204" t="s">
        <v>9779</v>
      </c>
      <c r="B1541" s="204" t="s">
        <v>32</v>
      </c>
      <c r="C1541" s="204" t="s">
        <v>12</v>
      </c>
      <c r="D1541" s="204" t="s">
        <v>130</v>
      </c>
      <c r="E1541" s="204" t="s">
        <v>2649</v>
      </c>
      <c r="F1541" s="204" t="s">
        <v>2276</v>
      </c>
      <c r="G1541" s="204" t="s">
        <v>2276</v>
      </c>
      <c r="H1541" s="204" t="s">
        <v>2276</v>
      </c>
      <c r="I1541" s="204" t="s">
        <v>2276</v>
      </c>
      <c r="J1541" s="204" t="s">
        <v>2276</v>
      </c>
      <c r="K1541" s="204" t="s">
        <v>534</v>
      </c>
      <c r="L1541" s="204" t="s">
        <v>2276</v>
      </c>
      <c r="M1541" s="204" t="s">
        <v>2276</v>
      </c>
      <c r="N1541" s="204" t="s">
        <v>2276</v>
      </c>
      <c r="O1541" s="204" t="s">
        <v>2276</v>
      </c>
      <c r="P1541" s="204" t="s">
        <v>2276</v>
      </c>
      <c r="Q1541" s="204" t="s">
        <v>2276</v>
      </c>
      <c r="R1541" s="21">
        <f>AVERAGE(150700, 102381)/'Record info'!K1541</f>
        <v>83.968480424684799</v>
      </c>
      <c r="S1541" s="21">
        <f>(100/30)*(150700-102381)/AVERAGE(150700, 102381)</f>
        <v>1.2728204277155009</v>
      </c>
      <c r="T1541" s="204"/>
    </row>
    <row r="1542" spans="1:20" ht="47" customHeight="1">
      <c r="A1542" s="204" t="s">
        <v>9780</v>
      </c>
      <c r="B1542" s="204" t="s">
        <v>32</v>
      </c>
      <c r="C1542" s="204" t="s">
        <v>12</v>
      </c>
      <c r="D1542" s="204" t="s">
        <v>130</v>
      </c>
      <c r="E1542" s="204" t="s">
        <v>2649</v>
      </c>
      <c r="F1542" s="204" t="s">
        <v>2276</v>
      </c>
      <c r="G1542" s="204" t="s">
        <v>2276</v>
      </c>
      <c r="H1542" s="204" t="s">
        <v>2276</v>
      </c>
      <c r="I1542" s="204" t="s">
        <v>2276</v>
      </c>
      <c r="J1542" s="204" t="s">
        <v>2276</v>
      </c>
      <c r="K1542" s="204" t="s">
        <v>534</v>
      </c>
      <c r="L1542" s="204" t="s">
        <v>2276</v>
      </c>
      <c r="M1542" s="204" t="s">
        <v>2276</v>
      </c>
      <c r="N1542" s="204" t="s">
        <v>2276</v>
      </c>
      <c r="O1542" s="204" t="s">
        <v>2276</v>
      </c>
      <c r="P1542" s="204" t="s">
        <v>2276</v>
      </c>
      <c r="Q1542" s="204" t="s">
        <v>2276</v>
      </c>
      <c r="R1542" s="21">
        <f>AVERAGE(820606, 387405)/'Record info'!K1542</f>
        <v>73.604452785123257</v>
      </c>
      <c r="S1542" s="21">
        <f>(100/30)*(820606-387405)/AVERAGE(820606, 387405)</f>
        <v>2.3907122258544558</v>
      </c>
      <c r="T1542" s="204"/>
    </row>
    <row r="1543" spans="1:20" ht="47" customHeight="1">
      <c r="A1543" s="204" t="s">
        <v>9781</v>
      </c>
      <c r="B1543" s="204" t="s">
        <v>32</v>
      </c>
      <c r="C1543" s="204" t="s">
        <v>12</v>
      </c>
      <c r="D1543" s="204" t="s">
        <v>130</v>
      </c>
      <c r="E1543" s="204" t="s">
        <v>2649</v>
      </c>
      <c r="F1543" s="204" t="s">
        <v>2276</v>
      </c>
      <c r="G1543" s="204" t="s">
        <v>2276</v>
      </c>
      <c r="H1543" s="204" t="s">
        <v>2276</v>
      </c>
      <c r="I1543" s="204" t="s">
        <v>2276</v>
      </c>
      <c r="J1543" s="204" t="s">
        <v>2276</v>
      </c>
      <c r="K1543" s="204" t="s">
        <v>534</v>
      </c>
      <c r="L1543" s="204" t="s">
        <v>2276</v>
      </c>
      <c r="M1543" s="204" t="s">
        <v>2276</v>
      </c>
      <c r="N1543" s="204" t="s">
        <v>2276</v>
      </c>
      <c r="O1543" s="204" t="s">
        <v>2276</v>
      </c>
      <c r="P1543" s="204" t="s">
        <v>2276</v>
      </c>
      <c r="Q1543" s="204" t="s">
        <v>2276</v>
      </c>
      <c r="R1543" s="21">
        <f>AVERAGE(1358933, 885377)/'Record info'!K1543</f>
        <v>82.57636522852539</v>
      </c>
      <c r="S1543" s="21">
        <f>(100/30)*(1358933 - 885377)/AVERAGE(1358933, 885377)</f>
        <v>1.4066862420966801</v>
      </c>
      <c r="T1543" s="204"/>
    </row>
    <row r="1544" spans="1:20" ht="47" customHeight="1">
      <c r="A1544" s="33" t="s">
        <v>9782</v>
      </c>
      <c r="B1544" s="204" t="s">
        <v>32</v>
      </c>
      <c r="C1544" s="204" t="s">
        <v>12</v>
      </c>
      <c r="D1544" s="204" t="s">
        <v>130</v>
      </c>
      <c r="E1544" s="204" t="s">
        <v>2649</v>
      </c>
      <c r="F1544" s="204" t="s">
        <v>2276</v>
      </c>
      <c r="G1544" s="204" t="s">
        <v>2276</v>
      </c>
      <c r="H1544" s="204" t="s">
        <v>2276</v>
      </c>
      <c r="I1544" s="204" t="s">
        <v>2276</v>
      </c>
      <c r="J1544" s="204" t="s">
        <v>2276</v>
      </c>
      <c r="K1544" s="204" t="s">
        <v>2276</v>
      </c>
      <c r="L1544" s="204" t="s">
        <v>2276</v>
      </c>
      <c r="M1544" s="204" t="s">
        <v>2276</v>
      </c>
      <c r="N1544" s="204" t="s">
        <v>2276</v>
      </c>
      <c r="O1544" s="204" t="s">
        <v>2276</v>
      </c>
      <c r="P1544" s="204" t="s">
        <v>2276</v>
      </c>
      <c r="Q1544" s="204" t="s">
        <v>2276</v>
      </c>
      <c r="R1544" s="21">
        <f>AVERAGE(1847904, 857201)/'Record info'!K1544</f>
        <v>73.194031062286925</v>
      </c>
      <c r="S1544" s="21">
        <f>(100/30)*(1847904 - 857201)/AVERAGE(1847904, 857201)</f>
        <v>2.4415638826096093</v>
      </c>
      <c r="T1544" s="204"/>
    </row>
    <row r="1545" spans="1:20" ht="59" customHeight="1">
      <c r="A1545" s="204" t="s">
        <v>9786</v>
      </c>
      <c r="B1545" s="204" t="s">
        <v>32</v>
      </c>
      <c r="C1545" s="204" t="s">
        <v>395</v>
      </c>
      <c r="D1545" s="204" t="s">
        <v>130</v>
      </c>
      <c r="E1545" s="204" t="s">
        <v>2276</v>
      </c>
      <c r="F1545" s="204" t="s">
        <v>2276</v>
      </c>
      <c r="G1545" s="204" t="s">
        <v>2276</v>
      </c>
      <c r="H1545" s="204" t="s">
        <v>2276</v>
      </c>
      <c r="I1545" s="204" t="s">
        <v>2276</v>
      </c>
      <c r="J1545" s="204" t="s">
        <v>2276</v>
      </c>
      <c r="K1545" s="204" t="s">
        <v>534</v>
      </c>
      <c r="L1545" s="204" t="s">
        <v>2276</v>
      </c>
      <c r="M1545" s="204" t="s">
        <v>2276</v>
      </c>
      <c r="N1545" s="204" t="s">
        <v>2276</v>
      </c>
      <c r="O1545" s="204" t="s">
        <v>2276</v>
      </c>
      <c r="P1545" s="204" t="s">
        <v>2276</v>
      </c>
      <c r="Q1545" s="204" t="s">
        <v>2276</v>
      </c>
      <c r="R1545" s="21">
        <f>AVERAGE(707584, 466739)/'Record info'!K1545</f>
        <v>82.98164165182736</v>
      </c>
      <c r="S1545" s="21">
        <f>(100/30)*(707584-466739)/AVERAGE(707584, 466739)</f>
        <v>1.3672842423535376</v>
      </c>
      <c r="T1545" s="204"/>
    </row>
    <row r="1546" spans="1:20" ht="55.5" customHeight="1">
      <c r="A1546" s="19" t="s">
        <v>9854</v>
      </c>
      <c r="B1546" s="4" t="s">
        <v>32</v>
      </c>
      <c r="C1546" s="4" t="s">
        <v>12</v>
      </c>
      <c r="D1546" s="4" t="s">
        <v>396</v>
      </c>
      <c r="E1546" s="4" t="s">
        <v>3854</v>
      </c>
      <c r="F1546" s="204" t="s">
        <v>137</v>
      </c>
      <c r="G1546" s="204" t="s">
        <v>116</v>
      </c>
      <c r="H1546" s="204" t="s">
        <v>2276</v>
      </c>
      <c r="I1546" s="204" t="s">
        <v>2276</v>
      </c>
      <c r="J1546" s="204" t="s">
        <v>2276</v>
      </c>
      <c r="K1546" s="204" t="s">
        <v>2276</v>
      </c>
      <c r="L1546" s="204" t="s">
        <v>2276</v>
      </c>
      <c r="M1546" s="204" t="s">
        <v>2276</v>
      </c>
      <c r="N1546" s="204" t="s">
        <v>2276</v>
      </c>
      <c r="O1546" s="204" t="s">
        <v>2276</v>
      </c>
      <c r="P1546" s="21">
        <f>100*500/1363</f>
        <v>36.683785766691123</v>
      </c>
      <c r="Q1546" s="204" t="s">
        <v>2276</v>
      </c>
      <c r="R1546" s="21">
        <f>100-P1546</f>
        <v>63.316214233308877</v>
      </c>
      <c r="S1546" s="204" t="s">
        <v>2276</v>
      </c>
      <c r="T1546" s="204"/>
    </row>
    <row r="1547" spans="1:20" ht="56" customHeight="1">
      <c r="A1547" s="204" t="s">
        <v>9874</v>
      </c>
      <c r="B1547" s="4" t="s">
        <v>32</v>
      </c>
      <c r="C1547" s="204" t="s">
        <v>12</v>
      </c>
      <c r="D1547" s="204" t="s">
        <v>130</v>
      </c>
      <c r="E1547" s="4" t="s">
        <v>2651</v>
      </c>
      <c r="F1547" s="4" t="s">
        <v>397</v>
      </c>
      <c r="G1547" s="204" t="s">
        <v>2276</v>
      </c>
      <c r="H1547" s="204" t="s">
        <v>2276</v>
      </c>
      <c r="I1547" s="204">
        <f>AVERAGE(0.77, 0.98)</f>
        <v>0.875</v>
      </c>
      <c r="J1547" s="204" t="s">
        <v>2276</v>
      </c>
      <c r="K1547" s="204" t="s">
        <v>2276</v>
      </c>
      <c r="L1547" s="204" t="s">
        <v>2276</v>
      </c>
      <c r="M1547" s="204" t="s">
        <v>2276</v>
      </c>
      <c r="N1547" s="204" t="s">
        <v>2276</v>
      </c>
      <c r="O1547" s="204" t="s">
        <v>2276</v>
      </c>
      <c r="P1547" s="204" t="s">
        <v>2276</v>
      </c>
      <c r="Q1547" s="204" t="s">
        <v>2276</v>
      </c>
      <c r="R1547" s="204" t="s">
        <v>2276</v>
      </c>
      <c r="S1547" s="204" t="s">
        <v>2276</v>
      </c>
      <c r="T1547" s="204"/>
    </row>
    <row r="1548" spans="1:20" ht="45.5" customHeight="1">
      <c r="A1548" s="11" t="s">
        <v>9882</v>
      </c>
      <c r="B1548" s="4" t="s">
        <v>32</v>
      </c>
      <c r="C1548" s="204" t="s">
        <v>12</v>
      </c>
      <c r="D1548" s="204" t="s">
        <v>2649</v>
      </c>
      <c r="E1548" s="204" t="s">
        <v>137</v>
      </c>
      <c r="F1548" s="204" t="s">
        <v>45</v>
      </c>
      <c r="G1548" s="204" t="s">
        <v>2276</v>
      </c>
      <c r="H1548" s="204" t="s">
        <v>2276</v>
      </c>
      <c r="I1548" s="204" t="s">
        <v>2276</v>
      </c>
      <c r="J1548" s="204" t="s">
        <v>2276</v>
      </c>
      <c r="K1548" s="204" t="s">
        <v>2276</v>
      </c>
      <c r="L1548" s="204" t="s">
        <v>2276</v>
      </c>
      <c r="M1548" s="204" t="s">
        <v>2276</v>
      </c>
      <c r="N1548" s="204" t="s">
        <v>2276</v>
      </c>
      <c r="O1548" s="204" t="s">
        <v>2276</v>
      </c>
      <c r="P1548" s="204" t="s">
        <v>2276</v>
      </c>
      <c r="Q1548" s="204" t="s">
        <v>2276</v>
      </c>
      <c r="R1548" s="204" t="s">
        <v>2276</v>
      </c>
      <c r="S1548" s="204" t="s">
        <v>2276</v>
      </c>
      <c r="T1548" s="4" t="s">
        <v>9886</v>
      </c>
    </row>
    <row r="1549" spans="1:20" ht="41" customHeight="1"/>
  </sheetData>
  <autoFilter ref="A1:A1219"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763" yWindow="834" count="11">
    <dataValidation allowBlank="1" showInputMessage="1" showErrorMessage="1" prompt="The same as Case study ID in Record Info_x000a_" sqref="A506:A583 A1:A489 A673:A704 A716:A783 A808:A828 A834:A837 A848:A854 A868:A881 A598:A660 A886:A926 A1058:A1069 A1110:A1114 A1146:A1149 A1218:A1223 A1232 A1243:A1270 A1278:A1336 A1343:A1366 A1388:A1390 A1395:A1405 A1415:A1417 A1435:A1436 A1455:A1463 A1475:A1479 A1490:A1496 A1503:A1507 A1517 A1524:A1526 A1545: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56 M1549: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R1054 N927:S928 N944 P949:R950 O949 N963:S963 Q988 O964:P965 O969:P970 R964:R965 R970:R973 P971:Q971 R975:R976 R978:R983 Q985:R985 R987 P979:Q979 O975:P978 O983:P985 O972:Q973 Q975 Q1289:R1289 Q1059 R1059:R1060 P1060 O1059:O1060 S1060 R1070 O1092 O1100:O1109 P1054 S1232 R1233:R1242 O1233:P1242 Q1238:Q1242 R1249 P1249 O1255 R1255:S1255 O1258 R1263:R1266 R1290:R1291 P1315:P1316 P1303:P1305 P1319:P1321 P1307:P1313 P1335 P1352:P1356 P1359:P1361 O1361 P1367:P1381 N1390 R1398 O1401:P1401 R1401:S1401 S1404:S1405 P1406:P1414 N1415:N1417 R1435:R1436 N1435:P1436 Q1435 N1418:P1418 S1435 R1418 R1453 P1454 R1457 O1457:P1457 N1455:N1457 Q1475:S1475 S1476 Q1477:R1477 P1478:S1478 N1478 R1485:R1489 O1485:P1485 P1493 S1493 R1494:S1494 N1496 R1496 P1496 N1506 P1506:P1507 Q1509:Q1514 R1507:R1515 R1517 P1525:S1526 R1527:S1544 O1545:S1545 P1546 R1546 N1549: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396:H1397 H963 P932 H1000:H1012 H1025:H1028 H1100:H1109 H927:H931 H933:S933 I929:J931 H1086:H1092 H1065 H1078:H1080 H1224:H1231 H1250:H1251 H1258 H1261 H1020:H1021 C935 H1545 H1549: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I1024:I1028 J1022:J1028 L927:L931 M929:S931 L963 J1004:J1012 J963 I1055:J1055 H1030:I1030 J1001:J1002 I997:I1012 I1020:I1022 J1352:J1356 J1359 L1477 J1491:J1492 L1549:L1048576 J1545 J1549: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A1070:A1109 A1115:A1145 A1150:A1217 A1224:A1231 A1233:A1242 A1271:A1277 A1337:A1342 A1367:A1387 A1391:A1394 A1406:A1414 A1437:A1454 A1418:A1434 A1464:A1474 A1480:A1489 A1497:A1502 A1508:A1516 A1518:A1523 A1545 A1527:A1543"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45 I1251 I1253:I1255 I1257:I1258 I1301 I1359 H1388:I1388 I1396:I1397 I1402 I1478 I1480:I1484 I1496 I1503 I1524 I1545 I1547 I1549:I1048576" xr:uid="{F7D4EAB2-4AF5-41E9-921A-C117323BA598}">
      <formula1>0</formula1>
      <formula2>99999999</formula2>
    </dataValidation>
  </dataValidations>
  <hyperlinks>
    <hyperlink ref="T810" r:id="rId1" display="Land use cross-checked against Balestieri (2018)" xr:uid="{3F51AD0E-D35F-45A9-BF60-02BF08D4EDAD}"/>
    <hyperlink ref="T1459"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763" yWindow="834"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K1218:K1220 K1223 K1232 K1255 K1259:K1260 K1271:K1277 K1287 K1390:K1394 K1398:K1400 K1415:K1418 K1429:K1430 K1435:K1436 K1447:K1448 K1455:K1461 K1475 K1477:K1489 K1495:K1505 K1517:K1521 K1523 L1524 K1525 K1527:K1543 K1545 K1549:K1048576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S1398:S1400 K907:K909 K918:R920 J1396:S1397 C1400 K914:R916 L917:R917 S906:S920 I912:I920 L1398:Q1398 J911:J920 H911:H920 B1:B390 L1399:R1400 L1486:P1489 H1401:N1401 J921:S926 B946:B996 H1221:S1222 B598:B944 H926 H924:I924 C1110 C1115:C1122 C1128:C1149 K1115:K1149 K1151:K1217 H1223:J1223 L1115:S1220 H1115:J1220 L1223:S1223 H1398:J1400 L1232:R1232 H1232:J1232 I1224:S1231 H1402:H1452 J1245:R1245 H1243:R1244 Q1233:Q1237 K1253:K1254 H1233:N1242 H1245 J1402:P1402 H1246:R1248 R1250:R1262 H1249:O1249 H1252:P1252 I1250:P1250 J1251:P1251 H1253:H1257 L1253:P1255 K1258:N1258 K1256:P1257 I1256 T1406:T1414 R1402:S1403 I1403:P1405 I1261:I1300 H1259:I1260 L1259:O1260 O1455:R1456 K1288:O1293 N1454:O1454 I1485:I1489 C1476 K1261:O1270 H1381:O1381 O1415:P1417 L1271:O1277 B1058:B1417 I1406:O1414 K1278:O1286 L1287:O1287 K1419:K1428 R1267:R1287 P1292:R1293 K1431:K1434 Q1249:Q1287 P1258:P1287 K1437:K1446 K1449:K1452 I1415:J1452 K1294:R1302 N1419:P1434 H1262:H1380 S1233:S1305 Q1306:S1356 I1302:I1358 L1415:M1452 P1306 R1419:R1434 R1437:R1452 P1314 K1303:O1356 P1317:P1318 N1437:P1453 C1326:C1328 Q1454:S1454 C1337:C1343 Q1401:Q1453 R1404:R1417 C1352:C1356 H1476:R1476 J1253:J1351 P1322:P1351 Q1359:S1361 Q1303:R1305 Q1485:Q1489 J1357:S1358 Q1367:S1381 S1477 M1477:P1477 I1360:N1361 O1359:O1360 L1478:M1478 K1359:N1359 L1479:N1479 I1477 I1362:S1366 J1477:J1489 P1479:S1479 I1367:O1380 H1382:S1387 S1406:S1453 J1388:S1388 I1479 C1382:C1387 O1478:O1479 S1485:S1489 L1480:S1484 H1477:H1489 N1389 L1485:N1485 K1389 L1389:M1390 O1389:S1390 H1395:S1395 H1389:J1394 L1391:S1394 H891:O891 B1453:B1048576</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C1058:C1109 C1111:C1114 C1123:C1127 C1150:C1325 C1329:C1336 C1344:C1351 C1357:C1381 C1388:C1399 C1401:C1418 C1425 C1442:C1443 C1447:C1448 C1434:C1436 C1429:C1430 C1452:C1475 C1477:C1048576</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N1458:P1475 J964:N987 C1444:C1446 M1457:M1475 C1449:C1451 C1431:C1433 C1419:C1424 C1426:C1428 I982 H1455:J1461 H1462:K1474 H1475:J1475 B1418:B1452 H1453:M1454 Q1457:Q1474 F1396:F1397 S1455:S1474 L1455:M1455 R1458:R1474 L1456:L1475 I984 C1437:C1441 H1110:S1114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Q1028:S1028 K1028:O1029 P1029:S1029 J1013:J1021 L1031:S1052 K997:S1027 L995:S995 L1055:P1057 H1058:S1058 H1059:N1060 P1059 S1059 H1061:P1064 J1030:S1030 R1061:S1064 Q1060:Q1064 I1065:S1065 H1066:S1069 L1053:O1054 I1070:I1109 H1093:H1099 H1081:H1085 P1053:S1053 Q1054:Q1057 S1054:S1057 I1023 H1022:H1024 H1056:J1057 H1070:H1077 H1031:J1054 H1013:I1019 H1029:J1029 R1055:R1057 H995:J995</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B1055:B1057 B1038:B1053</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K1150</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C1031:C1054</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J1070:N1109 O1093:O1099 O1070:O1091 P1070:Q1109 R1071:S1109 S1070</xm:sqref>
        </x14:dataValidation>
        <x14:dataValidation type="list" allowBlank="1" showInputMessage="1" showErrorMessage="1" xr:uid="{7DFECE6A-AF43-42AD-B6CA-4444A4700461}">
          <x14:formula1>
            <xm:f>'IGNORE Lookups'!$C$23:$C$46</xm:f>
          </x14:formula1>
          <xm:sqref>F1490:S1490 F1:G1489 E1:E1490 K1491:S1492 E1491:I1491 D1:D1491 D1492:I1492 H1493:O1493 Q1493:R1493 H1494:Q1494 L1495:S1495 I1495 L1496:M1496 Q1496:Q1508 P1497:P1505 R1497:R1506 I1497:I1502 L1497:N1505 K1506:M1506 R1516 K1507:N1516 K1522:N1522 L1517:N1521 J1524:K1524 H1495:H1523 R1518:R1523 Q1515:Q1523 P1508:P1523 J1495:J1523 I1504:I1523 O1496:O1523 S1496:S1523 F1525:J1525 M1524:T1524 L1523:N1523 D1493:G1523 D1524:H1524 L1525:S1525 F1526:S1526 H1545:J1545 F1527:J1543 L1545:Q1545 H1544:Q1544 L1527:Q1543 D1525:E1048576 Q1546:Q1548 S1546:S1548 H1546:O1546 J1547:P1547 R1547:R1548 H1547:H1548 F1544:G1048576 I1548:P1548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3819"/>
  <sheetViews>
    <sheetView topLeftCell="Z1" zoomScale="55" zoomScaleNormal="55" workbookViewId="0">
      <pane ySplit="1" topLeftCell="A3816" activePane="bottomLeft" state="frozen"/>
      <selection pane="bottomLeft" activeCell="A3819" sqref="A3819:AD3819"/>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0" width="24" style="14" customWidth="1"/>
    <col min="11"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3" t="s">
        <v>15</v>
      </c>
      <c r="B3" s="3" t="s">
        <v>41</v>
      </c>
      <c r="C3" s="3" t="s">
        <v>24</v>
      </c>
      <c r="D3" s="3" t="s">
        <v>26</v>
      </c>
      <c r="E3" s="3"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3" t="s">
        <v>38</v>
      </c>
      <c r="AA3" s="3" t="s">
        <v>34</v>
      </c>
      <c r="AB3" s="3" t="s">
        <v>64</v>
      </c>
      <c r="AC3" s="4" t="s">
        <v>39</v>
      </c>
      <c r="AD3" s="3"/>
    </row>
    <row r="4" spans="1:30" ht="43.5" customHeight="1">
      <c r="A4" s="22" t="s">
        <v>15</v>
      </c>
      <c r="B4" s="3"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3" t="s">
        <v>15</v>
      </c>
      <c r="B5" s="3" t="s">
        <v>43</v>
      </c>
      <c r="C5" s="3" t="s">
        <v>2458</v>
      </c>
      <c r="D5" s="8" t="s">
        <v>25</v>
      </c>
      <c r="E5" s="3"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3" t="s">
        <v>64</v>
      </c>
      <c r="AC5" s="3"/>
      <c r="AD5" s="3"/>
    </row>
    <row r="6" spans="1:30" ht="41.5" customHeight="1">
      <c r="A6" s="3" t="s">
        <v>15</v>
      </c>
      <c r="B6" s="3" t="s">
        <v>44</v>
      </c>
      <c r="C6" s="3" t="s">
        <v>24</v>
      </c>
      <c r="D6" s="3" t="s">
        <v>2346</v>
      </c>
      <c r="E6" s="3"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3" t="s">
        <v>34</v>
      </c>
      <c r="AA6" s="3" t="s">
        <v>35</v>
      </c>
      <c r="AB6" s="3" t="s">
        <v>64</v>
      </c>
      <c r="AC6" s="3"/>
      <c r="AD6" s="3"/>
    </row>
    <row r="7" spans="1:30" ht="61" customHeight="1">
      <c r="A7" s="3" t="s">
        <v>15</v>
      </c>
      <c r="B7" s="3" t="s">
        <v>60</v>
      </c>
      <c r="C7" s="3" t="s">
        <v>24</v>
      </c>
      <c r="D7" s="3"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3" t="s">
        <v>38</v>
      </c>
      <c r="AA7" s="3" t="s">
        <v>35</v>
      </c>
      <c r="AB7" s="3" t="s">
        <v>64</v>
      </c>
      <c r="AC7" s="4" t="s">
        <v>63</v>
      </c>
      <c r="AD7" s="3"/>
    </row>
    <row r="8" spans="1:30" ht="49.5" customHeight="1">
      <c r="A8" s="11" t="s">
        <v>16</v>
      </c>
      <c r="B8" s="3" t="s">
        <v>46</v>
      </c>
      <c r="C8" s="11" t="s">
        <v>24</v>
      </c>
      <c r="D8" s="11" t="s">
        <v>25</v>
      </c>
      <c r="E8" s="3"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3" t="s">
        <v>34</v>
      </c>
      <c r="AA8" s="3" t="s">
        <v>35</v>
      </c>
      <c r="AB8" s="3" t="s">
        <v>64</v>
      </c>
      <c r="AC8" s="18" t="s">
        <v>48</v>
      </c>
      <c r="AD8" s="3"/>
    </row>
    <row r="9" spans="1:30" ht="48" customHeight="1">
      <c r="A9" s="11" t="s">
        <v>17</v>
      </c>
      <c r="B9" s="3"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3" t="s">
        <v>68</v>
      </c>
      <c r="AA9" s="3" t="s">
        <v>35</v>
      </c>
      <c r="AB9" s="3" t="s">
        <v>64</v>
      </c>
      <c r="AC9" s="4" t="s">
        <v>50</v>
      </c>
      <c r="AD9" s="3"/>
    </row>
    <row r="10" spans="1:30" ht="49.5" customHeight="1">
      <c r="A10" s="11" t="s">
        <v>18</v>
      </c>
      <c r="B10" s="3" t="s">
        <v>51</v>
      </c>
      <c r="C10" s="11" t="s">
        <v>24</v>
      </c>
      <c r="D10" s="11" t="s">
        <v>25</v>
      </c>
      <c r="E10" s="3"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3" t="s">
        <v>34</v>
      </c>
      <c r="AA10" s="3" t="s">
        <v>35</v>
      </c>
      <c r="AB10" s="3" t="s">
        <v>64</v>
      </c>
      <c r="AC10" s="4" t="s">
        <v>49</v>
      </c>
      <c r="AD10" s="3"/>
    </row>
    <row r="11" spans="1:30" ht="60.5" customHeight="1">
      <c r="A11" s="3" t="s">
        <v>19</v>
      </c>
      <c r="B11" s="3" t="s">
        <v>53</v>
      </c>
      <c r="C11" s="3"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3" t="s">
        <v>34</v>
      </c>
      <c r="AA11" s="3" t="s">
        <v>35</v>
      </c>
      <c r="AB11" s="3" t="s">
        <v>64</v>
      </c>
      <c r="AC11" s="4" t="s">
        <v>56</v>
      </c>
      <c r="AD11" s="3"/>
    </row>
    <row r="12" spans="1:30" ht="53.5" customHeight="1">
      <c r="A12" s="3" t="s">
        <v>19</v>
      </c>
      <c r="B12" s="3" t="s">
        <v>54</v>
      </c>
      <c r="C12" s="3"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3" t="s">
        <v>34</v>
      </c>
      <c r="AA12" s="3" t="s">
        <v>35</v>
      </c>
      <c r="AB12" s="3" t="s">
        <v>64</v>
      </c>
      <c r="AC12" s="19" t="s">
        <v>52</v>
      </c>
      <c r="AD12" s="3"/>
    </row>
    <row r="13" spans="1:30" ht="62.5" customHeight="1">
      <c r="A13" s="20" t="s">
        <v>71</v>
      </c>
      <c r="B13" s="3"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3"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3" t="s">
        <v>75</v>
      </c>
      <c r="AA14" s="3" t="s">
        <v>35</v>
      </c>
      <c r="AB14" s="3" t="s">
        <v>64</v>
      </c>
      <c r="AC14" s="4" t="s">
        <v>5053</v>
      </c>
      <c r="AD14" s="4" t="s">
        <v>5048</v>
      </c>
    </row>
    <row r="15" spans="1:30" ht="124.5" customHeight="1">
      <c r="A15" s="23" t="s">
        <v>81</v>
      </c>
      <c r="B15" s="3"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3" t="s">
        <v>75</v>
      </c>
      <c r="AA15" s="3" t="s">
        <v>35</v>
      </c>
      <c r="AB15" s="3" t="s">
        <v>64</v>
      </c>
      <c r="AC15" s="4" t="s">
        <v>5053</v>
      </c>
      <c r="AD15" s="4" t="s">
        <v>5049</v>
      </c>
    </row>
    <row r="16" spans="1:30" ht="122.5" customHeight="1">
      <c r="A16" s="31" t="s">
        <v>221</v>
      </c>
      <c r="B16" s="3"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3" t="s">
        <v>75</v>
      </c>
      <c r="AA16" s="3" t="s">
        <v>35</v>
      </c>
      <c r="AB16" s="3" t="s">
        <v>64</v>
      </c>
      <c r="AC16" s="4" t="s">
        <v>5053</v>
      </c>
      <c r="AD16" s="4" t="s">
        <v>5050</v>
      </c>
    </row>
    <row r="17" spans="1:30" ht="114.5" customHeight="1">
      <c r="A17" s="31" t="s">
        <v>222</v>
      </c>
      <c r="B17" s="3"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3" t="s">
        <v>75</v>
      </c>
      <c r="AA17" s="3" t="s">
        <v>35</v>
      </c>
      <c r="AB17" s="3" t="s">
        <v>64</v>
      </c>
      <c r="AC17" s="4" t="s">
        <v>5053</v>
      </c>
      <c r="AD17" s="4" t="s">
        <v>5050</v>
      </c>
    </row>
    <row r="18" spans="1:30" ht="111.5" customHeight="1">
      <c r="A18" s="31" t="s">
        <v>223</v>
      </c>
      <c r="B18" s="3"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3" t="s">
        <v>75</v>
      </c>
      <c r="AA18" s="3" t="s">
        <v>35</v>
      </c>
      <c r="AB18" s="3" t="s">
        <v>64</v>
      </c>
      <c r="AC18" s="4" t="s">
        <v>5053</v>
      </c>
      <c r="AD18" s="4" t="s">
        <v>5050</v>
      </c>
    </row>
    <row r="19" spans="1:30" ht="115" customHeight="1">
      <c r="A19" s="31" t="s">
        <v>224</v>
      </c>
      <c r="B19" s="3"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3" t="s">
        <v>75</v>
      </c>
      <c r="AA19" s="3" t="s">
        <v>35</v>
      </c>
      <c r="AB19" s="3" t="s">
        <v>64</v>
      </c>
      <c r="AC19" s="4" t="s">
        <v>5053</v>
      </c>
      <c r="AD19" s="4" t="s">
        <v>5050</v>
      </c>
    </row>
    <row r="20" spans="1:30" ht="76.5" customHeight="1">
      <c r="A20" s="31" t="s">
        <v>225</v>
      </c>
      <c r="B20" s="3"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3" t="s">
        <v>75</v>
      </c>
      <c r="AA20" s="3" t="s">
        <v>35</v>
      </c>
      <c r="AB20" s="3" t="s">
        <v>64</v>
      </c>
      <c r="AC20" s="4" t="s">
        <v>5053</v>
      </c>
      <c r="AD20" s="4" t="s">
        <v>5050</v>
      </c>
    </row>
    <row r="21" spans="1:30" ht="78" customHeight="1">
      <c r="A21" s="31" t="s">
        <v>257</v>
      </c>
      <c r="B21" s="3"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3" t="s">
        <v>75</v>
      </c>
      <c r="AA21" s="3" t="s">
        <v>35</v>
      </c>
      <c r="AB21" s="3" t="s">
        <v>64</v>
      </c>
      <c r="AC21" s="4" t="s">
        <v>5053</v>
      </c>
      <c r="AD21" s="4" t="s">
        <v>5050</v>
      </c>
    </row>
    <row r="22" spans="1:30" ht="70.5" customHeight="1">
      <c r="A22" s="31" t="s">
        <v>258</v>
      </c>
      <c r="B22" s="3"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3" t="s">
        <v>75</v>
      </c>
      <c r="AA22" s="3" t="s">
        <v>35</v>
      </c>
      <c r="AB22" s="3" t="s">
        <v>64</v>
      </c>
      <c r="AC22" s="4" t="s">
        <v>5053</v>
      </c>
      <c r="AD22" s="4" t="s">
        <v>5050</v>
      </c>
    </row>
    <row r="23" spans="1:30" ht="89" customHeight="1">
      <c r="A23" s="31" t="s">
        <v>259</v>
      </c>
      <c r="B23" s="3"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3" t="s">
        <v>75</v>
      </c>
      <c r="AA23" s="3" t="s">
        <v>35</v>
      </c>
      <c r="AB23" s="3" t="s">
        <v>64</v>
      </c>
      <c r="AC23" s="4" t="s">
        <v>5053</v>
      </c>
      <c r="AD23" s="4" t="s">
        <v>5050</v>
      </c>
    </row>
    <row r="24" spans="1:30" ht="88.5" customHeight="1">
      <c r="A24" s="31" t="s">
        <v>260</v>
      </c>
      <c r="B24" s="3"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3" t="s">
        <v>75</v>
      </c>
      <c r="AA24" s="3" t="s">
        <v>35</v>
      </c>
      <c r="AB24" s="3" t="s">
        <v>64</v>
      </c>
      <c r="AC24" s="4" t="s">
        <v>5053</v>
      </c>
      <c r="AD24" s="4" t="s">
        <v>5050</v>
      </c>
    </row>
    <row r="25" spans="1:30" ht="87" customHeight="1">
      <c r="A25" s="31" t="s">
        <v>261</v>
      </c>
      <c r="B25" s="3"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3" t="s">
        <v>75</v>
      </c>
      <c r="AA25" s="3" t="s">
        <v>35</v>
      </c>
      <c r="AB25" s="3" t="s">
        <v>64</v>
      </c>
      <c r="AC25" s="4" t="s">
        <v>5053</v>
      </c>
      <c r="AD25" s="4" t="s">
        <v>5050</v>
      </c>
    </row>
    <row r="26" spans="1:30" ht="152" customHeight="1">
      <c r="A26" s="31" t="s">
        <v>262</v>
      </c>
      <c r="B26" s="3"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3" t="s">
        <v>75</v>
      </c>
      <c r="AA26" s="3" t="s">
        <v>35</v>
      </c>
      <c r="AB26" s="3"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3" t="s">
        <v>75</v>
      </c>
      <c r="AA27" s="3" t="s">
        <v>35</v>
      </c>
      <c r="AB27" s="3"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3" t="s">
        <v>75</v>
      </c>
      <c r="AA28" s="3" t="s">
        <v>35</v>
      </c>
      <c r="AB28" s="3" t="s">
        <v>64</v>
      </c>
      <c r="AC28" s="4" t="s">
        <v>5053</v>
      </c>
      <c r="AD28" s="4" t="s">
        <v>5050</v>
      </c>
    </row>
    <row r="29" spans="1:30" ht="56" customHeight="1">
      <c r="A29" s="31" t="s">
        <v>265</v>
      </c>
      <c r="B29" s="3"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3" t="s">
        <v>75</v>
      </c>
      <c r="AA29" s="3" t="s">
        <v>35</v>
      </c>
      <c r="AB29" s="3" t="s">
        <v>64</v>
      </c>
      <c r="AC29" s="4" t="s">
        <v>5053</v>
      </c>
      <c r="AD29" s="4" t="s">
        <v>5050</v>
      </c>
    </row>
    <row r="30" spans="1:30" ht="55" customHeight="1">
      <c r="A30" s="31" t="s">
        <v>266</v>
      </c>
      <c r="B30" s="3"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3" t="s">
        <v>75</v>
      </c>
      <c r="AA30" s="3" t="s">
        <v>35</v>
      </c>
      <c r="AB30" s="3" t="s">
        <v>64</v>
      </c>
      <c r="AC30" s="4" t="s">
        <v>5053</v>
      </c>
      <c r="AD30" s="4" t="s">
        <v>5050</v>
      </c>
    </row>
    <row r="31" spans="1:30" ht="63.5" customHeight="1">
      <c r="A31" s="31" t="s">
        <v>267</v>
      </c>
      <c r="B31" s="3"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3" t="s">
        <v>75</v>
      </c>
      <c r="AA31" s="3" t="s">
        <v>35</v>
      </c>
      <c r="AB31" s="3" t="s">
        <v>64</v>
      </c>
      <c r="AC31" s="4" t="s">
        <v>5053</v>
      </c>
      <c r="AD31" s="4" t="s">
        <v>5050</v>
      </c>
    </row>
    <row r="32" spans="1:30" ht="72.5">
      <c r="A32" s="31" t="s">
        <v>268</v>
      </c>
      <c r="B32" s="3"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3" t="s">
        <v>75</v>
      </c>
      <c r="AA32" s="3" t="s">
        <v>35</v>
      </c>
      <c r="AB32" s="3" t="s">
        <v>64</v>
      </c>
      <c r="AC32" s="4" t="s">
        <v>5053</v>
      </c>
      <c r="AD32" s="4" t="s">
        <v>5050</v>
      </c>
    </row>
    <row r="33" spans="1:30" ht="72.5">
      <c r="A33" s="31" t="s">
        <v>269</v>
      </c>
      <c r="B33" s="3"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3" t="s">
        <v>75</v>
      </c>
      <c r="AA33" s="3" t="s">
        <v>35</v>
      </c>
      <c r="AB33" s="3" t="s">
        <v>64</v>
      </c>
      <c r="AC33" s="4" t="s">
        <v>5053</v>
      </c>
      <c r="AD33" s="4" t="s">
        <v>5050</v>
      </c>
    </row>
    <row r="34" spans="1:30" ht="72.5">
      <c r="A34" s="31" t="s">
        <v>270</v>
      </c>
      <c r="B34" s="3"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3" t="s">
        <v>75</v>
      </c>
      <c r="AA34" s="3" t="s">
        <v>35</v>
      </c>
      <c r="AB34" s="3" t="s">
        <v>64</v>
      </c>
      <c r="AC34" s="4" t="s">
        <v>5053</v>
      </c>
      <c r="AD34" s="4" t="s">
        <v>5050</v>
      </c>
    </row>
    <row r="35" spans="1:30" ht="72.5">
      <c r="A35" s="31" t="s">
        <v>271</v>
      </c>
      <c r="B35" s="3"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3" t="s">
        <v>75</v>
      </c>
      <c r="AA35" s="3" t="s">
        <v>35</v>
      </c>
      <c r="AB35" s="3" t="s">
        <v>64</v>
      </c>
      <c r="AC35" s="4" t="s">
        <v>5053</v>
      </c>
      <c r="AD35" s="4" t="s">
        <v>5050</v>
      </c>
    </row>
    <row r="36" spans="1:30" ht="72.5">
      <c r="A36" s="31" t="s">
        <v>272</v>
      </c>
      <c r="B36" s="3"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3" t="s">
        <v>75</v>
      </c>
      <c r="AA36" s="3" t="s">
        <v>35</v>
      </c>
      <c r="AB36" s="3" t="s">
        <v>64</v>
      </c>
      <c r="AC36" s="4" t="s">
        <v>5053</v>
      </c>
      <c r="AD36" s="4" t="s">
        <v>5050</v>
      </c>
    </row>
    <row r="37" spans="1:30" ht="72.5">
      <c r="A37" s="31" t="s">
        <v>273</v>
      </c>
      <c r="B37" s="3"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5053</v>
      </c>
      <c r="AD37" s="4" t="s">
        <v>5050</v>
      </c>
    </row>
    <row r="38" spans="1:30" ht="125.5" customHeight="1">
      <c r="A38" s="31" t="s">
        <v>274</v>
      </c>
      <c r="B38" s="3" t="s">
        <v>334</v>
      </c>
      <c r="C38" s="11" t="s">
        <v>24</v>
      </c>
      <c r="D38" s="3"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3" t="s">
        <v>75</v>
      </c>
      <c r="AA38" s="3" t="s">
        <v>35</v>
      </c>
      <c r="AB38" s="3" t="s">
        <v>64</v>
      </c>
      <c r="AC38" s="4" t="s">
        <v>5053</v>
      </c>
      <c r="AD38" s="4" t="s">
        <v>5050</v>
      </c>
    </row>
    <row r="39" spans="1:30" ht="127" customHeight="1">
      <c r="A39" s="31" t="s">
        <v>275</v>
      </c>
      <c r="B39" s="3" t="s">
        <v>335</v>
      </c>
      <c r="C39" s="11" t="s">
        <v>24</v>
      </c>
      <c r="D39" s="3"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3" t="s">
        <v>75</v>
      </c>
      <c r="AA39" s="3" t="s">
        <v>35</v>
      </c>
      <c r="AB39" s="3" t="s">
        <v>64</v>
      </c>
      <c r="AC39" s="4" t="s">
        <v>5053</v>
      </c>
      <c r="AD39" s="4" t="s">
        <v>5050</v>
      </c>
    </row>
    <row r="40" spans="1:30" ht="124" customHeight="1">
      <c r="A40" s="31" t="s">
        <v>276</v>
      </c>
      <c r="B40" s="3"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5053</v>
      </c>
      <c r="AD40" s="4" t="s">
        <v>5050</v>
      </c>
    </row>
    <row r="41" spans="1:30" ht="46" customHeight="1">
      <c r="A41" s="31" t="s">
        <v>277</v>
      </c>
      <c r="B41" s="3"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5053</v>
      </c>
      <c r="AD41" s="4" t="s">
        <v>5050</v>
      </c>
    </row>
    <row r="42" spans="1:30" ht="49" customHeight="1">
      <c r="A42" s="31" t="s">
        <v>290</v>
      </c>
      <c r="B42" s="3"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5053</v>
      </c>
      <c r="AD42" s="4" t="s">
        <v>5050</v>
      </c>
    </row>
    <row r="43" spans="1:30" ht="67" customHeight="1">
      <c r="A43" s="31" t="s">
        <v>291</v>
      </c>
      <c r="B43" s="3"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5053</v>
      </c>
      <c r="AD43" s="4" t="s">
        <v>5050</v>
      </c>
    </row>
    <row r="44" spans="1:30" ht="72" customHeight="1">
      <c r="A44" s="31" t="s">
        <v>292</v>
      </c>
      <c r="B44" s="3"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5053</v>
      </c>
      <c r="AD44" s="4" t="s">
        <v>5050</v>
      </c>
    </row>
    <row r="45" spans="1:30" ht="72" customHeight="1">
      <c r="A45" s="31" t="s">
        <v>293</v>
      </c>
      <c r="B45" s="3"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5053</v>
      </c>
      <c r="AD45" s="4" t="s">
        <v>5050</v>
      </c>
    </row>
    <row r="46" spans="1:30" ht="97" customHeight="1">
      <c r="A46" s="23" t="s">
        <v>89</v>
      </c>
      <c r="B46" s="3"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5053</v>
      </c>
      <c r="AD46" s="4" t="s">
        <v>5051</v>
      </c>
    </row>
    <row r="47" spans="1:30" ht="92" customHeight="1">
      <c r="A47" s="23" t="s">
        <v>89</v>
      </c>
      <c r="B47" s="3"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5053</v>
      </c>
      <c r="AD47" s="4" t="s">
        <v>5052</v>
      </c>
    </row>
    <row r="48" spans="1:30" ht="69.5" customHeight="1">
      <c r="A48" s="31" t="s">
        <v>278</v>
      </c>
      <c r="B48" s="3"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5053</v>
      </c>
      <c r="AD48" s="4" t="s">
        <v>2261</v>
      </c>
    </row>
    <row r="49" spans="1:30" ht="69.5" customHeight="1">
      <c r="A49" s="31" t="s">
        <v>279</v>
      </c>
      <c r="B49" s="3"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5053</v>
      </c>
      <c r="AD49" s="4" t="s">
        <v>2261</v>
      </c>
    </row>
    <row r="50" spans="1:30" ht="69.5" customHeight="1">
      <c r="A50" s="31" t="s">
        <v>280</v>
      </c>
      <c r="B50" s="3"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5053</v>
      </c>
      <c r="AD50" s="4" t="s">
        <v>2261</v>
      </c>
    </row>
    <row r="51" spans="1:30" ht="69.5" customHeight="1">
      <c r="A51" s="31" t="s">
        <v>281</v>
      </c>
      <c r="B51" s="3"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5053</v>
      </c>
      <c r="AD51" s="4" t="s">
        <v>2261</v>
      </c>
    </row>
    <row r="52" spans="1:30" ht="69.5" customHeight="1">
      <c r="A52" s="31" t="s">
        <v>282</v>
      </c>
      <c r="B52" s="3"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5053</v>
      </c>
      <c r="AD52" s="4" t="s">
        <v>2261</v>
      </c>
    </row>
    <row r="53" spans="1:30" ht="69.5" customHeight="1">
      <c r="A53" s="31" t="s">
        <v>283</v>
      </c>
      <c r="B53" s="3"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5053</v>
      </c>
      <c r="AD53" s="4" t="s">
        <v>2261</v>
      </c>
    </row>
    <row r="54" spans="1:30" ht="69.5" customHeight="1">
      <c r="A54" s="31" t="s">
        <v>284</v>
      </c>
      <c r="B54" s="3"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5053</v>
      </c>
      <c r="AD54" s="4" t="s">
        <v>2261</v>
      </c>
    </row>
    <row r="55" spans="1:30" ht="69.5" customHeight="1">
      <c r="A55" s="31" t="s">
        <v>285</v>
      </c>
      <c r="B55" s="3"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5053</v>
      </c>
      <c r="AD55" s="4" t="s">
        <v>2261</v>
      </c>
    </row>
    <row r="56" spans="1:30" ht="69.5" customHeight="1">
      <c r="A56" s="31" t="s">
        <v>286</v>
      </c>
      <c r="B56" s="3"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5053</v>
      </c>
      <c r="AD56" s="4" t="s">
        <v>2261</v>
      </c>
    </row>
    <row r="57" spans="1:30" ht="69.5" customHeight="1">
      <c r="A57" s="31" t="s">
        <v>287</v>
      </c>
      <c r="B57" s="3"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5053</v>
      </c>
      <c r="AD57" s="4" t="s">
        <v>2261</v>
      </c>
    </row>
    <row r="58" spans="1:30" ht="69.5" customHeight="1">
      <c r="A58" s="31" t="s">
        <v>288</v>
      </c>
      <c r="B58" s="3"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5053</v>
      </c>
      <c r="AD58" s="4" t="s">
        <v>2261</v>
      </c>
    </row>
    <row r="59" spans="1:30" ht="69.5" customHeight="1">
      <c r="A59" s="31" t="s">
        <v>289</v>
      </c>
      <c r="B59" s="3"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5053</v>
      </c>
      <c r="AD59" s="4" t="s">
        <v>2261</v>
      </c>
    </row>
    <row r="60" spans="1:30" ht="69.5" customHeight="1">
      <c r="A60" s="31" t="s">
        <v>294</v>
      </c>
      <c r="B60" s="3"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5053</v>
      </c>
      <c r="AD60" s="4" t="s">
        <v>2261</v>
      </c>
    </row>
    <row r="61" spans="1:30" ht="69.5" customHeight="1">
      <c r="A61" s="31" t="s">
        <v>295</v>
      </c>
      <c r="B61" s="3" t="s">
        <v>355</v>
      </c>
      <c r="C61" s="23" t="s">
        <v>24</v>
      </c>
      <c r="D61" s="3" t="s">
        <v>2659</v>
      </c>
      <c r="E61" s="4" t="s">
        <v>396</v>
      </c>
      <c r="F61" s="26" t="s">
        <v>28</v>
      </c>
      <c r="G61" s="11" t="s">
        <v>2276</v>
      </c>
      <c r="H61" s="3"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5053</v>
      </c>
      <c r="AD61" s="4" t="s">
        <v>2261</v>
      </c>
    </row>
    <row r="62" spans="1:30" ht="69.5" customHeight="1">
      <c r="A62" s="31" t="s">
        <v>296</v>
      </c>
      <c r="B62" s="3"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5053</v>
      </c>
      <c r="AD62" s="4" t="s">
        <v>2261</v>
      </c>
    </row>
    <row r="63" spans="1:30" ht="69.5" customHeight="1">
      <c r="A63" s="31" t="s">
        <v>297</v>
      </c>
      <c r="B63" s="3"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5053</v>
      </c>
      <c r="AD63" s="4" t="s">
        <v>2261</v>
      </c>
    </row>
    <row r="64" spans="1:30" ht="69.5" customHeight="1">
      <c r="A64" s="31" t="s">
        <v>298</v>
      </c>
      <c r="B64" s="3"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5053</v>
      </c>
      <c r="AD64" s="4" t="s">
        <v>2261</v>
      </c>
    </row>
    <row r="65" spans="1:30" ht="69.5" customHeight="1">
      <c r="A65" s="31" t="s">
        <v>299</v>
      </c>
      <c r="B65" s="3"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5053</v>
      </c>
      <c r="AD65" s="4" t="s">
        <v>2261</v>
      </c>
    </row>
    <row r="66" spans="1:30" ht="69.5" customHeight="1">
      <c r="A66" s="31" t="s">
        <v>300</v>
      </c>
      <c r="B66" s="3"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5053</v>
      </c>
      <c r="AD67" s="4" t="s">
        <v>2261</v>
      </c>
    </row>
    <row r="68" spans="1:30" ht="69.5" customHeight="1">
      <c r="A68" s="31" t="s">
        <v>302</v>
      </c>
      <c r="B68" s="3" t="s">
        <v>362</v>
      </c>
      <c r="C68" s="23" t="s">
        <v>24</v>
      </c>
      <c r="D68" s="3"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5053</v>
      </c>
      <c r="AD68" s="4" t="s">
        <v>2261</v>
      </c>
    </row>
    <row r="69" spans="1:30" ht="69.5" customHeight="1">
      <c r="A69" s="31" t="s">
        <v>303</v>
      </c>
      <c r="B69" s="3" t="s">
        <v>363</v>
      </c>
      <c r="C69" s="23" t="s">
        <v>24</v>
      </c>
      <c r="D69" s="3"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5053</v>
      </c>
      <c r="AD69" s="4" t="s">
        <v>2261</v>
      </c>
    </row>
    <row r="70" spans="1:30" ht="69.5" customHeight="1">
      <c r="A70" s="31" t="s">
        <v>304</v>
      </c>
      <c r="B70" s="3" t="s">
        <v>364</v>
      </c>
      <c r="C70" s="23" t="s">
        <v>24</v>
      </c>
      <c r="D70" s="3"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5053</v>
      </c>
      <c r="AD77" s="4" t="s">
        <v>2261</v>
      </c>
    </row>
    <row r="78" spans="1:30" ht="69.5" customHeight="1">
      <c r="A78" s="31" t="s">
        <v>312</v>
      </c>
      <c r="B78" s="3" t="s">
        <v>372</v>
      </c>
      <c r="C78" s="23" t="s">
        <v>24</v>
      </c>
      <c r="D78" s="3" t="s">
        <v>2659</v>
      </c>
      <c r="E78" s="4" t="s">
        <v>396</v>
      </c>
      <c r="F78" s="26" t="s">
        <v>28</v>
      </c>
      <c r="G78" s="11" t="s">
        <v>2276</v>
      </c>
      <c r="H78" s="3"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3" t="s">
        <v>75</v>
      </c>
      <c r="AA78" s="3" t="s">
        <v>35</v>
      </c>
      <c r="AB78" s="3" t="s">
        <v>64</v>
      </c>
      <c r="AC78" s="4" t="s">
        <v>5053</v>
      </c>
      <c r="AD78" s="4" t="s">
        <v>2261</v>
      </c>
    </row>
    <row r="79" spans="1:30" ht="106" customHeight="1">
      <c r="A79" s="11" t="s">
        <v>94</v>
      </c>
      <c r="B79" s="3"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3"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3"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3"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3"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3"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3"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3"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3"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3"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3"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3"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3" t="s">
        <v>104</v>
      </c>
      <c r="C113" s="11" t="s">
        <v>24</v>
      </c>
      <c r="D113" s="3"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3" t="s">
        <v>75</v>
      </c>
      <c r="AA113" s="3" t="s">
        <v>35</v>
      </c>
      <c r="AB113" s="3" t="s">
        <v>64</v>
      </c>
      <c r="AC113" s="4" t="s">
        <v>105</v>
      </c>
      <c r="AD113" s="3" t="s">
        <v>5027</v>
      </c>
    </row>
    <row r="114" spans="1:30" ht="140" customHeight="1">
      <c r="A114" s="11" t="s">
        <v>107</v>
      </c>
      <c r="B114" s="3" t="s">
        <v>110</v>
      </c>
      <c r="C114" s="11" t="s">
        <v>24</v>
      </c>
      <c r="D114" s="3"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3" t="s">
        <v>75</v>
      </c>
      <c r="AA114" s="3" t="s">
        <v>35</v>
      </c>
      <c r="AB114" s="3" t="s">
        <v>64</v>
      </c>
      <c r="AC114" s="4" t="s">
        <v>5030</v>
      </c>
      <c r="AD114" s="4" t="s">
        <v>1359</v>
      </c>
    </row>
    <row r="115" spans="1:30" ht="100.5" customHeight="1">
      <c r="A115" s="11" t="s">
        <v>107</v>
      </c>
      <c r="B115" s="3" t="s">
        <v>111</v>
      </c>
      <c r="C115" s="11" t="s">
        <v>24</v>
      </c>
      <c r="D115" s="3" t="s">
        <v>2659</v>
      </c>
      <c r="E115" s="4" t="s">
        <v>397</v>
      </c>
      <c r="F115" s="19" t="s">
        <v>28</v>
      </c>
      <c r="G115" s="11" t="s">
        <v>2276</v>
      </c>
      <c r="H115" s="3"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3" t="s">
        <v>75</v>
      </c>
      <c r="AA115" s="3" t="s">
        <v>35</v>
      </c>
      <c r="AB115" s="3" t="s">
        <v>64</v>
      </c>
      <c r="AC115" s="4" t="s">
        <v>5030</v>
      </c>
      <c r="AD115" s="4" t="s">
        <v>1358</v>
      </c>
    </row>
    <row r="116" spans="1:30" ht="150.5" customHeight="1">
      <c r="A116" s="11" t="s">
        <v>1317</v>
      </c>
      <c r="B116" s="3" t="s">
        <v>1327</v>
      </c>
      <c r="C116" s="11" t="s">
        <v>24</v>
      </c>
      <c r="D116" s="3"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3" t="s">
        <v>75</v>
      </c>
      <c r="AA116" s="3" t="s">
        <v>35</v>
      </c>
      <c r="AB116" s="3" t="s">
        <v>64</v>
      </c>
      <c r="AC116" s="4" t="s">
        <v>5030</v>
      </c>
      <c r="AD116" s="4" t="s">
        <v>1359</v>
      </c>
    </row>
    <row r="117" spans="1:30" ht="109.5" customHeight="1">
      <c r="A117" s="11" t="s">
        <v>1317</v>
      </c>
      <c r="B117" s="3" t="s">
        <v>1328</v>
      </c>
      <c r="C117" s="11" t="s">
        <v>24</v>
      </c>
      <c r="D117" s="3"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3" t="s">
        <v>75</v>
      </c>
      <c r="AA117" s="3" t="s">
        <v>35</v>
      </c>
      <c r="AB117" s="3" t="s">
        <v>64</v>
      </c>
      <c r="AC117" s="4" t="s">
        <v>5030</v>
      </c>
      <c r="AD117" s="4" t="s">
        <v>1358</v>
      </c>
    </row>
    <row r="118" spans="1:30" ht="146.5" customHeight="1">
      <c r="A118" s="11" t="s">
        <v>1318</v>
      </c>
      <c r="B118" s="3" t="s">
        <v>1340</v>
      </c>
      <c r="C118" s="11" t="s">
        <v>24</v>
      </c>
      <c r="D118" s="3"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3" t="s">
        <v>75</v>
      </c>
      <c r="AA118" s="3" t="s">
        <v>35</v>
      </c>
      <c r="AB118" s="3" t="s">
        <v>64</v>
      </c>
      <c r="AC118" s="4" t="s">
        <v>5030</v>
      </c>
      <c r="AD118" s="4" t="s">
        <v>1359</v>
      </c>
    </row>
    <row r="119" spans="1:30" ht="110.5" customHeight="1">
      <c r="A119" s="11" t="s">
        <v>1318</v>
      </c>
      <c r="B119" s="3" t="s">
        <v>1341</v>
      </c>
      <c r="C119" s="11" t="s">
        <v>24</v>
      </c>
      <c r="D119" s="3"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3" t="s">
        <v>75</v>
      </c>
      <c r="AA119" s="3" t="s">
        <v>35</v>
      </c>
      <c r="AB119" s="3" t="s">
        <v>64</v>
      </c>
      <c r="AC119" s="4" t="s">
        <v>5030</v>
      </c>
      <c r="AD119" s="4" t="s">
        <v>1358</v>
      </c>
    </row>
    <row r="120" spans="1:30" ht="144.5" customHeight="1">
      <c r="A120" s="11" t="s">
        <v>1319</v>
      </c>
      <c r="B120" s="3" t="s">
        <v>1342</v>
      </c>
      <c r="C120" s="11" t="s">
        <v>24</v>
      </c>
      <c r="D120" s="3"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3" t="s">
        <v>75</v>
      </c>
      <c r="AA120" s="3" t="s">
        <v>35</v>
      </c>
      <c r="AB120" s="3" t="s">
        <v>64</v>
      </c>
      <c r="AC120" s="4" t="s">
        <v>5030</v>
      </c>
      <c r="AD120" s="4" t="s">
        <v>1359</v>
      </c>
    </row>
    <row r="121" spans="1:30" ht="110.5" customHeight="1">
      <c r="A121" s="11" t="s">
        <v>1319</v>
      </c>
      <c r="B121" s="3" t="s">
        <v>1343</v>
      </c>
      <c r="C121" s="11" t="s">
        <v>24</v>
      </c>
      <c r="D121" s="3"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3" t="s">
        <v>75</v>
      </c>
      <c r="AA121" s="3" t="s">
        <v>35</v>
      </c>
      <c r="AB121" s="3" t="s">
        <v>64</v>
      </c>
      <c r="AC121" s="4" t="s">
        <v>5030</v>
      </c>
      <c r="AD121" s="4" t="s">
        <v>1358</v>
      </c>
    </row>
    <row r="122" spans="1:30" ht="153" customHeight="1">
      <c r="A122" s="11" t="s">
        <v>1320</v>
      </c>
      <c r="B122" s="3" t="s">
        <v>1344</v>
      </c>
      <c r="C122" s="11" t="s">
        <v>24</v>
      </c>
      <c r="D122" s="3" t="s">
        <v>2659</v>
      </c>
      <c r="E122" s="4" t="s">
        <v>396</v>
      </c>
      <c r="F122" s="19" t="s">
        <v>28</v>
      </c>
      <c r="G122" s="11" t="s">
        <v>2276</v>
      </c>
      <c r="H122" s="3"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3" t="s">
        <v>75</v>
      </c>
      <c r="AA122" s="3" t="s">
        <v>35</v>
      </c>
      <c r="AB122" s="3" t="s">
        <v>64</v>
      </c>
      <c r="AC122" s="4" t="s">
        <v>5030</v>
      </c>
      <c r="AD122" s="4" t="s">
        <v>1359</v>
      </c>
    </row>
    <row r="123" spans="1:30" ht="101" customHeight="1">
      <c r="A123" s="11" t="s">
        <v>1320</v>
      </c>
      <c r="B123" s="3" t="s">
        <v>1345</v>
      </c>
      <c r="C123" s="11" t="s">
        <v>24</v>
      </c>
      <c r="D123" s="3"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3" t="s">
        <v>75</v>
      </c>
      <c r="AA123" s="3" t="s">
        <v>35</v>
      </c>
      <c r="AB123" s="3" t="s">
        <v>64</v>
      </c>
      <c r="AC123" s="4" t="s">
        <v>5030</v>
      </c>
      <c r="AD123" s="4" t="s">
        <v>1358</v>
      </c>
    </row>
    <row r="124" spans="1:30" ht="142" customHeight="1">
      <c r="A124" s="11" t="s">
        <v>1321</v>
      </c>
      <c r="B124" s="3" t="s">
        <v>1346</v>
      </c>
      <c r="C124" s="11" t="s">
        <v>24</v>
      </c>
      <c r="D124" s="3"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3" t="s">
        <v>75</v>
      </c>
      <c r="AA124" s="3" t="s">
        <v>35</v>
      </c>
      <c r="AB124" s="3" t="s">
        <v>64</v>
      </c>
      <c r="AC124" s="4" t="s">
        <v>5030</v>
      </c>
      <c r="AD124" s="4" t="s">
        <v>1359</v>
      </c>
    </row>
    <row r="125" spans="1:30" ht="105.5" customHeight="1">
      <c r="A125" s="11" t="s">
        <v>1321</v>
      </c>
      <c r="B125" s="3" t="s">
        <v>1347</v>
      </c>
      <c r="C125" s="11" t="s">
        <v>24</v>
      </c>
      <c r="D125" s="3"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3" t="s">
        <v>75</v>
      </c>
      <c r="AA125" s="3" t="s">
        <v>35</v>
      </c>
      <c r="AB125" s="3" t="s">
        <v>64</v>
      </c>
      <c r="AC125" s="4" t="s">
        <v>5030</v>
      </c>
      <c r="AD125" s="4" t="s">
        <v>1358</v>
      </c>
    </row>
    <row r="126" spans="1:30" ht="151" customHeight="1">
      <c r="A126" s="11" t="s">
        <v>1322</v>
      </c>
      <c r="B126" s="3" t="s">
        <v>1348</v>
      </c>
      <c r="C126" s="11" t="s">
        <v>24</v>
      </c>
      <c r="D126" s="3"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3" t="s">
        <v>75</v>
      </c>
      <c r="AA126" s="3" t="s">
        <v>35</v>
      </c>
      <c r="AB126" s="3" t="s">
        <v>64</v>
      </c>
      <c r="AC126" s="4" t="s">
        <v>5030</v>
      </c>
      <c r="AD126" s="4" t="s">
        <v>1359</v>
      </c>
    </row>
    <row r="127" spans="1:30" ht="110.5" customHeight="1">
      <c r="A127" s="11" t="s">
        <v>1322</v>
      </c>
      <c r="B127" s="3" t="s">
        <v>1349</v>
      </c>
      <c r="C127" s="11" t="s">
        <v>24</v>
      </c>
      <c r="D127" s="3"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3" t="s">
        <v>75</v>
      </c>
      <c r="AA127" s="3" t="s">
        <v>35</v>
      </c>
      <c r="AB127" s="3" t="s">
        <v>64</v>
      </c>
      <c r="AC127" s="4" t="s">
        <v>5030</v>
      </c>
      <c r="AD127" s="4" t="s">
        <v>1358</v>
      </c>
    </row>
    <row r="128" spans="1:30" ht="110.5" customHeight="1">
      <c r="A128" s="11" t="s">
        <v>1323</v>
      </c>
      <c r="B128" s="3" t="s">
        <v>1350</v>
      </c>
      <c r="C128" s="11" t="s">
        <v>24</v>
      </c>
      <c r="D128" s="3"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3" t="s">
        <v>75</v>
      </c>
      <c r="AA128" s="3" t="s">
        <v>35</v>
      </c>
      <c r="AB128" s="3" t="s">
        <v>64</v>
      </c>
      <c r="AC128" s="4" t="s">
        <v>5030</v>
      </c>
      <c r="AD128" s="4" t="s">
        <v>1359</v>
      </c>
    </row>
    <row r="129" spans="1:30" ht="110.5" customHeight="1">
      <c r="A129" s="11" t="s">
        <v>1323</v>
      </c>
      <c r="B129" s="3" t="s">
        <v>1351</v>
      </c>
      <c r="C129" s="11" t="s">
        <v>24</v>
      </c>
      <c r="D129" s="3"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3" t="s">
        <v>75</v>
      </c>
      <c r="AA129" s="3"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3"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3"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3"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3"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3"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3"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3"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3"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3" t="s">
        <v>1366</v>
      </c>
      <c r="C139" s="11" t="s">
        <v>24</v>
      </c>
      <c r="D139" s="3" t="s">
        <v>2659</v>
      </c>
      <c r="E139" s="4" t="s">
        <v>84</v>
      </c>
      <c r="F139" s="19" t="s">
        <v>28</v>
      </c>
      <c r="G139" s="11" t="s">
        <v>2276</v>
      </c>
      <c r="H139" s="3"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3"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3"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3"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3"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3"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3"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3"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3"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3"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3"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3"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3"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3"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3"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3"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3" t="s">
        <v>2300</v>
      </c>
      <c r="C155" s="23" t="s">
        <v>24</v>
      </c>
      <c r="D155" s="11" t="s">
        <v>2305</v>
      </c>
      <c r="E155" s="3" t="s">
        <v>116</v>
      </c>
      <c r="F155" s="4" t="s">
        <v>74</v>
      </c>
      <c r="G155" s="3" t="s">
        <v>2276</v>
      </c>
      <c r="H155" s="3"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3"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3"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3"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3"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3"/>
      <c r="AD159" s="4" t="s">
        <v>5023</v>
      </c>
    </row>
    <row r="160" spans="1:30" ht="150.5" customHeight="1">
      <c r="A160" s="11" t="s">
        <v>162</v>
      </c>
      <c r="B160" s="3"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3"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3"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3"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3"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3"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3"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3"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3"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3"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3"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3" t="s">
        <v>1399</v>
      </c>
      <c r="C171" s="23" t="s">
        <v>24</v>
      </c>
      <c r="D171" s="11" t="s">
        <v>143</v>
      </c>
      <c r="E171" s="19" t="s">
        <v>396</v>
      </c>
      <c r="F171" s="19" t="s">
        <v>74</v>
      </c>
      <c r="G171" s="11" t="s">
        <v>74</v>
      </c>
      <c r="H171" s="3"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3"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3"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3"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3"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3"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3"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3"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3"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3"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3"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3"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3"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3"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3" t="s">
        <v>1426</v>
      </c>
      <c r="C185" s="23" t="s">
        <v>24</v>
      </c>
      <c r="D185" s="11" t="s">
        <v>143</v>
      </c>
      <c r="E185" s="19" t="s">
        <v>45</v>
      </c>
      <c r="F185" s="19" t="s">
        <v>74</v>
      </c>
      <c r="G185" s="11" t="s">
        <v>74</v>
      </c>
      <c r="H185" s="3"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3"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3"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3"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3"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3"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3"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3"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3"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3"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3"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3">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3">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3">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3"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3" t="s">
        <v>2276</v>
      </c>
      <c r="AC199" s="4" t="s">
        <v>1398</v>
      </c>
      <c r="AD199" s="4" t="s">
        <v>1442</v>
      </c>
    </row>
    <row r="200" spans="1:30" ht="112.5" customHeight="1">
      <c r="A200" s="11" t="s">
        <v>163</v>
      </c>
      <c r="B200" s="3"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3" t="s">
        <v>2276</v>
      </c>
      <c r="AC200" s="4" t="s">
        <v>1398</v>
      </c>
      <c r="AD200" s="4" t="s">
        <v>1442</v>
      </c>
    </row>
    <row r="201" spans="1:30" ht="112.5" customHeight="1">
      <c r="A201" s="11" t="s">
        <v>163</v>
      </c>
      <c r="B201" s="3"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3" t="s">
        <v>2276</v>
      </c>
      <c r="AC201" s="4" t="s">
        <v>1398</v>
      </c>
      <c r="AD201" s="4" t="s">
        <v>1442</v>
      </c>
    </row>
    <row r="202" spans="1:30" ht="112.5" customHeight="1">
      <c r="A202" s="11" t="s">
        <v>163</v>
      </c>
      <c r="B202" s="3"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3" t="s">
        <v>2276</v>
      </c>
      <c r="AC202" s="4" t="s">
        <v>1398</v>
      </c>
      <c r="AD202" s="4" t="s">
        <v>1442</v>
      </c>
    </row>
    <row r="203" spans="1:30" ht="112.5" customHeight="1">
      <c r="A203" s="11" t="s">
        <v>163</v>
      </c>
      <c r="B203" s="3"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3"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3"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3"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3"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3"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3"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3"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3"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3"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3"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3"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3"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3"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3"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3"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3"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3"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3"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3"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3"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3"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3"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3"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3"/>
      <c r="AD226" s="4" t="s">
        <v>1459</v>
      </c>
    </row>
    <row r="227" spans="1:30" ht="52.5" customHeight="1">
      <c r="A227" s="11" t="s">
        <v>175</v>
      </c>
      <c r="B227" s="3"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3"/>
      <c r="AD227" s="4" t="s">
        <v>1459</v>
      </c>
    </row>
    <row r="228" spans="1:30" ht="59.5" customHeight="1">
      <c r="A228" s="11" t="s">
        <v>176</v>
      </c>
      <c r="B228" s="3"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3"/>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3"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3"/>
      <c r="AD231" s="10"/>
    </row>
    <row r="232" spans="1:30" ht="108" customHeight="1">
      <c r="A232" s="3"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3"/>
      <c r="AD232" s="10" t="s">
        <v>415</v>
      </c>
    </row>
    <row r="233" spans="1:30" ht="76.5" customHeight="1">
      <c r="A233" s="3"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3"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3" t="s">
        <v>383</v>
      </c>
      <c r="B235" s="3"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3"/>
      <c r="AD235" s="10"/>
    </row>
    <row r="236" spans="1:30" ht="103" customHeight="1">
      <c r="A236" s="3" t="s">
        <v>383</v>
      </c>
      <c r="B236" s="3"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3"/>
      <c r="AD236" s="10" t="s">
        <v>415</v>
      </c>
    </row>
    <row r="237" spans="1:30" ht="66.5" customHeight="1">
      <c r="A237" s="3"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3" t="s">
        <v>388</v>
      </c>
      <c r="B238" s="3"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3" t="s">
        <v>388</v>
      </c>
      <c r="B239" s="3"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3" t="s">
        <v>389</v>
      </c>
      <c r="B240" s="3"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3"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3"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3"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3"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3"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3"/>
    </row>
    <row r="253" spans="1:30" ht="66" customHeight="1">
      <c r="A253" s="3" t="s">
        <v>455</v>
      </c>
      <c r="B253" s="3"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3"/>
    </row>
    <row r="254" spans="1:30" ht="79.5" customHeight="1">
      <c r="A254" s="3" t="s">
        <v>455</v>
      </c>
      <c r="B254" s="3"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3"/>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3"/>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3"/>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3"/>
      <c r="AD257" s="3"/>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3"/>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3"/>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3"/>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3"/>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3"/>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3"/>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3"/>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3"/>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3"/>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3"/>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3"/>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3"/>
    </row>
    <row r="286" spans="1:30" ht="135" customHeight="1">
      <c r="A286" s="3"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3"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3" t="s">
        <v>2276</v>
      </c>
      <c r="AA355" s="3" t="s">
        <v>2276</v>
      </c>
      <c r="AB355" s="3"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3"/>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3" t="s">
        <v>2276</v>
      </c>
      <c r="AA366" s="3" t="s">
        <v>2276</v>
      </c>
      <c r="AB366" s="3"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3"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3"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3"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3"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3"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3"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3" t="s">
        <v>1966</v>
      </c>
      <c r="AD442" s="4"/>
    </row>
    <row r="443" spans="1:30" ht="55" customHeight="1">
      <c r="A443" s="11" t="s">
        <v>588</v>
      </c>
      <c r="B443" s="11" t="s">
        <v>591</v>
      </c>
      <c r="C443" s="23" t="s">
        <v>24</v>
      </c>
      <c r="D443" s="23" t="s">
        <v>27</v>
      </c>
      <c r="E443" s="26" t="s">
        <v>130</v>
      </c>
      <c r="F443" s="19" t="s">
        <v>161</v>
      </c>
      <c r="G443" s="11" t="s">
        <v>2276</v>
      </c>
      <c r="H443" s="19" t="s">
        <v>523</v>
      </c>
      <c r="I443" s="3"/>
      <c r="J443" s="3" t="s">
        <v>2276</v>
      </c>
      <c r="K443" s="3" t="s">
        <v>2276</v>
      </c>
      <c r="L443" s="3" t="s">
        <v>2276</v>
      </c>
      <c r="M443" s="3" t="s">
        <v>2276</v>
      </c>
      <c r="N443" s="3" t="s">
        <v>2276</v>
      </c>
      <c r="O443" s="3" t="s">
        <v>2276</v>
      </c>
      <c r="P443" s="3" t="s">
        <v>2276</v>
      </c>
      <c r="Q443" s="21" t="s">
        <v>2276</v>
      </c>
      <c r="R443" s="21" t="s">
        <v>2276</v>
      </c>
      <c r="S443" s="3" t="s">
        <v>2276</v>
      </c>
      <c r="T443" s="3" t="s">
        <v>2276</v>
      </c>
      <c r="U443" s="3" t="s">
        <v>2276</v>
      </c>
      <c r="V443" s="3" t="s">
        <v>2276</v>
      </c>
      <c r="W443" s="3" t="s">
        <v>2276</v>
      </c>
      <c r="X443" s="3"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3"/>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3"/>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3"/>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3"/>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3"/>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3"/>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3"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3"/>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3"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3"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3" t="s">
        <v>582</v>
      </c>
    </row>
    <row r="470" spans="1:30" ht="56" customHeight="1">
      <c r="A470" s="11" t="s">
        <v>674</v>
      </c>
      <c r="B470" s="3"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3"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3"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3"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3"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3"/>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3"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3"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3"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3"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3" t="s">
        <v>725</v>
      </c>
      <c r="B493" s="3"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3" t="s">
        <v>725</v>
      </c>
      <c r="B494" s="3"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3" t="s">
        <v>746</v>
      </c>
      <c r="AD494" s="3"/>
    </row>
    <row r="495" spans="1:30" ht="38" customHeight="1">
      <c r="A495" s="3" t="s">
        <v>726</v>
      </c>
      <c r="B495" s="3"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3" t="s">
        <v>718</v>
      </c>
      <c r="AD495" s="3" t="s">
        <v>2044</v>
      </c>
    </row>
    <row r="496" spans="1:30" ht="38" customHeight="1">
      <c r="A496" s="3" t="s">
        <v>726</v>
      </c>
      <c r="B496" s="3"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3"/>
    </row>
    <row r="497" spans="1:30" ht="37" customHeight="1">
      <c r="A497" s="3" t="s">
        <v>727</v>
      </c>
      <c r="B497" s="3"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3" t="s">
        <v>2044</v>
      </c>
    </row>
    <row r="498" spans="1:30" ht="38.5" customHeight="1">
      <c r="A498" s="3" t="s">
        <v>727</v>
      </c>
      <c r="B498" s="3"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3" t="s">
        <v>746</v>
      </c>
      <c r="AD498" s="3"/>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3"/>
    </row>
    <row r="500" spans="1:30" ht="48.5" customHeight="1">
      <c r="A500" s="11" t="s">
        <v>753</v>
      </c>
      <c r="B500" s="11" t="s">
        <v>763</v>
      </c>
      <c r="C500" s="23" t="s">
        <v>24</v>
      </c>
      <c r="D500" s="23" t="s">
        <v>27</v>
      </c>
      <c r="E500" s="11" t="s">
        <v>130</v>
      </c>
      <c r="F500" s="19" t="s">
        <v>161</v>
      </c>
      <c r="G500" s="19" t="s">
        <v>2276</v>
      </c>
      <c r="H500" s="3"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3"/>
      <c r="AD500" s="4" t="s">
        <v>5017</v>
      </c>
    </row>
    <row r="501" spans="1:30" ht="52.5" customHeight="1">
      <c r="A501" s="11" t="s">
        <v>756</v>
      </c>
      <c r="B501" s="11" t="s">
        <v>764</v>
      </c>
      <c r="C501" s="23" t="s">
        <v>24</v>
      </c>
      <c r="D501" s="23" t="s">
        <v>27</v>
      </c>
      <c r="E501" s="11" t="s">
        <v>130</v>
      </c>
      <c r="F501" s="19" t="s">
        <v>161</v>
      </c>
      <c r="G501" s="19" t="s">
        <v>2276</v>
      </c>
      <c r="H501" s="3"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3"/>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3"/>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3"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3"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3"/>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3"/>
      <c r="AD511" s="4" t="s">
        <v>2051</v>
      </c>
    </row>
    <row r="512" spans="1:30" ht="50" customHeight="1">
      <c r="A512" s="11" t="s">
        <v>784</v>
      </c>
      <c r="B512" s="11" t="s">
        <v>794</v>
      </c>
      <c r="C512" s="23" t="s">
        <v>24</v>
      </c>
      <c r="D512" s="23" t="s">
        <v>27</v>
      </c>
      <c r="E512" s="19" t="s">
        <v>397</v>
      </c>
      <c r="F512" s="19" t="s">
        <v>28</v>
      </c>
      <c r="G512" s="19" t="s">
        <v>2276</v>
      </c>
      <c r="H512" s="3"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3" t="s">
        <v>746</v>
      </c>
      <c r="AD512" s="3"/>
    </row>
    <row r="513" spans="1:30" ht="53.5" customHeight="1">
      <c r="A513" s="11" t="s">
        <v>789</v>
      </c>
      <c r="B513" s="11" t="s">
        <v>795</v>
      </c>
      <c r="C513" s="23" t="s">
        <v>24</v>
      </c>
      <c r="D513" s="23" t="s">
        <v>27</v>
      </c>
      <c r="E513" s="11" t="s">
        <v>130</v>
      </c>
      <c r="F513" s="19" t="s">
        <v>161</v>
      </c>
      <c r="G513" s="19" t="s">
        <v>2276</v>
      </c>
      <c r="H513" s="3"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3"/>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3" t="s">
        <v>746</v>
      </c>
      <c r="AD514" s="3"/>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3"/>
      <c r="AD515" s="3"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3"/>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3"/>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3"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3"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3"/>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3"/>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3" t="s">
        <v>833</v>
      </c>
      <c r="AD526" s="3"/>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3"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3"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3" t="s">
        <v>2276</v>
      </c>
      <c r="AA531" s="3" t="s">
        <v>2276</v>
      </c>
      <c r="AB531" s="3" t="s">
        <v>2276</v>
      </c>
      <c r="AC531" s="4"/>
      <c r="AD531" s="4" t="s">
        <v>2419</v>
      </c>
    </row>
    <row r="532" spans="1:30" ht="37.5" customHeight="1">
      <c r="A532" s="3" t="s">
        <v>846</v>
      </c>
      <c r="B532" s="3"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3"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3"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3"/>
      <c r="AD534" s="3"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3"/>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3"/>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3"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3"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3"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3"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3"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3" t="s">
        <v>911</v>
      </c>
      <c r="B599" s="3"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3" t="s">
        <v>911</v>
      </c>
      <c r="B600" s="3"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3"/>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5078</v>
      </c>
      <c r="AD610" s="103"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3"/>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3"/>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3"/>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3"/>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3"/>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3"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3"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3"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3"/>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3"/>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3"/>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3"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3"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3"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3"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3"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3"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3"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3"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3"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3"/>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3"/>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3"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3"/>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3"/>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3"/>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3"/>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3"/>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3"/>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3"/>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3"/>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3"/>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3"/>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3"/>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3"/>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3"/>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3"/>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3"/>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3"/>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3"/>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3"/>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3"/>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3"/>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3"/>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3"/>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3"/>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3"/>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3"/>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3"/>
      <c r="AD683" s="3"/>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3"/>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3"/>
      <c r="AD685" s="3"/>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3"/>
      <c r="AD686" s="3"/>
    </row>
    <row r="687" spans="1:30" ht="49.5" customHeight="1">
      <c r="A687" s="23" t="s">
        <v>1145</v>
      </c>
      <c r="B687" s="3"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3"/>
    </row>
    <row r="688" spans="1:30" ht="49.5" customHeight="1">
      <c r="A688" s="23" t="s">
        <v>1503</v>
      </c>
      <c r="B688" s="3" t="s">
        <v>1653</v>
      </c>
      <c r="C688" s="23" t="s">
        <v>24</v>
      </c>
      <c r="D688" s="23" t="s">
        <v>143</v>
      </c>
      <c r="E688" s="3"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3"/>
    </row>
    <row r="689" spans="1:30" ht="49.5" customHeight="1">
      <c r="A689" s="23" t="s">
        <v>1504</v>
      </c>
      <c r="B689" s="3" t="s">
        <v>1654</v>
      </c>
      <c r="C689" s="23" t="s">
        <v>24</v>
      </c>
      <c r="D689" s="23" t="s">
        <v>143</v>
      </c>
      <c r="E689" s="3"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3"/>
    </row>
    <row r="690" spans="1:30" ht="49.5" customHeight="1">
      <c r="A690" s="23" t="s">
        <v>1505</v>
      </c>
      <c r="B690" s="3" t="s">
        <v>1655</v>
      </c>
      <c r="C690" s="23" t="s">
        <v>24</v>
      </c>
      <c r="D690" s="23" t="s">
        <v>143</v>
      </c>
      <c r="E690" s="3"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3"/>
    </row>
    <row r="691" spans="1:30" ht="49.5" customHeight="1">
      <c r="A691" s="23" t="s">
        <v>1506</v>
      </c>
      <c r="B691" s="3"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3" t="s">
        <v>2276</v>
      </c>
      <c r="AA691" s="3" t="s">
        <v>2276</v>
      </c>
      <c r="AB691" s="3" t="s">
        <v>2276</v>
      </c>
      <c r="AC691" s="4" t="s">
        <v>1726</v>
      </c>
      <c r="AD691" s="3"/>
    </row>
    <row r="692" spans="1:30" ht="49.5" customHeight="1">
      <c r="A692" s="23" t="s">
        <v>1507</v>
      </c>
      <c r="B692" s="3"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3" t="s">
        <v>2276</v>
      </c>
      <c r="AA692" s="3" t="s">
        <v>2276</v>
      </c>
      <c r="AB692" s="3" t="s">
        <v>2276</v>
      </c>
      <c r="AC692" s="4" t="s">
        <v>1726</v>
      </c>
      <c r="AD692" s="3"/>
    </row>
    <row r="693" spans="1:30" ht="49.5" customHeight="1">
      <c r="A693" s="23" t="s">
        <v>1508</v>
      </c>
      <c r="B693" s="3" t="s">
        <v>1658</v>
      </c>
      <c r="C693" s="23" t="s">
        <v>24</v>
      </c>
      <c r="D693" s="23" t="s">
        <v>143</v>
      </c>
      <c r="E693" s="3"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3" t="s">
        <v>2276</v>
      </c>
      <c r="AA693" s="3" t="s">
        <v>2276</v>
      </c>
      <c r="AB693" s="3" t="s">
        <v>2276</v>
      </c>
      <c r="AC693" s="4" t="s">
        <v>1726</v>
      </c>
      <c r="AD693" s="3"/>
    </row>
    <row r="694" spans="1:30" ht="49.5" customHeight="1">
      <c r="A694" s="23" t="s">
        <v>1509</v>
      </c>
      <c r="B694" s="3" t="s">
        <v>1659</v>
      </c>
      <c r="C694" s="23" t="s">
        <v>24</v>
      </c>
      <c r="D694" s="23" t="s">
        <v>143</v>
      </c>
      <c r="E694" s="3"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3" t="s">
        <v>2276</v>
      </c>
      <c r="AA694" s="3" t="s">
        <v>2276</v>
      </c>
      <c r="AB694" s="3" t="s">
        <v>2276</v>
      </c>
      <c r="AC694" s="4" t="s">
        <v>1726</v>
      </c>
      <c r="AD694" s="3"/>
    </row>
    <row r="695" spans="1:30" ht="49.5" customHeight="1">
      <c r="A695" s="23" t="s">
        <v>1510</v>
      </c>
      <c r="B695" s="3" t="s">
        <v>1660</v>
      </c>
      <c r="C695" s="23" t="s">
        <v>24</v>
      </c>
      <c r="D695" s="23" t="s">
        <v>143</v>
      </c>
      <c r="E695" s="3"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3" t="s">
        <v>2276</v>
      </c>
      <c r="AA695" s="3" t="s">
        <v>2276</v>
      </c>
      <c r="AB695" s="3" t="s">
        <v>2276</v>
      </c>
      <c r="AC695" s="4" t="s">
        <v>1726</v>
      </c>
      <c r="AD695" s="3"/>
    </row>
    <row r="696" spans="1:30" ht="49.5" customHeight="1">
      <c r="A696" s="23" t="s">
        <v>1511</v>
      </c>
      <c r="B696" s="3" t="s">
        <v>1661</v>
      </c>
      <c r="C696" s="23" t="s">
        <v>24</v>
      </c>
      <c r="D696" s="23" t="s">
        <v>143</v>
      </c>
      <c r="E696" s="3"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3" t="s">
        <v>2276</v>
      </c>
      <c r="AA696" s="3" t="s">
        <v>2276</v>
      </c>
      <c r="AB696" s="3" t="s">
        <v>2276</v>
      </c>
      <c r="AC696" s="4" t="s">
        <v>1726</v>
      </c>
      <c r="AD696" s="3"/>
    </row>
    <row r="697" spans="1:30" ht="49.5" customHeight="1">
      <c r="A697" s="23" t="s">
        <v>1512</v>
      </c>
      <c r="B697" s="3"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3" t="s">
        <v>2276</v>
      </c>
      <c r="AA697" s="3" t="s">
        <v>2276</v>
      </c>
      <c r="AB697" s="3" t="s">
        <v>2276</v>
      </c>
      <c r="AC697" s="4" t="s">
        <v>1726</v>
      </c>
      <c r="AD697" s="3"/>
    </row>
    <row r="698" spans="1:30" ht="49.5" customHeight="1">
      <c r="A698" s="23" t="s">
        <v>1513</v>
      </c>
      <c r="B698" s="3"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3" t="s">
        <v>2276</v>
      </c>
      <c r="AA698" s="3" t="s">
        <v>2276</v>
      </c>
      <c r="AB698" s="3" t="s">
        <v>2276</v>
      </c>
      <c r="AC698" s="4" t="s">
        <v>1726</v>
      </c>
      <c r="AD698" s="3"/>
    </row>
    <row r="699" spans="1:30" ht="49.5" customHeight="1">
      <c r="A699" s="23" t="s">
        <v>1514</v>
      </c>
      <c r="B699" s="3"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3" t="s">
        <v>2276</v>
      </c>
      <c r="AA699" s="3" t="s">
        <v>2276</v>
      </c>
      <c r="AB699" s="3" t="s">
        <v>2276</v>
      </c>
      <c r="AC699" s="4" t="s">
        <v>1726</v>
      </c>
      <c r="AD699" s="3"/>
    </row>
    <row r="700" spans="1:30" ht="49.5" customHeight="1">
      <c r="A700" s="23" t="s">
        <v>1515</v>
      </c>
      <c r="B700" s="3"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3" t="s">
        <v>2276</v>
      </c>
      <c r="AA700" s="3" t="s">
        <v>2276</v>
      </c>
      <c r="AB700" s="3" t="s">
        <v>2276</v>
      </c>
      <c r="AC700" s="4" t="s">
        <v>1726</v>
      </c>
      <c r="AD700" s="3"/>
    </row>
    <row r="701" spans="1:30" ht="49.5" customHeight="1">
      <c r="A701" s="23" t="s">
        <v>1516</v>
      </c>
      <c r="B701" s="3"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3" t="s">
        <v>2276</v>
      </c>
      <c r="AA701" s="3" t="s">
        <v>2276</v>
      </c>
      <c r="AB701" s="3" t="s">
        <v>2276</v>
      </c>
      <c r="AC701" s="4" t="s">
        <v>1726</v>
      </c>
      <c r="AD701" s="3"/>
    </row>
    <row r="702" spans="1:30" ht="49.5" customHeight="1">
      <c r="A702" s="23" t="s">
        <v>1517</v>
      </c>
      <c r="B702" s="3"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3" t="s">
        <v>2276</v>
      </c>
      <c r="AA702" s="3" t="s">
        <v>2276</v>
      </c>
      <c r="AB702" s="3" t="s">
        <v>2276</v>
      </c>
      <c r="AC702" s="4" t="s">
        <v>1726</v>
      </c>
      <c r="AD702" s="3"/>
    </row>
    <row r="703" spans="1:30" ht="49.5" customHeight="1">
      <c r="A703" s="23" t="s">
        <v>1518</v>
      </c>
      <c r="B703" s="3"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3" t="s">
        <v>2276</v>
      </c>
      <c r="AA703" s="3" t="s">
        <v>2276</v>
      </c>
      <c r="AB703" s="3" t="s">
        <v>2276</v>
      </c>
      <c r="AC703" s="4" t="s">
        <v>1726</v>
      </c>
      <c r="AD703" s="3"/>
    </row>
    <row r="704" spans="1:30" ht="49.5" customHeight="1">
      <c r="A704" s="23" t="s">
        <v>1519</v>
      </c>
      <c r="B704" s="3"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3" t="s">
        <v>2276</v>
      </c>
      <c r="AA704" s="3" t="s">
        <v>2276</v>
      </c>
      <c r="AB704" s="3" t="s">
        <v>2276</v>
      </c>
      <c r="AC704" s="4" t="s">
        <v>1726</v>
      </c>
      <c r="AD704" s="3"/>
    </row>
    <row r="705" spans="1:30" ht="49.5" customHeight="1">
      <c r="A705" s="23" t="s">
        <v>1520</v>
      </c>
      <c r="B705" s="3"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3" t="s">
        <v>2276</v>
      </c>
      <c r="AA705" s="3" t="s">
        <v>2276</v>
      </c>
      <c r="AB705" s="3" t="s">
        <v>2276</v>
      </c>
      <c r="AC705" s="4" t="s">
        <v>1726</v>
      </c>
      <c r="AD705" s="3"/>
    </row>
    <row r="706" spans="1:30" ht="49.5" customHeight="1">
      <c r="A706" s="23" t="s">
        <v>1521</v>
      </c>
      <c r="B706" s="3"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3" t="s">
        <v>2276</v>
      </c>
      <c r="AA706" s="3" t="s">
        <v>2276</v>
      </c>
      <c r="AB706" s="3"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3"/>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3"/>
    </row>
    <row r="709" spans="1:30" ht="49.5" customHeight="1">
      <c r="A709" s="23" t="s">
        <v>1524</v>
      </c>
      <c r="B709" s="3" t="s">
        <v>1674</v>
      </c>
      <c r="C709" s="23" t="s">
        <v>24</v>
      </c>
      <c r="D709" s="23" t="s">
        <v>143</v>
      </c>
      <c r="E709" s="3"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3" t="s">
        <v>2276</v>
      </c>
      <c r="AA709" s="3" t="s">
        <v>2276</v>
      </c>
      <c r="AB709" s="3" t="s">
        <v>2276</v>
      </c>
      <c r="AC709" s="4" t="s">
        <v>1726</v>
      </c>
      <c r="AD709" s="3"/>
    </row>
    <row r="710" spans="1:30" ht="49.5" customHeight="1">
      <c r="A710" s="23" t="s">
        <v>1525</v>
      </c>
      <c r="B710" s="3" t="s">
        <v>1675</v>
      </c>
      <c r="C710" s="23" t="s">
        <v>24</v>
      </c>
      <c r="D710" s="23" t="s">
        <v>143</v>
      </c>
      <c r="E710" s="3"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3" t="s">
        <v>2276</v>
      </c>
      <c r="AA710" s="3" t="s">
        <v>2276</v>
      </c>
      <c r="AB710" s="3" t="s">
        <v>2276</v>
      </c>
      <c r="AC710" s="4" t="s">
        <v>1726</v>
      </c>
      <c r="AD710" s="3"/>
    </row>
    <row r="711" spans="1:30" ht="49.5" customHeight="1">
      <c r="A711" s="23" t="s">
        <v>1526</v>
      </c>
      <c r="B711" s="3" t="s">
        <v>1676</v>
      </c>
      <c r="C711" s="23" t="s">
        <v>24</v>
      </c>
      <c r="D711" s="23" t="s">
        <v>143</v>
      </c>
      <c r="E711" s="3"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3" t="s">
        <v>2276</v>
      </c>
      <c r="AA711" s="3" t="s">
        <v>2276</v>
      </c>
      <c r="AB711" s="3" t="s">
        <v>2276</v>
      </c>
      <c r="AC711" s="4" t="s">
        <v>1726</v>
      </c>
      <c r="AD711" s="3"/>
    </row>
    <row r="712" spans="1:30" ht="49.5" customHeight="1">
      <c r="A712" s="23" t="s">
        <v>1527</v>
      </c>
      <c r="B712" s="3" t="s">
        <v>1677</v>
      </c>
      <c r="C712" s="23" t="s">
        <v>24</v>
      </c>
      <c r="D712" s="23" t="s">
        <v>143</v>
      </c>
      <c r="E712" s="3"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3" t="s">
        <v>2276</v>
      </c>
      <c r="AA712" s="3" t="s">
        <v>2276</v>
      </c>
      <c r="AB712" s="3" t="s">
        <v>2276</v>
      </c>
      <c r="AC712" s="4" t="s">
        <v>1726</v>
      </c>
      <c r="AD712" s="3"/>
    </row>
    <row r="713" spans="1:30" ht="49.5" customHeight="1">
      <c r="A713" s="23" t="s">
        <v>1528</v>
      </c>
      <c r="B713" s="3" t="s">
        <v>1678</v>
      </c>
      <c r="C713" s="23" t="s">
        <v>24</v>
      </c>
      <c r="D713" s="23" t="s">
        <v>143</v>
      </c>
      <c r="E713" s="3"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3" t="s">
        <v>2276</v>
      </c>
      <c r="AA713" s="3" t="s">
        <v>2276</v>
      </c>
      <c r="AB713" s="3" t="s">
        <v>2276</v>
      </c>
      <c r="AC713" s="4" t="s">
        <v>1726</v>
      </c>
      <c r="AD713" s="3"/>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3"/>
    </row>
    <row r="715" spans="1:30" ht="49.5" customHeight="1">
      <c r="A715" s="23" t="s">
        <v>1530</v>
      </c>
      <c r="B715" s="3" t="s">
        <v>1680</v>
      </c>
      <c r="C715" s="23" t="s">
        <v>24</v>
      </c>
      <c r="D715" s="23" t="s">
        <v>143</v>
      </c>
      <c r="E715" s="3"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3"/>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3"/>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3"/>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3"/>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3"/>
    </row>
    <row r="720" spans="1:30" ht="49.5" customHeight="1">
      <c r="A720" s="23" t="s">
        <v>1535</v>
      </c>
      <c r="B720" s="3"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3"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3"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3"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3"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3"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3"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3"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3"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3"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3" t="s">
        <v>2276</v>
      </c>
      <c r="AA729" s="3" t="s">
        <v>2276</v>
      </c>
      <c r="AB729" s="3" t="s">
        <v>2276</v>
      </c>
      <c r="AC729" s="4" t="s">
        <v>1726</v>
      </c>
      <c r="AD729" s="3"/>
    </row>
    <row r="730" spans="1:30" ht="49.5" customHeight="1">
      <c r="A730" s="23" t="s">
        <v>1545</v>
      </c>
      <c r="B730" s="3"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3" t="s">
        <v>2276</v>
      </c>
      <c r="AA730" s="3" t="s">
        <v>2276</v>
      </c>
      <c r="AB730" s="3" t="s">
        <v>2276</v>
      </c>
      <c r="AC730" s="4" t="s">
        <v>1726</v>
      </c>
      <c r="AD730" s="3"/>
    </row>
    <row r="731" spans="1:30" ht="49.5" customHeight="1">
      <c r="A731" s="23" t="s">
        <v>1546</v>
      </c>
      <c r="B731" s="3"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3" t="s">
        <v>2276</v>
      </c>
      <c r="AA731" s="3" t="s">
        <v>2276</v>
      </c>
      <c r="AB731" s="3" t="s">
        <v>2276</v>
      </c>
      <c r="AC731" s="4" t="s">
        <v>1726</v>
      </c>
      <c r="AD731" s="3"/>
    </row>
    <row r="732" spans="1:30" ht="49.5" customHeight="1">
      <c r="A732" s="23" t="s">
        <v>1547</v>
      </c>
      <c r="B732" s="3"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3" t="s">
        <v>2276</v>
      </c>
      <c r="AA732" s="3" t="s">
        <v>2276</v>
      </c>
      <c r="AB732" s="3" t="s">
        <v>2276</v>
      </c>
      <c r="AC732" s="4" t="s">
        <v>1726</v>
      </c>
      <c r="AD732" s="3"/>
    </row>
    <row r="733" spans="1:30" ht="49.5" customHeight="1">
      <c r="A733" s="23" t="s">
        <v>1548</v>
      </c>
      <c r="B733" s="3"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3"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3" t="s">
        <v>2276</v>
      </c>
      <c r="AA734" s="3" t="s">
        <v>2276</v>
      </c>
      <c r="AB734" s="3" t="s">
        <v>2276</v>
      </c>
      <c r="AC734" s="4" t="s">
        <v>1726</v>
      </c>
      <c r="AD734" s="3"/>
    </row>
    <row r="735" spans="1:30" ht="49.5" customHeight="1">
      <c r="A735" s="23" t="s">
        <v>1550</v>
      </c>
      <c r="B735" s="3"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3" t="s">
        <v>2276</v>
      </c>
      <c r="AA735" s="3" t="s">
        <v>2276</v>
      </c>
      <c r="AB735" s="3" t="s">
        <v>2276</v>
      </c>
      <c r="AC735" s="4" t="s">
        <v>1726</v>
      </c>
      <c r="AD735" s="3"/>
    </row>
    <row r="736" spans="1:30" ht="49.5" customHeight="1">
      <c r="A736" s="23" t="s">
        <v>1551</v>
      </c>
      <c r="B736" s="3" t="s">
        <v>1701</v>
      </c>
      <c r="C736" s="23" t="s">
        <v>24</v>
      </c>
      <c r="D736" s="23" t="s">
        <v>143</v>
      </c>
      <c r="E736" s="3" t="s">
        <v>863</v>
      </c>
      <c r="F736" s="19" t="s">
        <v>74</v>
      </c>
      <c r="G736" s="19"/>
      <c r="H736" s="11" t="s">
        <v>524</v>
      </c>
      <c r="I736" s="3"/>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3" t="s">
        <v>2276</v>
      </c>
      <c r="AA736" s="3" t="s">
        <v>2276</v>
      </c>
      <c r="AB736" s="3" t="s">
        <v>2276</v>
      </c>
      <c r="AC736" s="4" t="s">
        <v>1726</v>
      </c>
      <c r="AD736" s="3"/>
    </row>
    <row r="737" spans="1:30" ht="49.5" customHeight="1">
      <c r="A737" s="23" t="s">
        <v>1552</v>
      </c>
      <c r="B737" s="3"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3" t="s">
        <v>2276</v>
      </c>
      <c r="AA737" s="3" t="s">
        <v>2276</v>
      </c>
      <c r="AB737" s="3" t="s">
        <v>2276</v>
      </c>
      <c r="AC737" s="4" t="s">
        <v>1726</v>
      </c>
      <c r="AD737" s="3"/>
    </row>
    <row r="738" spans="1:30" ht="49.5" customHeight="1">
      <c r="A738" s="23" t="s">
        <v>1553</v>
      </c>
      <c r="B738" s="3"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3" t="s">
        <v>2276</v>
      </c>
      <c r="AA738" s="3" t="s">
        <v>2276</v>
      </c>
      <c r="AB738" s="3" t="s">
        <v>2276</v>
      </c>
      <c r="AC738" s="4" t="s">
        <v>1726</v>
      </c>
      <c r="AD738" s="3"/>
    </row>
    <row r="739" spans="1:30" ht="49.5" customHeight="1">
      <c r="A739" s="23" t="s">
        <v>1554</v>
      </c>
      <c r="B739" s="3"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3" t="s">
        <v>2276</v>
      </c>
      <c r="AA739" s="3" t="s">
        <v>2276</v>
      </c>
      <c r="AB739" s="3" t="s">
        <v>2276</v>
      </c>
      <c r="AC739" s="4" t="s">
        <v>1726</v>
      </c>
      <c r="AD739" s="3"/>
    </row>
    <row r="740" spans="1:30" ht="49.5" customHeight="1">
      <c r="A740" s="23" t="s">
        <v>1555</v>
      </c>
      <c r="B740" s="3"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3" t="s">
        <v>2276</v>
      </c>
      <c r="AA740" s="3" t="s">
        <v>2276</v>
      </c>
      <c r="AB740" s="3" t="s">
        <v>2276</v>
      </c>
      <c r="AC740" s="4" t="s">
        <v>1726</v>
      </c>
      <c r="AD740" s="3"/>
    </row>
    <row r="741" spans="1:30" ht="49.5" customHeight="1">
      <c r="A741" s="23" t="s">
        <v>1556</v>
      </c>
      <c r="B741" s="3"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3"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3" t="s">
        <v>2276</v>
      </c>
      <c r="AA742" s="3" t="s">
        <v>2276</v>
      </c>
      <c r="AB742" s="3" t="s">
        <v>2276</v>
      </c>
      <c r="AC742" s="4" t="s">
        <v>1726</v>
      </c>
      <c r="AD742" s="3"/>
    </row>
    <row r="743" spans="1:30" ht="49.5" customHeight="1">
      <c r="A743" s="23" t="s">
        <v>1558</v>
      </c>
      <c r="B743" s="3"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3" t="s">
        <v>2276</v>
      </c>
      <c r="AA743" s="3" t="s">
        <v>2276</v>
      </c>
      <c r="AB743" s="3" t="s">
        <v>2276</v>
      </c>
      <c r="AC743" s="4" t="s">
        <v>1726</v>
      </c>
      <c r="AD743" s="3"/>
    </row>
    <row r="744" spans="1:30" ht="49.5" customHeight="1">
      <c r="A744" s="23" t="s">
        <v>1559</v>
      </c>
      <c r="B744" s="3"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3" t="s">
        <v>2276</v>
      </c>
      <c r="AA744" s="3" t="s">
        <v>2276</v>
      </c>
      <c r="AB744" s="3" t="s">
        <v>2276</v>
      </c>
      <c r="AC744" s="4" t="s">
        <v>1726</v>
      </c>
      <c r="AD744" s="3"/>
    </row>
    <row r="745" spans="1:30" ht="49.5" customHeight="1">
      <c r="A745" s="23" t="s">
        <v>1560</v>
      </c>
      <c r="B745" s="3"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3" t="s">
        <v>2276</v>
      </c>
      <c r="AA745" s="3" t="s">
        <v>2276</v>
      </c>
      <c r="AB745" s="3" t="s">
        <v>2276</v>
      </c>
      <c r="AC745" s="4" t="s">
        <v>1726</v>
      </c>
      <c r="AD745" s="3"/>
    </row>
    <row r="746" spans="1:30" ht="49.5" customHeight="1">
      <c r="A746" s="23" t="s">
        <v>1561</v>
      </c>
      <c r="B746" s="3" t="s">
        <v>1711</v>
      </c>
      <c r="C746" s="23" t="s">
        <v>24</v>
      </c>
      <c r="D746" s="23" t="s">
        <v>143</v>
      </c>
      <c r="E746" s="3" t="s">
        <v>863</v>
      </c>
      <c r="F746" s="19" t="s">
        <v>74</v>
      </c>
      <c r="G746" s="19"/>
      <c r="H746" s="11" t="s">
        <v>524</v>
      </c>
      <c r="I746" s="3"/>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3" t="s">
        <v>2276</v>
      </c>
      <c r="AA746" s="3" t="s">
        <v>2276</v>
      </c>
      <c r="AB746" s="3" t="s">
        <v>2276</v>
      </c>
      <c r="AC746" s="4" t="s">
        <v>1726</v>
      </c>
      <c r="AD746" s="3"/>
    </row>
    <row r="747" spans="1:30" ht="49.5" customHeight="1">
      <c r="A747" s="23" t="s">
        <v>1562</v>
      </c>
      <c r="B747" s="3" t="s">
        <v>1712</v>
      </c>
      <c r="C747" s="23" t="s">
        <v>24</v>
      </c>
      <c r="D747" s="23" t="s">
        <v>143</v>
      </c>
      <c r="E747" s="3" t="s">
        <v>863</v>
      </c>
      <c r="F747" s="19" t="s">
        <v>74</v>
      </c>
      <c r="G747" s="19"/>
      <c r="H747" s="11" t="s">
        <v>524</v>
      </c>
      <c r="I747" s="3"/>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3" t="s">
        <v>2276</v>
      </c>
      <c r="AA747" s="3" t="s">
        <v>2276</v>
      </c>
      <c r="AB747" s="3" t="s">
        <v>2276</v>
      </c>
      <c r="AC747" s="4" t="s">
        <v>1726</v>
      </c>
      <c r="AD747" s="3"/>
    </row>
    <row r="748" spans="1:30" ht="49.5" customHeight="1">
      <c r="A748" s="23" t="s">
        <v>1563</v>
      </c>
      <c r="B748" s="3"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3" t="s">
        <v>2276</v>
      </c>
      <c r="AA748" s="3" t="s">
        <v>2276</v>
      </c>
      <c r="AB748" s="3" t="s">
        <v>2276</v>
      </c>
      <c r="AC748" s="4" t="s">
        <v>1726</v>
      </c>
      <c r="AD748" s="3"/>
    </row>
    <row r="749" spans="1:30" ht="49.5" customHeight="1">
      <c r="A749" s="23" t="s">
        <v>1564</v>
      </c>
      <c r="B749" s="3"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3" t="s">
        <v>2276</v>
      </c>
      <c r="AA749" s="3" t="s">
        <v>2276</v>
      </c>
      <c r="AB749" s="3" t="s">
        <v>2276</v>
      </c>
      <c r="AC749" s="4" t="s">
        <v>1726</v>
      </c>
      <c r="AD749" s="3"/>
    </row>
    <row r="750" spans="1:30" ht="49.5" customHeight="1">
      <c r="A750" s="23" t="s">
        <v>1565</v>
      </c>
      <c r="B750" s="3"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3" t="s">
        <v>2276</v>
      </c>
      <c r="AA750" s="3" t="s">
        <v>2276</v>
      </c>
      <c r="AB750" s="3" t="s">
        <v>2276</v>
      </c>
      <c r="AC750" s="4" t="s">
        <v>1726</v>
      </c>
      <c r="AD750" s="3"/>
    </row>
    <row r="751" spans="1:30" ht="49.5" customHeight="1">
      <c r="A751" s="23" t="s">
        <v>1566</v>
      </c>
      <c r="B751" s="3"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3" t="s">
        <v>2276</v>
      </c>
      <c r="AA751" s="3" t="s">
        <v>2276</v>
      </c>
      <c r="AB751" s="3" t="s">
        <v>2276</v>
      </c>
      <c r="AC751" s="4" t="s">
        <v>1726</v>
      </c>
      <c r="AD751" s="3"/>
    </row>
    <row r="752" spans="1:30" ht="49.5" customHeight="1">
      <c r="A752" s="23" t="s">
        <v>1567</v>
      </c>
      <c r="B752" s="3"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3" t="s">
        <v>2276</v>
      </c>
      <c r="AA752" s="3" t="s">
        <v>2276</v>
      </c>
      <c r="AB752" s="3" t="s">
        <v>2276</v>
      </c>
      <c r="AC752" s="4" t="s">
        <v>1726</v>
      </c>
      <c r="AD752" s="3"/>
    </row>
    <row r="753" spans="1:30" ht="49.5" customHeight="1">
      <c r="A753" s="23" t="s">
        <v>1568</v>
      </c>
      <c r="B753" s="3" t="s">
        <v>1718</v>
      </c>
      <c r="C753" s="23" t="s">
        <v>24</v>
      </c>
      <c r="D753" s="23" t="s">
        <v>143</v>
      </c>
      <c r="E753" s="3" t="s">
        <v>863</v>
      </c>
      <c r="F753" s="19" t="s">
        <v>74</v>
      </c>
      <c r="G753" s="19"/>
      <c r="H753" s="11" t="s">
        <v>524</v>
      </c>
      <c r="I753" s="3"/>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3" t="s">
        <v>2276</v>
      </c>
      <c r="AA753" s="3" t="s">
        <v>2276</v>
      </c>
      <c r="AB753" s="3" t="s">
        <v>2276</v>
      </c>
      <c r="AC753" s="4" t="s">
        <v>1726</v>
      </c>
      <c r="AD753" s="3"/>
    </row>
    <row r="754" spans="1:30" ht="49.5" customHeight="1">
      <c r="A754" s="23" t="s">
        <v>1569</v>
      </c>
      <c r="B754" s="3"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3" t="s">
        <v>2276</v>
      </c>
      <c r="AA754" s="3" t="s">
        <v>2276</v>
      </c>
      <c r="AB754" s="3" t="s">
        <v>2276</v>
      </c>
      <c r="AC754" s="4" t="s">
        <v>1726</v>
      </c>
      <c r="AD754" s="3"/>
    </row>
    <row r="755" spans="1:30" ht="49.5" customHeight="1">
      <c r="A755" s="23" t="s">
        <v>1570</v>
      </c>
      <c r="B755" s="3" t="s">
        <v>1720</v>
      </c>
      <c r="C755" s="23" t="s">
        <v>24</v>
      </c>
      <c r="D755" s="23" t="s">
        <v>143</v>
      </c>
      <c r="E755" s="3" t="s">
        <v>863</v>
      </c>
      <c r="F755" s="19" t="s">
        <v>74</v>
      </c>
      <c r="G755" s="19"/>
      <c r="H755" s="11" t="s">
        <v>524</v>
      </c>
      <c r="I755" s="3"/>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3" t="s">
        <v>2276</v>
      </c>
      <c r="AA755" s="3" t="s">
        <v>2276</v>
      </c>
      <c r="AB755" s="3" t="s">
        <v>2276</v>
      </c>
      <c r="AC755" s="4" t="s">
        <v>1726</v>
      </c>
      <c r="AD755" s="3"/>
    </row>
    <row r="756" spans="1:30" ht="49.5" customHeight="1">
      <c r="A756" s="23" t="s">
        <v>1571</v>
      </c>
      <c r="B756" s="3"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3" t="s">
        <v>2276</v>
      </c>
      <c r="AA756" s="3" t="s">
        <v>2276</v>
      </c>
      <c r="AB756" s="3" t="s">
        <v>2276</v>
      </c>
      <c r="AC756" s="4" t="s">
        <v>1726</v>
      </c>
      <c r="AD756" s="3"/>
    </row>
    <row r="757" spans="1:30" ht="49.5" customHeight="1">
      <c r="A757" s="23" t="s">
        <v>1572</v>
      </c>
      <c r="B757" s="3" t="s">
        <v>1722</v>
      </c>
      <c r="C757" s="23" t="s">
        <v>24</v>
      </c>
      <c r="D757" s="23" t="s">
        <v>143</v>
      </c>
      <c r="E757" s="3" t="s">
        <v>863</v>
      </c>
      <c r="F757" s="19" t="s">
        <v>74</v>
      </c>
      <c r="G757" s="19"/>
      <c r="H757" s="11" t="s">
        <v>524</v>
      </c>
      <c r="I757" s="3"/>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3" t="s">
        <v>2276</v>
      </c>
      <c r="AA757" s="3" t="s">
        <v>2276</v>
      </c>
      <c r="AB757" s="3" t="s">
        <v>2276</v>
      </c>
      <c r="AC757" s="4" t="s">
        <v>1726</v>
      </c>
      <c r="AD757" s="3"/>
    </row>
    <row r="758" spans="1:30" ht="49.5" customHeight="1">
      <c r="A758" s="23" t="s">
        <v>1573</v>
      </c>
      <c r="B758" s="3"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3" t="s">
        <v>2276</v>
      </c>
      <c r="AA758" s="3" t="s">
        <v>2276</v>
      </c>
      <c r="AB758" s="3" t="s">
        <v>2276</v>
      </c>
      <c r="AC758" s="4" t="s">
        <v>1726</v>
      </c>
      <c r="AD758" s="3"/>
    </row>
    <row r="759" spans="1:30" ht="49.5" customHeight="1">
      <c r="A759" s="23" t="s">
        <v>1574</v>
      </c>
      <c r="B759" s="3" t="s">
        <v>1724</v>
      </c>
      <c r="C759" s="23" t="s">
        <v>24</v>
      </c>
      <c r="D759" s="23" t="s">
        <v>143</v>
      </c>
      <c r="E759" s="3" t="s">
        <v>863</v>
      </c>
      <c r="F759" s="19" t="s">
        <v>74</v>
      </c>
      <c r="G759" s="19"/>
      <c r="H759" s="11" t="s">
        <v>524</v>
      </c>
      <c r="I759" s="3"/>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3" t="s">
        <v>2276</v>
      </c>
      <c r="AA759" s="3" t="s">
        <v>2276</v>
      </c>
      <c r="AB759" s="3" t="s">
        <v>2276</v>
      </c>
      <c r="AC759" s="4" t="s">
        <v>1726</v>
      </c>
      <c r="AD759" s="3"/>
    </row>
    <row r="760" spans="1:30" ht="49.5" customHeight="1">
      <c r="A760" s="23" t="s">
        <v>1575</v>
      </c>
      <c r="B760" s="3" t="s">
        <v>1725</v>
      </c>
      <c r="C760" s="23" t="s">
        <v>24</v>
      </c>
      <c r="D760" s="23" t="s">
        <v>143</v>
      </c>
      <c r="E760" s="3"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3"/>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3" t="s">
        <v>1176</v>
      </c>
      <c r="AD761" s="3"/>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3" t="s">
        <v>2276</v>
      </c>
      <c r="AA762" s="3" t="s">
        <v>2276</v>
      </c>
      <c r="AB762" s="3"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3" t="s">
        <v>2276</v>
      </c>
      <c r="AA763" s="3" t="s">
        <v>2276</v>
      </c>
      <c r="AB763" s="3"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3"/>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3" t="s">
        <v>189</v>
      </c>
      <c r="AA765" s="3" t="s">
        <v>189</v>
      </c>
      <c r="AB765" s="3"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3" t="s">
        <v>189</v>
      </c>
      <c r="AA766" s="3" t="s">
        <v>189</v>
      </c>
      <c r="AB766" s="3"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3" t="s">
        <v>189</v>
      </c>
      <c r="AA767" s="3" t="s">
        <v>189</v>
      </c>
      <c r="AB767" s="3"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3" t="s">
        <v>2276</v>
      </c>
      <c r="AA768" s="3" t="s">
        <v>2276</v>
      </c>
      <c r="AB768" s="3"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3" t="s">
        <v>2276</v>
      </c>
      <c r="AA769" s="3" t="s">
        <v>2276</v>
      </c>
      <c r="AB769" s="3"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3" t="s">
        <v>2276</v>
      </c>
      <c r="AA770" s="3" t="s">
        <v>2276</v>
      </c>
      <c r="AB770" s="3"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3" t="s">
        <v>2276</v>
      </c>
      <c r="AA771" s="3" t="s">
        <v>2276</v>
      </c>
      <c r="AB771" s="3"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3" t="s">
        <v>2276</v>
      </c>
      <c r="AA772" s="3" t="s">
        <v>2276</v>
      </c>
      <c r="AB772" s="3" t="s">
        <v>2276</v>
      </c>
      <c r="AC772" s="3"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3" t="s">
        <v>2276</v>
      </c>
      <c r="AA773" s="3" t="s">
        <v>2276</v>
      </c>
      <c r="AB773" s="3"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3" t="s">
        <v>2276</v>
      </c>
      <c r="AA774" s="3" t="s">
        <v>2276</v>
      </c>
      <c r="AB774" s="3"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3" t="s">
        <v>2276</v>
      </c>
      <c r="AA776" s="3" t="s">
        <v>2276</v>
      </c>
      <c r="AB776" s="3"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3" t="s">
        <v>2276</v>
      </c>
      <c r="AA777" s="3" t="s">
        <v>2276</v>
      </c>
      <c r="AB777" s="3"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3" t="s">
        <v>2276</v>
      </c>
      <c r="AA778" s="3" t="s">
        <v>2276</v>
      </c>
      <c r="AB778" s="3"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3" t="s">
        <v>2276</v>
      </c>
      <c r="AA779" s="3" t="s">
        <v>2276</v>
      </c>
      <c r="AB779" s="3"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3" t="s">
        <v>404</v>
      </c>
      <c r="AA780" s="3" t="s">
        <v>35</v>
      </c>
      <c r="AB780" s="3"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3" t="s">
        <v>2276</v>
      </c>
      <c r="AA781" s="3" t="s">
        <v>2276</v>
      </c>
      <c r="AB781" s="3"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3" t="s">
        <v>2276</v>
      </c>
      <c r="AA782" s="3" t="s">
        <v>2276</v>
      </c>
      <c r="AB782" s="3"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3" t="s">
        <v>86</v>
      </c>
      <c r="AA783" s="3" t="s">
        <v>404</v>
      </c>
      <c r="AB783" s="3"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3" t="s">
        <v>1246</v>
      </c>
      <c r="AA784" s="3" t="s">
        <v>405</v>
      </c>
      <c r="AB784" s="3" t="s">
        <v>64</v>
      </c>
      <c r="AC784" s="3"/>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3" t="s">
        <v>2456</v>
      </c>
      <c r="AD786" s="4" t="s">
        <v>2455</v>
      </c>
    </row>
    <row r="787" spans="1:30" ht="57" customHeight="1">
      <c r="A787" s="11" t="s">
        <v>2449</v>
      </c>
      <c r="B787" s="11" t="s">
        <v>2460</v>
      </c>
      <c r="C787" s="23" t="s">
        <v>24</v>
      </c>
      <c r="D787" s="11" t="s">
        <v>27</v>
      </c>
      <c r="E787" s="11" t="s">
        <v>130</v>
      </c>
      <c r="F787" s="19" t="s">
        <v>161</v>
      </c>
      <c r="G787" s="11" t="s">
        <v>161</v>
      </c>
      <c r="H787" s="3" t="s">
        <v>523</v>
      </c>
      <c r="I787" s="3"/>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3"/>
      <c r="AD787" s="3"/>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3" t="s">
        <v>2466</v>
      </c>
      <c r="B789" s="3"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3" t="s">
        <v>2467</v>
      </c>
      <c r="B790" s="3"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3" t="s">
        <v>2468</v>
      </c>
      <c r="B791" s="3"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3" t="s">
        <v>2469</v>
      </c>
      <c r="B792" s="3"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3" t="s">
        <v>2470</v>
      </c>
      <c r="B793" s="3" t="s">
        <v>2504</v>
      </c>
      <c r="C793" s="23" t="s">
        <v>24</v>
      </c>
      <c r="D793" s="11" t="s">
        <v>27</v>
      </c>
      <c r="E793" s="11" t="s">
        <v>130</v>
      </c>
      <c r="F793" s="19" t="s">
        <v>161</v>
      </c>
      <c r="G793" s="11" t="s">
        <v>2276</v>
      </c>
      <c r="H793" s="3"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3"/>
      <c r="AD793" s="3"/>
    </row>
    <row r="794" spans="1:30" ht="64.5" customHeight="1">
      <c r="A794" s="3" t="s">
        <v>2471</v>
      </c>
      <c r="B794" s="3" t="s">
        <v>2505</v>
      </c>
      <c r="C794" s="23" t="s">
        <v>24</v>
      </c>
      <c r="D794" s="11" t="s">
        <v>27</v>
      </c>
      <c r="E794" s="11" t="s">
        <v>130</v>
      </c>
      <c r="F794" s="19" t="s">
        <v>161</v>
      </c>
      <c r="G794" s="11" t="s">
        <v>2276</v>
      </c>
      <c r="H794" s="3"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3"/>
      <c r="AD794" s="3"/>
    </row>
    <row r="795" spans="1:30" ht="64.5" customHeight="1">
      <c r="A795" s="3" t="s">
        <v>2472</v>
      </c>
      <c r="B795" s="3" t="s">
        <v>2506</v>
      </c>
      <c r="C795" s="23" t="s">
        <v>24</v>
      </c>
      <c r="D795" s="11" t="s">
        <v>27</v>
      </c>
      <c r="E795" s="11" t="s">
        <v>130</v>
      </c>
      <c r="F795" s="19" t="s">
        <v>161</v>
      </c>
      <c r="G795" s="11" t="s">
        <v>2276</v>
      </c>
      <c r="H795" s="3"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3" t="s">
        <v>2473</v>
      </c>
      <c r="B796" s="3" t="s">
        <v>2507</v>
      </c>
      <c r="C796" s="23" t="s">
        <v>24</v>
      </c>
      <c r="D796" s="11" t="s">
        <v>27</v>
      </c>
      <c r="E796" s="11" t="s">
        <v>130</v>
      </c>
      <c r="F796" s="19" t="s">
        <v>161</v>
      </c>
      <c r="G796" s="11" t="s">
        <v>2276</v>
      </c>
      <c r="H796" s="3"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3" t="s">
        <v>2474</v>
      </c>
      <c r="B797" s="3" t="s">
        <v>2508</v>
      </c>
      <c r="C797" s="23" t="s">
        <v>24</v>
      </c>
      <c r="D797" s="11" t="s">
        <v>27</v>
      </c>
      <c r="E797" s="11" t="s">
        <v>130</v>
      </c>
      <c r="F797" s="19" t="s">
        <v>161</v>
      </c>
      <c r="G797" s="11" t="s">
        <v>2276</v>
      </c>
      <c r="H797" s="3"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3"/>
    </row>
    <row r="798" spans="1:30" ht="64.5" customHeight="1">
      <c r="A798" s="3" t="s">
        <v>2475</v>
      </c>
      <c r="B798" s="3" t="s">
        <v>2509</v>
      </c>
      <c r="C798" s="23" t="s">
        <v>24</v>
      </c>
      <c r="D798" s="11" t="s">
        <v>27</v>
      </c>
      <c r="E798" s="11" t="s">
        <v>130</v>
      </c>
      <c r="F798" s="19" t="s">
        <v>161</v>
      </c>
      <c r="G798" s="11" t="s">
        <v>2276</v>
      </c>
      <c r="H798" s="3"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3"/>
      <c r="AD798" s="3"/>
    </row>
    <row r="799" spans="1:30" ht="64.5" customHeight="1">
      <c r="A799" s="3" t="s">
        <v>2476</v>
      </c>
      <c r="B799" s="3" t="s">
        <v>2510</v>
      </c>
      <c r="C799" s="23" t="s">
        <v>24</v>
      </c>
      <c r="D799" s="11" t="s">
        <v>27</v>
      </c>
      <c r="E799" s="11" t="s">
        <v>130</v>
      </c>
      <c r="F799" s="19" t="s">
        <v>161</v>
      </c>
      <c r="G799" s="11" t="s">
        <v>2276</v>
      </c>
      <c r="H799" s="3"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3"/>
      <c r="AD799" s="3"/>
    </row>
    <row r="800" spans="1:30" ht="64.5" customHeight="1">
      <c r="A800" s="3" t="s">
        <v>2477</v>
      </c>
      <c r="B800" s="3" t="s">
        <v>2511</v>
      </c>
      <c r="C800" s="23" t="s">
        <v>24</v>
      </c>
      <c r="D800" s="11" t="s">
        <v>27</v>
      </c>
      <c r="E800" s="11" t="s">
        <v>130</v>
      </c>
      <c r="F800" s="19" t="s">
        <v>161</v>
      </c>
      <c r="G800" s="11" t="s">
        <v>2276</v>
      </c>
      <c r="H800" s="3"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3"/>
      <c r="AD800" s="3"/>
    </row>
    <row r="801" spans="1:30" ht="64.5" customHeight="1">
      <c r="A801" s="3" t="s">
        <v>2478</v>
      </c>
      <c r="B801" s="3" t="s">
        <v>2512</v>
      </c>
      <c r="C801" s="23" t="s">
        <v>24</v>
      </c>
      <c r="D801" s="11" t="s">
        <v>27</v>
      </c>
      <c r="E801" s="11" t="s">
        <v>130</v>
      </c>
      <c r="F801" s="19" t="s">
        <v>161</v>
      </c>
      <c r="G801" s="11" t="s">
        <v>2276</v>
      </c>
      <c r="H801" s="3" t="s">
        <v>523</v>
      </c>
      <c r="I801" s="3"/>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3"/>
      <c r="AD801" s="3"/>
    </row>
    <row r="802" spans="1:30" ht="64.5" customHeight="1">
      <c r="A802" s="3" t="s">
        <v>2479</v>
      </c>
      <c r="B802" s="3" t="s">
        <v>2513</v>
      </c>
      <c r="C802" s="23" t="s">
        <v>24</v>
      </c>
      <c r="D802" s="11" t="s">
        <v>27</v>
      </c>
      <c r="E802" s="11" t="s">
        <v>130</v>
      </c>
      <c r="F802" s="19" t="s">
        <v>161</v>
      </c>
      <c r="G802" s="11" t="s">
        <v>2276</v>
      </c>
      <c r="H802" s="3" t="s">
        <v>523</v>
      </c>
      <c r="I802" s="3"/>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3"/>
      <c r="AD802" s="3"/>
    </row>
    <row r="803" spans="1:30" ht="64.5" customHeight="1">
      <c r="A803" s="3" t="s">
        <v>2480</v>
      </c>
      <c r="B803" s="3" t="s">
        <v>2514</v>
      </c>
      <c r="C803" s="23" t="s">
        <v>24</v>
      </c>
      <c r="D803" s="11" t="s">
        <v>27</v>
      </c>
      <c r="E803" s="11" t="s">
        <v>130</v>
      </c>
      <c r="F803" s="19" t="s">
        <v>161</v>
      </c>
      <c r="G803" s="11" t="s">
        <v>2276</v>
      </c>
      <c r="H803" s="3" t="s">
        <v>523</v>
      </c>
      <c r="I803" s="3"/>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3"/>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3"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3"/>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3"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3"/>
      <c r="AD807" s="3"/>
    </row>
    <row r="808" spans="1:30" ht="31" customHeight="1">
      <c r="A808" s="11" t="s">
        <v>2520</v>
      </c>
      <c r="B808" s="11" t="s">
        <v>2526</v>
      </c>
      <c r="C808" s="23" t="s">
        <v>24</v>
      </c>
      <c r="D808" s="11" t="s">
        <v>27</v>
      </c>
      <c r="E808" s="11" t="s">
        <v>130</v>
      </c>
      <c r="F808" s="19" t="s">
        <v>74</v>
      </c>
      <c r="G808" s="11" t="s">
        <v>2276</v>
      </c>
      <c r="H808" s="3"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3"/>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3"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3"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3"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3"/>
      <c r="AD813" s="3"/>
    </row>
    <row r="814" spans="1:30" ht="39.5" customHeight="1">
      <c r="A814" s="11" t="s">
        <v>2540</v>
      </c>
      <c r="B814" s="11" t="s">
        <v>2545</v>
      </c>
      <c r="C814" s="23" t="s">
        <v>24</v>
      </c>
      <c r="D814" s="11" t="s">
        <v>27</v>
      </c>
      <c r="E814" s="11" t="s">
        <v>130</v>
      </c>
      <c r="F814" s="19" t="s">
        <v>161</v>
      </c>
      <c r="G814" s="11" t="s">
        <v>2276</v>
      </c>
      <c r="H814" s="3"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3"/>
      <c r="AD814" s="3"/>
    </row>
    <row r="815" spans="1:30" ht="67.5" customHeight="1">
      <c r="A815" s="3" t="s">
        <v>2550</v>
      </c>
      <c r="B815" s="11" t="s">
        <v>2554</v>
      </c>
      <c r="C815" s="23" t="s">
        <v>24</v>
      </c>
      <c r="D815" s="11" t="s">
        <v>27</v>
      </c>
      <c r="E815" s="11" t="s">
        <v>130</v>
      </c>
      <c r="F815" s="19" t="s">
        <v>161</v>
      </c>
      <c r="G815" s="11" t="s">
        <v>2276</v>
      </c>
      <c r="H815" s="3"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3" t="s">
        <v>188</v>
      </c>
      <c r="AA815" s="3" t="s">
        <v>188</v>
      </c>
      <c r="AB815" s="3"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3" t="s">
        <v>399</v>
      </c>
      <c r="AA816" s="3" t="s">
        <v>399</v>
      </c>
      <c r="AB816" s="3"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3" t="s">
        <v>188</v>
      </c>
      <c r="AA817" s="3" t="s">
        <v>188</v>
      </c>
      <c r="AB817" s="3" t="s">
        <v>64</v>
      </c>
      <c r="AC817" s="3"/>
      <c r="AD817" s="3"/>
    </row>
    <row r="818" spans="1:30">
      <c r="A818" s="3" t="s">
        <v>2557</v>
      </c>
      <c r="B818" s="11" t="s">
        <v>2559</v>
      </c>
      <c r="C818" s="23" t="s">
        <v>24</v>
      </c>
      <c r="D818" s="11" t="s">
        <v>27</v>
      </c>
      <c r="E818" s="11" t="s">
        <v>130</v>
      </c>
      <c r="F818" s="19" t="s">
        <v>161</v>
      </c>
      <c r="G818" s="11" t="s">
        <v>2276</v>
      </c>
      <c r="H818" s="3"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3" t="s">
        <v>188</v>
      </c>
      <c r="AA818" s="3" t="s">
        <v>188</v>
      </c>
      <c r="AB818" s="3" t="s">
        <v>64</v>
      </c>
      <c r="AC818" s="3"/>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3" t="s">
        <v>188</v>
      </c>
      <c r="AA819" s="3" t="s">
        <v>188</v>
      </c>
      <c r="AB819" s="3" t="s">
        <v>64</v>
      </c>
      <c r="AC819" s="3"/>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3" t="s">
        <v>188</v>
      </c>
      <c r="AA820" s="3" t="s">
        <v>188</v>
      </c>
      <c r="AB820" s="3" t="s">
        <v>64</v>
      </c>
      <c r="AC820" s="3"/>
      <c r="AD820" s="3"/>
    </row>
    <row r="821" spans="1:30">
      <c r="A821" s="3" t="s">
        <v>2557</v>
      </c>
      <c r="B821" s="11" t="s">
        <v>2562</v>
      </c>
      <c r="C821" s="23" t="s">
        <v>24</v>
      </c>
      <c r="D821" s="11" t="s">
        <v>27</v>
      </c>
      <c r="E821" s="11" t="s">
        <v>130</v>
      </c>
      <c r="F821" s="19" t="s">
        <v>161</v>
      </c>
      <c r="G821" s="11" t="s">
        <v>2276</v>
      </c>
      <c r="H821" s="3"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3" t="s">
        <v>188</v>
      </c>
      <c r="AA821" s="3" t="s">
        <v>188</v>
      </c>
      <c r="AB821" s="3" t="s">
        <v>64</v>
      </c>
      <c r="AC821" s="3"/>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3" t="s">
        <v>399</v>
      </c>
      <c r="AA822" s="3" t="s">
        <v>399</v>
      </c>
      <c r="AB822" s="3"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3"/>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3"/>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3"/>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3"/>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3"/>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3"/>
      <c r="AD829" s="3"/>
    </row>
    <row r="830" spans="1:30" ht="36" customHeight="1">
      <c r="A830" s="11" t="s">
        <v>2589</v>
      </c>
      <c r="B830" s="11" t="s">
        <v>2607</v>
      </c>
      <c r="C830" s="23" t="s">
        <v>24</v>
      </c>
      <c r="D830" s="11" t="s">
        <v>27</v>
      </c>
      <c r="E830" s="11" t="s">
        <v>130</v>
      </c>
      <c r="F830" s="19" t="s">
        <v>74</v>
      </c>
      <c r="G830" s="11" t="s">
        <v>2276</v>
      </c>
      <c r="H830" s="3"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3"/>
      <c r="AD830" s="3"/>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3"/>
      <c r="AD831" s="3"/>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3"/>
      <c r="AD832" s="3"/>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3"/>
      <c r="AD833" s="3"/>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3"/>
      <c r="AD834" s="3"/>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3"/>
      <c r="AD835" s="3"/>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3"/>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3"/>
    </row>
    <row r="840" spans="1:30" ht="36" customHeight="1">
      <c r="A840" s="11" t="s">
        <v>2594</v>
      </c>
      <c r="B840" s="11" t="s">
        <v>2617</v>
      </c>
      <c r="C840" s="23" t="s">
        <v>24</v>
      </c>
      <c r="D840" s="11" t="s">
        <v>27</v>
      </c>
      <c r="E840" s="11" t="s">
        <v>130</v>
      </c>
      <c r="F840" s="19" t="s">
        <v>74</v>
      </c>
      <c r="G840" s="11" t="s">
        <v>2276</v>
      </c>
      <c r="H840" s="3" t="s">
        <v>523</v>
      </c>
      <c r="I840" s="3"/>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3"/>
      <c r="AD840" s="3"/>
    </row>
    <row r="841" spans="1:30" ht="36" customHeight="1">
      <c r="A841" s="11" t="s">
        <v>2595</v>
      </c>
      <c r="B841" s="11" t="s">
        <v>2618</v>
      </c>
      <c r="C841" s="23" t="s">
        <v>24</v>
      </c>
      <c r="D841" s="11" t="s">
        <v>27</v>
      </c>
      <c r="E841" s="11" t="s">
        <v>130</v>
      </c>
      <c r="F841" s="19" t="s">
        <v>161</v>
      </c>
      <c r="G841" s="11" t="s">
        <v>2276</v>
      </c>
      <c r="H841" s="3" t="s">
        <v>523</v>
      </c>
      <c r="I841" s="3"/>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3"/>
      <c r="AD841" s="3"/>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3"/>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3" t="s">
        <v>2624</v>
      </c>
      <c r="B845" s="3"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3" t="s">
        <v>2625</v>
      </c>
      <c r="B846" s="3"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3" t="s">
        <v>2625</v>
      </c>
      <c r="B847" s="3"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3" t="s">
        <v>2625</v>
      </c>
      <c r="B848" s="3"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3" t="s">
        <v>2678</v>
      </c>
      <c r="B849" s="3"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3" t="s">
        <v>2682</v>
      </c>
      <c r="B850" s="3"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3"/>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3"/>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3"/>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3"/>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3"/>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3" t="s">
        <v>523</v>
      </c>
      <c r="I860" s="3"/>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3"/>
      <c r="AD860" s="3"/>
    </row>
    <row r="861" spans="1:30" ht="34.5" customHeight="1">
      <c r="A861" s="11" t="s">
        <v>2751</v>
      </c>
      <c r="B861" s="11" t="s">
        <v>2757</v>
      </c>
      <c r="C861" s="23" t="s">
        <v>24</v>
      </c>
      <c r="D861" s="11" t="s">
        <v>27</v>
      </c>
      <c r="E861" s="11" t="s">
        <v>130</v>
      </c>
      <c r="F861" s="19" t="s">
        <v>161</v>
      </c>
      <c r="G861" s="3"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3"/>
      <c r="AD861" s="3" t="s">
        <v>2760</v>
      </c>
    </row>
    <row r="862" spans="1:30" ht="30" customHeight="1">
      <c r="A862" s="11" t="s">
        <v>2756</v>
      </c>
      <c r="B862" s="11" t="s">
        <v>2758</v>
      </c>
      <c r="C862" s="23" t="s">
        <v>24</v>
      </c>
      <c r="D862" s="11" t="s">
        <v>27</v>
      </c>
      <c r="E862" s="11" t="s">
        <v>130</v>
      </c>
      <c r="F862" s="19" t="s">
        <v>161</v>
      </c>
      <c r="G862" s="3"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3"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3" t="s">
        <v>68</v>
      </c>
      <c r="AA863" s="3" t="s">
        <v>68</v>
      </c>
      <c r="AB863" s="74" t="s">
        <v>64</v>
      </c>
      <c r="AC863" s="3"/>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3"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3"/>
      <c r="AD865" s="4" t="s">
        <v>2789</v>
      </c>
    </row>
    <row r="866" spans="1:30" ht="43.5">
      <c r="A866" s="11" t="s">
        <v>2774</v>
      </c>
      <c r="B866" s="11" t="s">
        <v>2784</v>
      </c>
      <c r="C866" s="23" t="s">
        <v>24</v>
      </c>
      <c r="D866" s="11" t="s">
        <v>27</v>
      </c>
      <c r="E866" s="11" t="s">
        <v>130</v>
      </c>
      <c r="F866" s="19" t="s">
        <v>28</v>
      </c>
      <c r="G866" s="3"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3"/>
      <c r="AD866" s="4" t="s">
        <v>2789</v>
      </c>
    </row>
    <row r="867" spans="1:30" ht="43.5">
      <c r="A867" s="11" t="s">
        <v>2775</v>
      </c>
      <c r="B867" s="11" t="s">
        <v>2785</v>
      </c>
      <c r="C867" s="23" t="s">
        <v>24</v>
      </c>
      <c r="D867" s="11" t="s">
        <v>27</v>
      </c>
      <c r="E867" s="11" t="s">
        <v>130</v>
      </c>
      <c r="F867" s="19" t="s">
        <v>28</v>
      </c>
      <c r="G867" s="3"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3"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3"/>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3"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3"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3"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3"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3"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3"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3"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3"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3"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3"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3"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3"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3"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3"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3"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3" t="s">
        <v>2844</v>
      </c>
      <c r="C885" s="23" t="s">
        <v>24</v>
      </c>
      <c r="D885" s="3" t="s">
        <v>27</v>
      </c>
      <c r="E885" s="3" t="s">
        <v>130</v>
      </c>
      <c r="F885" s="4" t="s">
        <v>161</v>
      </c>
      <c r="G885" s="3"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3" t="s">
        <v>2847</v>
      </c>
      <c r="C886" s="23" t="s">
        <v>24</v>
      </c>
      <c r="D886" s="3" t="s">
        <v>27</v>
      </c>
      <c r="E886" s="3" t="s">
        <v>130</v>
      </c>
      <c r="F886" s="4" t="s">
        <v>161</v>
      </c>
      <c r="G886" s="3"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3"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3"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3"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3"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3"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3"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3"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3"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3" t="s">
        <v>863</v>
      </c>
      <c r="F896" s="4" t="s">
        <v>2662</v>
      </c>
      <c r="G896" s="3" t="s">
        <v>2276</v>
      </c>
      <c r="H896" s="3" t="s">
        <v>523</v>
      </c>
      <c r="I896" s="3"/>
      <c r="J896" s="3" t="s">
        <v>2276</v>
      </c>
      <c r="K896" s="3" t="s">
        <v>2276</v>
      </c>
      <c r="L896" s="3" t="s">
        <v>2276</v>
      </c>
      <c r="M896" s="3" t="s">
        <v>2276</v>
      </c>
      <c r="N896" s="3" t="s">
        <v>2276</v>
      </c>
      <c r="O896" s="3" t="s">
        <v>2276</v>
      </c>
      <c r="P896" s="3" t="s">
        <v>2276</v>
      </c>
      <c r="Q896" s="3" t="s">
        <v>2276</v>
      </c>
      <c r="R896" s="3" t="s">
        <v>2276</v>
      </c>
      <c r="S896" s="3" t="s">
        <v>2276</v>
      </c>
      <c r="T896" s="3" t="s">
        <v>2276</v>
      </c>
      <c r="U896" s="3" t="s">
        <v>2276</v>
      </c>
      <c r="V896" s="3" t="s">
        <v>2276</v>
      </c>
      <c r="W896" s="3" t="s">
        <v>2276</v>
      </c>
      <c r="X896" s="3" t="s">
        <v>2276</v>
      </c>
      <c r="Y896" s="3" t="s">
        <v>2276</v>
      </c>
      <c r="Z896" s="3" t="s">
        <v>2276</v>
      </c>
      <c r="AA896" s="3" t="s">
        <v>2276</v>
      </c>
      <c r="AB896" s="3" t="s">
        <v>2276</v>
      </c>
      <c r="AC896" s="3"/>
      <c r="AD896" s="3"/>
    </row>
    <row r="897" spans="1:30" ht="36" customHeight="1">
      <c r="A897" s="11" t="s">
        <v>2886</v>
      </c>
      <c r="B897" s="11" t="s">
        <v>2897</v>
      </c>
      <c r="C897" s="3" t="s">
        <v>24</v>
      </c>
      <c r="D897" s="3" t="s">
        <v>26</v>
      </c>
      <c r="E897" s="3" t="s">
        <v>863</v>
      </c>
      <c r="F897" s="4" t="s">
        <v>2662</v>
      </c>
      <c r="G897" s="3" t="s">
        <v>2276</v>
      </c>
      <c r="H897" s="3" t="s">
        <v>523</v>
      </c>
      <c r="I897" s="3"/>
      <c r="J897" s="3" t="s">
        <v>2276</v>
      </c>
      <c r="K897" s="3" t="s">
        <v>2276</v>
      </c>
      <c r="L897" s="3" t="s">
        <v>2276</v>
      </c>
      <c r="M897" s="3" t="s">
        <v>2276</v>
      </c>
      <c r="N897" s="3" t="s">
        <v>2276</v>
      </c>
      <c r="O897" s="3" t="s">
        <v>2276</v>
      </c>
      <c r="P897" s="3" t="s">
        <v>2276</v>
      </c>
      <c r="Q897" s="3" t="s">
        <v>2276</v>
      </c>
      <c r="R897" s="3" t="s">
        <v>2276</v>
      </c>
      <c r="S897" s="3" t="s">
        <v>2276</v>
      </c>
      <c r="T897" s="3" t="s">
        <v>2276</v>
      </c>
      <c r="U897" s="3" t="s">
        <v>2276</v>
      </c>
      <c r="V897" s="3" t="s">
        <v>2276</v>
      </c>
      <c r="W897" s="3" t="s">
        <v>2276</v>
      </c>
      <c r="X897" s="3" t="s">
        <v>2276</v>
      </c>
      <c r="Y897" s="3" t="s">
        <v>2276</v>
      </c>
      <c r="Z897" s="3" t="s">
        <v>2276</v>
      </c>
      <c r="AA897" s="3" t="s">
        <v>2276</v>
      </c>
      <c r="AB897" s="3" t="s">
        <v>2276</v>
      </c>
      <c r="AC897" s="4" t="s">
        <v>2904</v>
      </c>
      <c r="AD897" s="3"/>
    </row>
    <row r="898" spans="1:30" ht="36" customHeight="1">
      <c r="A898" s="11" t="s">
        <v>2886</v>
      </c>
      <c r="B898" s="11" t="s">
        <v>2898</v>
      </c>
      <c r="C898" s="3" t="s">
        <v>24</v>
      </c>
      <c r="D898" s="3" t="s">
        <v>2341</v>
      </c>
      <c r="E898" s="3" t="s">
        <v>863</v>
      </c>
      <c r="F898" s="4" t="s">
        <v>2662</v>
      </c>
      <c r="G898" s="3" t="s">
        <v>2276</v>
      </c>
      <c r="H898" s="3" t="s">
        <v>523</v>
      </c>
      <c r="I898" s="3"/>
      <c r="J898" s="3" t="s">
        <v>2276</v>
      </c>
      <c r="K898" s="3" t="s">
        <v>2276</v>
      </c>
      <c r="L898" s="3" t="s">
        <v>2276</v>
      </c>
      <c r="M898" s="3" t="s">
        <v>2276</v>
      </c>
      <c r="N898" s="3" t="s">
        <v>2276</v>
      </c>
      <c r="O898" s="3" t="s">
        <v>2276</v>
      </c>
      <c r="P898" s="3" t="s">
        <v>2276</v>
      </c>
      <c r="Q898" s="3" t="s">
        <v>2276</v>
      </c>
      <c r="R898" s="3" t="s">
        <v>2276</v>
      </c>
      <c r="S898" s="3" t="s">
        <v>2276</v>
      </c>
      <c r="T898" s="3" t="s">
        <v>2276</v>
      </c>
      <c r="U898" s="3" t="s">
        <v>2276</v>
      </c>
      <c r="V898" s="3" t="s">
        <v>2276</v>
      </c>
      <c r="W898" s="3" t="s">
        <v>2276</v>
      </c>
      <c r="X898" s="3" t="s">
        <v>2276</v>
      </c>
      <c r="Y898" s="3" t="s">
        <v>2276</v>
      </c>
      <c r="Z898" s="3" t="s">
        <v>2276</v>
      </c>
      <c r="AA898" s="3" t="s">
        <v>2276</v>
      </c>
      <c r="AB898" s="3" t="s">
        <v>2276</v>
      </c>
      <c r="AC898" s="4" t="s">
        <v>2905</v>
      </c>
      <c r="AD898" s="3"/>
    </row>
    <row r="899" spans="1:30" ht="36" customHeight="1">
      <c r="A899" s="11" t="s">
        <v>2886</v>
      </c>
      <c r="B899" s="11" t="s">
        <v>2899</v>
      </c>
      <c r="C899" s="3" t="s">
        <v>2458</v>
      </c>
      <c r="D899" s="3" t="s">
        <v>1105</v>
      </c>
      <c r="E899" s="3" t="s">
        <v>1105</v>
      </c>
      <c r="F899" s="4" t="s">
        <v>2662</v>
      </c>
      <c r="G899" s="3" t="s">
        <v>1105</v>
      </c>
      <c r="H899" s="3" t="s">
        <v>523</v>
      </c>
      <c r="I899" s="3"/>
      <c r="J899" s="3" t="s">
        <v>2276</v>
      </c>
      <c r="K899" s="3" t="s">
        <v>2276</v>
      </c>
      <c r="L899" s="3" t="s">
        <v>2276</v>
      </c>
      <c r="M899" s="3" t="s">
        <v>2276</v>
      </c>
      <c r="N899" s="3" t="s">
        <v>2276</v>
      </c>
      <c r="O899" s="3" t="s">
        <v>2276</v>
      </c>
      <c r="P899" s="3" t="s">
        <v>2276</v>
      </c>
      <c r="Q899" s="3" t="s">
        <v>2276</v>
      </c>
      <c r="R899" s="3" t="s">
        <v>2276</v>
      </c>
      <c r="S899" s="3" t="s">
        <v>2276</v>
      </c>
      <c r="T899" s="3" t="s">
        <v>2276</v>
      </c>
      <c r="U899" s="3" t="s">
        <v>2276</v>
      </c>
      <c r="V899" s="3" t="s">
        <v>2276</v>
      </c>
      <c r="W899" s="3" t="s">
        <v>2276</v>
      </c>
      <c r="X899" s="3" t="s">
        <v>2276</v>
      </c>
      <c r="Y899" s="3" t="s">
        <v>2276</v>
      </c>
      <c r="Z899" s="3" t="s">
        <v>35</v>
      </c>
      <c r="AA899" s="3" t="s">
        <v>38</v>
      </c>
      <c r="AB899" s="3" t="s">
        <v>64</v>
      </c>
      <c r="AC899" s="4"/>
      <c r="AD899" s="3"/>
    </row>
    <row r="900" spans="1:30" ht="36" customHeight="1">
      <c r="A900" s="11" t="s">
        <v>2886</v>
      </c>
      <c r="B900" s="11" t="s">
        <v>2900</v>
      </c>
      <c r="C900" s="3" t="s">
        <v>24</v>
      </c>
      <c r="D900" s="3" t="s">
        <v>27</v>
      </c>
      <c r="E900" s="3" t="s">
        <v>130</v>
      </c>
      <c r="F900" s="4" t="s">
        <v>161</v>
      </c>
      <c r="G900" s="3" t="s">
        <v>2276</v>
      </c>
      <c r="H900" s="3" t="s">
        <v>523</v>
      </c>
      <c r="I900" s="3"/>
      <c r="J900" s="3" t="s">
        <v>2276</v>
      </c>
      <c r="K900" s="3" t="s">
        <v>2276</v>
      </c>
      <c r="L900" s="3" t="s">
        <v>2276</v>
      </c>
      <c r="M900" s="3" t="s">
        <v>2276</v>
      </c>
      <c r="N900" s="3" t="s">
        <v>2276</v>
      </c>
      <c r="O900" s="3" t="s">
        <v>2276</v>
      </c>
      <c r="P900" s="3" t="s">
        <v>2276</v>
      </c>
      <c r="Q900" s="3" t="s">
        <v>2276</v>
      </c>
      <c r="R900" s="3" t="s">
        <v>2276</v>
      </c>
      <c r="S900" s="3" t="s">
        <v>2276</v>
      </c>
      <c r="T900" s="3" t="s">
        <v>2276</v>
      </c>
      <c r="U900" s="3" t="s">
        <v>2276</v>
      </c>
      <c r="V900" s="3" t="s">
        <v>2276</v>
      </c>
      <c r="W900" s="3" t="s">
        <v>2276</v>
      </c>
      <c r="X900" s="3" t="s">
        <v>2276</v>
      </c>
      <c r="Y900" s="3" t="s">
        <v>2276</v>
      </c>
      <c r="Z900" s="3" t="s">
        <v>68</v>
      </c>
      <c r="AA900" s="3" t="s">
        <v>35</v>
      </c>
      <c r="AB900" s="3" t="s">
        <v>64</v>
      </c>
      <c r="AC900" s="4"/>
      <c r="AD900" s="3"/>
    </row>
    <row r="901" spans="1:30" ht="36" customHeight="1">
      <c r="A901" s="11" t="s">
        <v>2886</v>
      </c>
      <c r="B901" s="11" t="s">
        <v>2901</v>
      </c>
      <c r="C901" s="3" t="s">
        <v>24</v>
      </c>
      <c r="D901" s="3" t="s">
        <v>2231</v>
      </c>
      <c r="E901" s="4" t="s">
        <v>396</v>
      </c>
      <c r="F901" s="4" t="s">
        <v>2662</v>
      </c>
      <c r="G901" s="3" t="s">
        <v>2276</v>
      </c>
      <c r="H901" s="3" t="s">
        <v>523</v>
      </c>
      <c r="I901" s="3"/>
      <c r="J901" s="3" t="s">
        <v>2276</v>
      </c>
      <c r="K901" s="3" t="s">
        <v>2276</v>
      </c>
      <c r="L901" s="3" t="s">
        <v>2276</v>
      </c>
      <c r="M901" s="3" t="s">
        <v>2276</v>
      </c>
      <c r="N901" s="3" t="s">
        <v>2276</v>
      </c>
      <c r="O901" s="3" t="s">
        <v>2276</v>
      </c>
      <c r="P901" s="3" t="s">
        <v>2276</v>
      </c>
      <c r="Q901" s="3" t="s">
        <v>2276</v>
      </c>
      <c r="R901" s="3" t="s">
        <v>2276</v>
      </c>
      <c r="S901" s="3" t="s">
        <v>2276</v>
      </c>
      <c r="T901" s="3" t="s">
        <v>2276</v>
      </c>
      <c r="U901" s="3" t="s">
        <v>2276</v>
      </c>
      <c r="V901" s="3" t="s">
        <v>2276</v>
      </c>
      <c r="W901" s="3" t="s">
        <v>2276</v>
      </c>
      <c r="X901" s="3" t="s">
        <v>2276</v>
      </c>
      <c r="Y901" s="3" t="s">
        <v>2276</v>
      </c>
      <c r="Z901" s="3" t="s">
        <v>2276</v>
      </c>
      <c r="AA901" s="3" t="s">
        <v>2276</v>
      </c>
      <c r="AB901" s="3" t="s">
        <v>2276</v>
      </c>
      <c r="AC901" s="4" t="s">
        <v>2906</v>
      </c>
      <c r="AD901" s="3"/>
    </row>
    <row r="902" spans="1:30" ht="36" customHeight="1">
      <c r="A902" s="11" t="s">
        <v>2886</v>
      </c>
      <c r="B902" s="11" t="s">
        <v>2902</v>
      </c>
      <c r="C902" s="3" t="s">
        <v>24</v>
      </c>
      <c r="D902" s="3" t="s">
        <v>2346</v>
      </c>
      <c r="E902" s="4" t="s">
        <v>1105</v>
      </c>
      <c r="F902" s="4" t="s">
        <v>2662</v>
      </c>
      <c r="G902" s="3" t="s">
        <v>2276</v>
      </c>
      <c r="H902" s="3" t="s">
        <v>523</v>
      </c>
      <c r="I902" s="3"/>
      <c r="J902" s="3" t="s">
        <v>2276</v>
      </c>
      <c r="K902" s="3" t="s">
        <v>2276</v>
      </c>
      <c r="L902" s="3" t="s">
        <v>2276</v>
      </c>
      <c r="M902" s="3" t="s">
        <v>2276</v>
      </c>
      <c r="N902" s="3" t="s">
        <v>2276</v>
      </c>
      <c r="O902" s="3" t="s">
        <v>2276</v>
      </c>
      <c r="P902" s="3" t="s">
        <v>2276</v>
      </c>
      <c r="Q902" s="3" t="s">
        <v>2276</v>
      </c>
      <c r="R902" s="3" t="s">
        <v>2276</v>
      </c>
      <c r="S902" s="3" t="s">
        <v>2276</v>
      </c>
      <c r="T902" s="3" t="s">
        <v>2276</v>
      </c>
      <c r="U902" s="3" t="s">
        <v>2276</v>
      </c>
      <c r="V902" s="3" t="s">
        <v>2276</v>
      </c>
      <c r="W902" s="3" t="s">
        <v>2276</v>
      </c>
      <c r="X902" s="3" t="s">
        <v>2276</v>
      </c>
      <c r="Y902" s="3" t="s">
        <v>2276</v>
      </c>
      <c r="Z902" s="3" t="s">
        <v>2276</v>
      </c>
      <c r="AA902" s="3" t="s">
        <v>2276</v>
      </c>
      <c r="AB902" s="3"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3" t="s">
        <v>2276</v>
      </c>
      <c r="K903" s="3" t="s">
        <v>2276</v>
      </c>
      <c r="L903" s="3" t="s">
        <v>2276</v>
      </c>
      <c r="M903" s="3" t="s">
        <v>2276</v>
      </c>
      <c r="N903" s="3" t="s">
        <v>2276</v>
      </c>
      <c r="O903" s="3" t="s">
        <v>2276</v>
      </c>
      <c r="P903" s="3" t="s">
        <v>2276</v>
      </c>
      <c r="Q903" s="3" t="s">
        <v>2276</v>
      </c>
      <c r="R903" s="3" t="s">
        <v>2276</v>
      </c>
      <c r="S903" s="3" t="s">
        <v>2276</v>
      </c>
      <c r="T903" s="3" t="s">
        <v>2276</v>
      </c>
      <c r="U903" s="3" t="s">
        <v>2276</v>
      </c>
      <c r="V903" s="3" t="s">
        <v>2276</v>
      </c>
      <c r="W903" s="3" t="s">
        <v>2276</v>
      </c>
      <c r="X903" s="3" t="s">
        <v>2276</v>
      </c>
      <c r="Y903" s="3" t="s">
        <v>2276</v>
      </c>
      <c r="Z903" s="3" t="s">
        <v>2276</v>
      </c>
      <c r="AA903" s="3" t="s">
        <v>2276</v>
      </c>
      <c r="AB903" s="3" t="s">
        <v>2276</v>
      </c>
      <c r="AC903" s="3"/>
      <c r="AD903" s="3"/>
    </row>
    <row r="904" spans="1:30" ht="33.5" customHeight="1">
      <c r="A904" s="11" t="s">
        <v>2887</v>
      </c>
      <c r="B904" s="11" t="s">
        <v>2907</v>
      </c>
      <c r="C904" s="3" t="s">
        <v>24</v>
      </c>
      <c r="D904" s="3" t="s">
        <v>26</v>
      </c>
      <c r="E904" s="3" t="s">
        <v>863</v>
      </c>
      <c r="F904" s="4" t="s">
        <v>2662</v>
      </c>
      <c r="G904" s="3" t="s">
        <v>2276</v>
      </c>
      <c r="H904" s="3" t="s">
        <v>523</v>
      </c>
      <c r="I904" s="3"/>
      <c r="J904" s="3" t="s">
        <v>2276</v>
      </c>
      <c r="K904" s="3" t="s">
        <v>2276</v>
      </c>
      <c r="L904" s="3" t="s">
        <v>2276</v>
      </c>
      <c r="M904" s="3" t="s">
        <v>2276</v>
      </c>
      <c r="N904" s="3" t="s">
        <v>2276</v>
      </c>
      <c r="O904" s="3" t="s">
        <v>2276</v>
      </c>
      <c r="P904" s="3" t="s">
        <v>2276</v>
      </c>
      <c r="Q904" s="3" t="s">
        <v>2276</v>
      </c>
      <c r="R904" s="3" t="s">
        <v>2276</v>
      </c>
      <c r="S904" s="3" t="s">
        <v>2276</v>
      </c>
      <c r="T904" s="3" t="s">
        <v>2276</v>
      </c>
      <c r="U904" s="3" t="s">
        <v>2276</v>
      </c>
      <c r="V904" s="3" t="s">
        <v>2276</v>
      </c>
      <c r="W904" s="3" t="s">
        <v>2276</v>
      </c>
      <c r="X904" s="3" t="s">
        <v>2276</v>
      </c>
      <c r="Y904" s="3" t="s">
        <v>2276</v>
      </c>
      <c r="Z904" s="3" t="s">
        <v>2276</v>
      </c>
      <c r="AA904" s="3" t="s">
        <v>2276</v>
      </c>
      <c r="AB904" s="3"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3" t="s">
        <v>2276</v>
      </c>
      <c r="K905" s="3" t="s">
        <v>2276</v>
      </c>
      <c r="L905" s="3" t="s">
        <v>2276</v>
      </c>
      <c r="M905" s="3" t="s">
        <v>2276</v>
      </c>
      <c r="N905" s="3" t="s">
        <v>2276</v>
      </c>
      <c r="O905" s="3" t="s">
        <v>2276</v>
      </c>
      <c r="P905" s="3" t="s">
        <v>2276</v>
      </c>
      <c r="Q905" s="3" t="s">
        <v>2276</v>
      </c>
      <c r="R905" s="3" t="s">
        <v>2276</v>
      </c>
      <c r="S905" s="3" t="s">
        <v>2276</v>
      </c>
      <c r="T905" s="3" t="s">
        <v>2276</v>
      </c>
      <c r="U905" s="3" t="s">
        <v>2276</v>
      </c>
      <c r="V905" s="3" t="s">
        <v>2276</v>
      </c>
      <c r="W905" s="3" t="s">
        <v>2276</v>
      </c>
      <c r="X905" s="3" t="s">
        <v>2276</v>
      </c>
      <c r="Y905" s="3" t="s">
        <v>2276</v>
      </c>
      <c r="Z905" s="3" t="s">
        <v>2276</v>
      </c>
      <c r="AA905" s="3" t="s">
        <v>2276</v>
      </c>
      <c r="AB905" s="3"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3" t="s">
        <v>2276</v>
      </c>
      <c r="K906" s="3" t="s">
        <v>2276</v>
      </c>
      <c r="L906" s="3" t="s">
        <v>2276</v>
      </c>
      <c r="M906" s="3" t="s">
        <v>2276</v>
      </c>
      <c r="N906" s="3" t="s">
        <v>2276</v>
      </c>
      <c r="O906" s="3" t="s">
        <v>2276</v>
      </c>
      <c r="P906" s="3" t="s">
        <v>2276</v>
      </c>
      <c r="Q906" s="3" t="s">
        <v>2276</v>
      </c>
      <c r="R906" s="3" t="s">
        <v>2276</v>
      </c>
      <c r="S906" s="3" t="s">
        <v>2276</v>
      </c>
      <c r="T906" s="3" t="s">
        <v>2276</v>
      </c>
      <c r="U906" s="3" t="s">
        <v>2276</v>
      </c>
      <c r="V906" s="3" t="s">
        <v>2276</v>
      </c>
      <c r="W906" s="3" t="s">
        <v>2276</v>
      </c>
      <c r="X906" s="3" t="s">
        <v>2276</v>
      </c>
      <c r="Y906" s="3" t="s">
        <v>2276</v>
      </c>
      <c r="Z906" s="3" t="s">
        <v>35</v>
      </c>
      <c r="AA906" s="3" t="s">
        <v>38</v>
      </c>
      <c r="AB906" s="3" t="s">
        <v>64</v>
      </c>
      <c r="AC906" s="4"/>
      <c r="AD906" s="3"/>
    </row>
    <row r="907" spans="1:30" ht="44.5" customHeight="1">
      <c r="A907" s="11" t="s">
        <v>2887</v>
      </c>
      <c r="B907" s="11" t="s">
        <v>2910</v>
      </c>
      <c r="C907" s="3" t="s">
        <v>24</v>
      </c>
      <c r="D907" s="3" t="s">
        <v>27</v>
      </c>
      <c r="E907" s="3" t="s">
        <v>130</v>
      </c>
      <c r="F907" s="4" t="s">
        <v>161</v>
      </c>
      <c r="G907" s="3" t="s">
        <v>2276</v>
      </c>
      <c r="H907" s="3" t="s">
        <v>523</v>
      </c>
      <c r="I907" s="3"/>
      <c r="J907" s="3" t="s">
        <v>2276</v>
      </c>
      <c r="K907" s="3" t="s">
        <v>2276</v>
      </c>
      <c r="L907" s="3" t="s">
        <v>2276</v>
      </c>
      <c r="M907" s="3" t="s">
        <v>2276</v>
      </c>
      <c r="N907" s="3" t="s">
        <v>2276</v>
      </c>
      <c r="O907" s="3" t="s">
        <v>2276</v>
      </c>
      <c r="P907" s="3" t="s">
        <v>2276</v>
      </c>
      <c r="Q907" s="3" t="s">
        <v>2276</v>
      </c>
      <c r="R907" s="3" t="s">
        <v>2276</v>
      </c>
      <c r="S907" s="3" t="s">
        <v>2276</v>
      </c>
      <c r="T907" s="3" t="s">
        <v>2276</v>
      </c>
      <c r="U907" s="3" t="s">
        <v>2276</v>
      </c>
      <c r="V907" s="3" t="s">
        <v>2276</v>
      </c>
      <c r="W907" s="3" t="s">
        <v>2276</v>
      </c>
      <c r="X907" s="3" t="s">
        <v>2276</v>
      </c>
      <c r="Y907" s="3" t="s">
        <v>2276</v>
      </c>
      <c r="Z907" s="3" t="s">
        <v>68</v>
      </c>
      <c r="AA907" s="3" t="s">
        <v>35</v>
      </c>
      <c r="AB907" s="3" t="s">
        <v>64</v>
      </c>
      <c r="AC907" s="4"/>
      <c r="AD907" s="3"/>
    </row>
    <row r="908" spans="1:30" ht="41.5" customHeight="1">
      <c r="A908" s="11" t="s">
        <v>2887</v>
      </c>
      <c r="B908" s="11" t="s">
        <v>2911</v>
      </c>
      <c r="C908" s="3" t="s">
        <v>24</v>
      </c>
      <c r="D908" s="3" t="s">
        <v>2231</v>
      </c>
      <c r="E908" s="4" t="s">
        <v>396</v>
      </c>
      <c r="F908" s="4" t="s">
        <v>2662</v>
      </c>
      <c r="G908" s="3" t="s">
        <v>2276</v>
      </c>
      <c r="H908" s="3" t="s">
        <v>523</v>
      </c>
      <c r="I908" s="3"/>
      <c r="J908" s="3" t="s">
        <v>2276</v>
      </c>
      <c r="K908" s="3" t="s">
        <v>2276</v>
      </c>
      <c r="L908" s="3" t="s">
        <v>2276</v>
      </c>
      <c r="M908" s="3" t="s">
        <v>2276</v>
      </c>
      <c r="N908" s="3" t="s">
        <v>2276</v>
      </c>
      <c r="O908" s="3" t="s">
        <v>2276</v>
      </c>
      <c r="P908" s="3" t="s">
        <v>2276</v>
      </c>
      <c r="Q908" s="3" t="s">
        <v>2276</v>
      </c>
      <c r="R908" s="3" t="s">
        <v>2276</v>
      </c>
      <c r="S908" s="3" t="s">
        <v>2276</v>
      </c>
      <c r="T908" s="3" t="s">
        <v>2276</v>
      </c>
      <c r="U908" s="3" t="s">
        <v>2276</v>
      </c>
      <c r="V908" s="3" t="s">
        <v>2276</v>
      </c>
      <c r="W908" s="3" t="s">
        <v>2276</v>
      </c>
      <c r="X908" s="3" t="s">
        <v>2276</v>
      </c>
      <c r="Y908" s="3" t="s">
        <v>2276</v>
      </c>
      <c r="Z908" s="3" t="s">
        <v>2276</v>
      </c>
      <c r="AA908" s="3" t="s">
        <v>2276</v>
      </c>
      <c r="AB908" s="3" t="s">
        <v>2276</v>
      </c>
      <c r="AC908" s="4" t="s">
        <v>2906</v>
      </c>
      <c r="AD908" s="3"/>
    </row>
    <row r="909" spans="1:30" ht="29">
      <c r="A909" s="11" t="s">
        <v>2887</v>
      </c>
      <c r="B909" s="11" t="s">
        <v>2912</v>
      </c>
      <c r="C909" s="3" t="s">
        <v>24</v>
      </c>
      <c r="D909" s="3" t="s">
        <v>2346</v>
      </c>
      <c r="E909" s="4" t="s">
        <v>1105</v>
      </c>
      <c r="F909" s="4" t="s">
        <v>2662</v>
      </c>
      <c r="G909" s="3" t="s">
        <v>2276</v>
      </c>
      <c r="H909" s="3" t="s">
        <v>523</v>
      </c>
      <c r="I909" s="3"/>
      <c r="J909" s="3" t="s">
        <v>2276</v>
      </c>
      <c r="K909" s="3" t="s">
        <v>2276</v>
      </c>
      <c r="L909" s="3" t="s">
        <v>2276</v>
      </c>
      <c r="M909" s="3" t="s">
        <v>2276</v>
      </c>
      <c r="N909" s="3" t="s">
        <v>2276</v>
      </c>
      <c r="O909" s="3" t="s">
        <v>2276</v>
      </c>
      <c r="P909" s="3" t="s">
        <v>2276</v>
      </c>
      <c r="Q909" s="3" t="s">
        <v>2276</v>
      </c>
      <c r="R909" s="3" t="s">
        <v>2276</v>
      </c>
      <c r="S909" s="3" t="s">
        <v>2276</v>
      </c>
      <c r="T909" s="3" t="s">
        <v>2276</v>
      </c>
      <c r="U909" s="3" t="s">
        <v>2276</v>
      </c>
      <c r="V909" s="3" t="s">
        <v>2276</v>
      </c>
      <c r="W909" s="3" t="s">
        <v>2276</v>
      </c>
      <c r="X909" s="3" t="s">
        <v>2276</v>
      </c>
      <c r="Y909" s="3" t="s">
        <v>2276</v>
      </c>
      <c r="Z909" s="3" t="s">
        <v>2276</v>
      </c>
      <c r="AA909" s="3" t="s">
        <v>2276</v>
      </c>
      <c r="AB909" s="3" t="s">
        <v>2276</v>
      </c>
      <c r="AC909" s="4" t="s">
        <v>2903</v>
      </c>
      <c r="AD909" s="3"/>
    </row>
    <row r="910" spans="1:30" ht="29">
      <c r="A910" s="11" t="s">
        <v>2888</v>
      </c>
      <c r="B910" s="11" t="s">
        <v>2896</v>
      </c>
      <c r="C910" s="3" t="s">
        <v>24</v>
      </c>
      <c r="D910" s="3" t="s">
        <v>1245</v>
      </c>
      <c r="E910" s="3" t="s">
        <v>863</v>
      </c>
      <c r="F910" s="4" t="s">
        <v>2662</v>
      </c>
      <c r="G910" s="3" t="s">
        <v>2276</v>
      </c>
      <c r="H910" s="3" t="s">
        <v>523</v>
      </c>
      <c r="I910" s="3"/>
      <c r="J910" s="3" t="s">
        <v>2276</v>
      </c>
      <c r="K910" s="3" t="s">
        <v>2276</v>
      </c>
      <c r="L910" s="3" t="s">
        <v>2276</v>
      </c>
      <c r="M910" s="3" t="s">
        <v>2276</v>
      </c>
      <c r="N910" s="3" t="s">
        <v>2276</v>
      </c>
      <c r="O910" s="3" t="s">
        <v>2276</v>
      </c>
      <c r="P910" s="3" t="s">
        <v>2276</v>
      </c>
      <c r="Q910" s="3" t="s">
        <v>2276</v>
      </c>
      <c r="R910" s="3" t="s">
        <v>2276</v>
      </c>
      <c r="S910" s="3" t="s">
        <v>2276</v>
      </c>
      <c r="T910" s="3" t="s">
        <v>2276</v>
      </c>
      <c r="U910" s="3" t="s">
        <v>2276</v>
      </c>
      <c r="V910" s="3" t="s">
        <v>2276</v>
      </c>
      <c r="W910" s="3" t="s">
        <v>2276</v>
      </c>
      <c r="X910" s="3" t="s">
        <v>2276</v>
      </c>
      <c r="Y910" s="3" t="s">
        <v>2276</v>
      </c>
      <c r="Z910" s="3" t="s">
        <v>2276</v>
      </c>
      <c r="AA910" s="3" t="s">
        <v>2276</v>
      </c>
      <c r="AB910" s="3" t="s">
        <v>2276</v>
      </c>
      <c r="AC910" s="3"/>
      <c r="AD910" s="3"/>
    </row>
    <row r="911" spans="1:30" ht="29">
      <c r="A911" s="11" t="s">
        <v>2888</v>
      </c>
      <c r="B911" s="11" t="s">
        <v>2913</v>
      </c>
      <c r="C911" s="3" t="s">
        <v>24</v>
      </c>
      <c r="D911" s="3" t="s">
        <v>26</v>
      </c>
      <c r="E911" s="3" t="s">
        <v>863</v>
      </c>
      <c r="F911" s="4" t="s">
        <v>2662</v>
      </c>
      <c r="G911" s="3" t="s">
        <v>2276</v>
      </c>
      <c r="H911" s="3" t="s">
        <v>523</v>
      </c>
      <c r="I911" s="3"/>
      <c r="J911" s="3" t="s">
        <v>2276</v>
      </c>
      <c r="K911" s="3" t="s">
        <v>2276</v>
      </c>
      <c r="L911" s="3" t="s">
        <v>2276</v>
      </c>
      <c r="M911" s="3" t="s">
        <v>2276</v>
      </c>
      <c r="N911" s="3" t="s">
        <v>2276</v>
      </c>
      <c r="O911" s="3" t="s">
        <v>2276</v>
      </c>
      <c r="P911" s="3" t="s">
        <v>2276</v>
      </c>
      <c r="Q911" s="3" t="s">
        <v>2276</v>
      </c>
      <c r="R911" s="3" t="s">
        <v>2276</v>
      </c>
      <c r="S911" s="3" t="s">
        <v>2276</v>
      </c>
      <c r="T911" s="3" t="s">
        <v>2276</v>
      </c>
      <c r="U911" s="3" t="s">
        <v>2276</v>
      </c>
      <c r="V911" s="3" t="s">
        <v>2276</v>
      </c>
      <c r="W911" s="3" t="s">
        <v>2276</v>
      </c>
      <c r="X911" s="3" t="s">
        <v>2276</v>
      </c>
      <c r="Y911" s="3" t="s">
        <v>2276</v>
      </c>
      <c r="Z911" s="3" t="s">
        <v>2276</v>
      </c>
      <c r="AA911" s="3" t="s">
        <v>2276</v>
      </c>
      <c r="AB911" s="3" t="s">
        <v>2276</v>
      </c>
      <c r="AC911" s="4" t="s">
        <v>2904</v>
      </c>
      <c r="AD911" s="3"/>
    </row>
    <row r="912" spans="1:30" ht="29">
      <c r="A912" s="11" t="s">
        <v>2888</v>
      </c>
      <c r="B912" s="11" t="s">
        <v>2914</v>
      </c>
      <c r="C912" s="3" t="s">
        <v>24</v>
      </c>
      <c r="D912" s="3" t="s">
        <v>2341</v>
      </c>
      <c r="E912" s="3" t="s">
        <v>863</v>
      </c>
      <c r="F912" s="4" t="s">
        <v>2662</v>
      </c>
      <c r="G912" s="3" t="s">
        <v>2276</v>
      </c>
      <c r="H912" s="3" t="s">
        <v>523</v>
      </c>
      <c r="I912" s="3"/>
      <c r="J912" s="3" t="s">
        <v>2276</v>
      </c>
      <c r="K912" s="3" t="s">
        <v>2276</v>
      </c>
      <c r="L912" s="3" t="s">
        <v>2276</v>
      </c>
      <c r="M912" s="3" t="s">
        <v>2276</v>
      </c>
      <c r="N912" s="3" t="s">
        <v>2276</v>
      </c>
      <c r="O912" s="3" t="s">
        <v>2276</v>
      </c>
      <c r="P912" s="3" t="s">
        <v>2276</v>
      </c>
      <c r="Q912" s="3" t="s">
        <v>2276</v>
      </c>
      <c r="R912" s="3" t="s">
        <v>2276</v>
      </c>
      <c r="S912" s="3" t="s">
        <v>2276</v>
      </c>
      <c r="T912" s="3" t="s">
        <v>2276</v>
      </c>
      <c r="U912" s="3" t="s">
        <v>2276</v>
      </c>
      <c r="V912" s="3" t="s">
        <v>2276</v>
      </c>
      <c r="W912" s="3" t="s">
        <v>2276</v>
      </c>
      <c r="X912" s="3" t="s">
        <v>2276</v>
      </c>
      <c r="Y912" s="3" t="s">
        <v>2276</v>
      </c>
      <c r="Z912" s="3" t="s">
        <v>2276</v>
      </c>
      <c r="AA912" s="3" t="s">
        <v>2276</v>
      </c>
      <c r="AB912" s="3" t="s">
        <v>2276</v>
      </c>
      <c r="AC912" s="4" t="s">
        <v>2905</v>
      </c>
      <c r="AD912" s="3"/>
    </row>
    <row r="913" spans="1:30" ht="29">
      <c r="A913" s="11" t="s">
        <v>2888</v>
      </c>
      <c r="B913" s="11" t="s">
        <v>2915</v>
      </c>
      <c r="C913" s="3" t="s">
        <v>2458</v>
      </c>
      <c r="D913" s="3" t="s">
        <v>1105</v>
      </c>
      <c r="E913" s="3" t="s">
        <v>1105</v>
      </c>
      <c r="F913" s="4" t="s">
        <v>2662</v>
      </c>
      <c r="G913" s="3" t="s">
        <v>1105</v>
      </c>
      <c r="H913" s="3" t="s">
        <v>523</v>
      </c>
      <c r="I913" s="3"/>
      <c r="J913" s="3" t="s">
        <v>2276</v>
      </c>
      <c r="K913" s="3" t="s">
        <v>2276</v>
      </c>
      <c r="L913" s="3" t="s">
        <v>2276</v>
      </c>
      <c r="M913" s="3" t="s">
        <v>2276</v>
      </c>
      <c r="N913" s="3" t="s">
        <v>2276</v>
      </c>
      <c r="O913" s="3" t="s">
        <v>2276</v>
      </c>
      <c r="P913" s="3" t="s">
        <v>2276</v>
      </c>
      <c r="Q913" s="3" t="s">
        <v>2276</v>
      </c>
      <c r="R913" s="3" t="s">
        <v>2276</v>
      </c>
      <c r="S913" s="3" t="s">
        <v>2276</v>
      </c>
      <c r="T913" s="3" t="s">
        <v>2276</v>
      </c>
      <c r="U913" s="3" t="s">
        <v>2276</v>
      </c>
      <c r="V913" s="3" t="s">
        <v>2276</v>
      </c>
      <c r="W913" s="3" t="s">
        <v>2276</v>
      </c>
      <c r="X913" s="3" t="s">
        <v>2276</v>
      </c>
      <c r="Y913" s="3" t="s">
        <v>2276</v>
      </c>
      <c r="Z913" s="3" t="s">
        <v>35</v>
      </c>
      <c r="AA913" s="3" t="s">
        <v>38</v>
      </c>
      <c r="AB913" s="3" t="s">
        <v>64</v>
      </c>
      <c r="AC913" s="4"/>
      <c r="AD913" s="3"/>
    </row>
    <row r="914" spans="1:30" ht="29.5" customHeight="1">
      <c r="A914" s="11" t="s">
        <v>2888</v>
      </c>
      <c r="B914" s="11" t="s">
        <v>2916</v>
      </c>
      <c r="C914" s="3" t="s">
        <v>24</v>
      </c>
      <c r="D914" s="3" t="s">
        <v>27</v>
      </c>
      <c r="E914" s="3" t="s">
        <v>130</v>
      </c>
      <c r="F914" s="4" t="s">
        <v>161</v>
      </c>
      <c r="G914" s="3" t="s">
        <v>2276</v>
      </c>
      <c r="H914" s="3" t="s">
        <v>523</v>
      </c>
      <c r="I914" s="3"/>
      <c r="J914" s="3" t="s">
        <v>2276</v>
      </c>
      <c r="K914" s="3" t="s">
        <v>2276</v>
      </c>
      <c r="L914" s="3" t="s">
        <v>2276</v>
      </c>
      <c r="M914" s="3" t="s">
        <v>2276</v>
      </c>
      <c r="N914" s="3" t="s">
        <v>2276</v>
      </c>
      <c r="O914" s="3" t="s">
        <v>2276</v>
      </c>
      <c r="P914" s="3" t="s">
        <v>2276</v>
      </c>
      <c r="Q914" s="3" t="s">
        <v>2276</v>
      </c>
      <c r="R914" s="3" t="s">
        <v>2276</v>
      </c>
      <c r="S914" s="3" t="s">
        <v>2276</v>
      </c>
      <c r="T914" s="3" t="s">
        <v>2276</v>
      </c>
      <c r="U914" s="3" t="s">
        <v>2276</v>
      </c>
      <c r="V914" s="3" t="s">
        <v>2276</v>
      </c>
      <c r="W914" s="3" t="s">
        <v>2276</v>
      </c>
      <c r="X914" s="3" t="s">
        <v>2276</v>
      </c>
      <c r="Y914" s="3" t="s">
        <v>2276</v>
      </c>
      <c r="Z914" s="3" t="s">
        <v>68</v>
      </c>
      <c r="AA914" s="3" t="s">
        <v>35</v>
      </c>
      <c r="AB914" s="3" t="s">
        <v>64</v>
      </c>
      <c r="AC914" s="4"/>
      <c r="AD914" s="3"/>
    </row>
    <row r="915" spans="1:30" ht="34.5" customHeight="1">
      <c r="A915" s="11" t="s">
        <v>2888</v>
      </c>
      <c r="B915" s="11" t="s">
        <v>2917</v>
      </c>
      <c r="C915" s="3" t="s">
        <v>24</v>
      </c>
      <c r="D915" s="3" t="s">
        <v>2231</v>
      </c>
      <c r="E915" s="4" t="s">
        <v>396</v>
      </c>
      <c r="F915" s="4" t="s">
        <v>2662</v>
      </c>
      <c r="G915" s="3" t="s">
        <v>2276</v>
      </c>
      <c r="H915" s="3" t="s">
        <v>523</v>
      </c>
      <c r="I915" s="3"/>
      <c r="J915" s="3" t="s">
        <v>2276</v>
      </c>
      <c r="K915" s="3" t="s">
        <v>2276</v>
      </c>
      <c r="L915" s="3" t="s">
        <v>2276</v>
      </c>
      <c r="M915" s="3" t="s">
        <v>2276</v>
      </c>
      <c r="N915" s="3" t="s">
        <v>2276</v>
      </c>
      <c r="O915" s="3" t="s">
        <v>2276</v>
      </c>
      <c r="P915" s="3" t="s">
        <v>2276</v>
      </c>
      <c r="Q915" s="3" t="s">
        <v>2276</v>
      </c>
      <c r="R915" s="3" t="s">
        <v>2276</v>
      </c>
      <c r="S915" s="3" t="s">
        <v>2276</v>
      </c>
      <c r="T915" s="3" t="s">
        <v>2276</v>
      </c>
      <c r="U915" s="3" t="s">
        <v>2276</v>
      </c>
      <c r="V915" s="3" t="s">
        <v>2276</v>
      </c>
      <c r="W915" s="3" t="s">
        <v>2276</v>
      </c>
      <c r="X915" s="3" t="s">
        <v>2276</v>
      </c>
      <c r="Y915" s="3" t="s">
        <v>2276</v>
      </c>
      <c r="Z915" s="3" t="s">
        <v>2276</v>
      </c>
      <c r="AA915" s="3" t="s">
        <v>2276</v>
      </c>
      <c r="AB915" s="3" t="s">
        <v>2276</v>
      </c>
      <c r="AC915" s="4" t="s">
        <v>2906</v>
      </c>
      <c r="AD915" s="3"/>
    </row>
    <row r="916" spans="1:30" ht="37" customHeight="1">
      <c r="A916" s="11" t="s">
        <v>2888</v>
      </c>
      <c r="B916" s="11" t="s">
        <v>2918</v>
      </c>
      <c r="C916" s="3" t="s">
        <v>24</v>
      </c>
      <c r="D916" s="3" t="s">
        <v>2346</v>
      </c>
      <c r="E916" s="4" t="s">
        <v>1105</v>
      </c>
      <c r="F916" s="4" t="s">
        <v>2662</v>
      </c>
      <c r="G916" s="3" t="s">
        <v>2276</v>
      </c>
      <c r="H916" s="3" t="s">
        <v>523</v>
      </c>
      <c r="I916" s="3"/>
      <c r="J916" s="3" t="s">
        <v>2276</v>
      </c>
      <c r="K916" s="3" t="s">
        <v>2276</v>
      </c>
      <c r="L916" s="3" t="s">
        <v>2276</v>
      </c>
      <c r="M916" s="3" t="s">
        <v>2276</v>
      </c>
      <c r="N916" s="3" t="s">
        <v>2276</v>
      </c>
      <c r="O916" s="3" t="s">
        <v>2276</v>
      </c>
      <c r="P916" s="3" t="s">
        <v>2276</v>
      </c>
      <c r="Q916" s="3" t="s">
        <v>2276</v>
      </c>
      <c r="R916" s="3" t="s">
        <v>2276</v>
      </c>
      <c r="S916" s="3" t="s">
        <v>2276</v>
      </c>
      <c r="T916" s="3" t="s">
        <v>2276</v>
      </c>
      <c r="U916" s="3" t="s">
        <v>2276</v>
      </c>
      <c r="V916" s="3" t="s">
        <v>2276</v>
      </c>
      <c r="W916" s="3" t="s">
        <v>2276</v>
      </c>
      <c r="X916" s="3" t="s">
        <v>2276</v>
      </c>
      <c r="Y916" s="3"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3" t="s">
        <v>2276</v>
      </c>
      <c r="K917" s="3" t="s">
        <v>2276</v>
      </c>
      <c r="L917" s="3" t="s">
        <v>2276</v>
      </c>
      <c r="M917" s="3" t="s">
        <v>2276</v>
      </c>
      <c r="N917" s="3" t="s">
        <v>2276</v>
      </c>
      <c r="O917" s="3" t="s">
        <v>2276</v>
      </c>
      <c r="P917" s="3" t="s">
        <v>2276</v>
      </c>
      <c r="Q917" s="3" t="s">
        <v>2276</v>
      </c>
      <c r="R917" s="3" t="s">
        <v>2276</v>
      </c>
      <c r="S917" s="3" t="s">
        <v>2276</v>
      </c>
      <c r="T917" s="3" t="s">
        <v>2276</v>
      </c>
      <c r="U917" s="3" t="s">
        <v>2276</v>
      </c>
      <c r="V917" s="3" t="s">
        <v>2276</v>
      </c>
      <c r="W917" s="3" t="s">
        <v>2276</v>
      </c>
      <c r="X917" s="3" t="s">
        <v>2276</v>
      </c>
      <c r="Y917" s="3" t="s">
        <v>2276</v>
      </c>
      <c r="Z917" s="3" t="s">
        <v>2276</v>
      </c>
      <c r="AA917" s="3" t="s">
        <v>2276</v>
      </c>
      <c r="AB917" s="3" t="s">
        <v>2276</v>
      </c>
      <c r="AC917" s="3"/>
      <c r="AD917" s="3"/>
    </row>
    <row r="918" spans="1:30" ht="35.5" customHeight="1">
      <c r="A918" s="11" t="s">
        <v>2934</v>
      </c>
      <c r="B918" s="11" t="s">
        <v>2937</v>
      </c>
      <c r="C918" s="23" t="s">
        <v>24</v>
      </c>
      <c r="D918" s="3" t="s">
        <v>27</v>
      </c>
      <c r="E918" s="3" t="s">
        <v>130</v>
      </c>
      <c r="F918" s="4" t="s">
        <v>161</v>
      </c>
      <c r="G918" s="3" t="s">
        <v>2276</v>
      </c>
      <c r="H918" s="3" t="s">
        <v>523</v>
      </c>
      <c r="I918" s="3">
        <v>1990</v>
      </c>
      <c r="J918" s="3" t="s">
        <v>2276</v>
      </c>
      <c r="K918" s="3" t="s">
        <v>2276</v>
      </c>
      <c r="L918" s="3" t="s">
        <v>2276</v>
      </c>
      <c r="M918" s="3" t="s">
        <v>2276</v>
      </c>
      <c r="N918" s="3" t="s">
        <v>2276</v>
      </c>
      <c r="O918" s="3" t="s">
        <v>2276</v>
      </c>
      <c r="P918" s="3" t="s">
        <v>2276</v>
      </c>
      <c r="Q918" s="3" t="s">
        <v>2276</v>
      </c>
      <c r="R918" s="3" t="s">
        <v>2276</v>
      </c>
      <c r="S918" s="3" t="s">
        <v>2276</v>
      </c>
      <c r="T918" s="3" t="s">
        <v>2276</v>
      </c>
      <c r="U918" s="3" t="s">
        <v>2276</v>
      </c>
      <c r="V918" s="3" t="s">
        <v>2276</v>
      </c>
      <c r="W918" s="3" t="s">
        <v>2276</v>
      </c>
      <c r="X918" s="3" t="s">
        <v>2276</v>
      </c>
      <c r="Y918" s="3" t="s">
        <v>2276</v>
      </c>
      <c r="Z918" s="3" t="s">
        <v>2276</v>
      </c>
      <c r="AA918" s="3" t="s">
        <v>2276</v>
      </c>
      <c r="AB918" s="3" t="s">
        <v>2276</v>
      </c>
      <c r="AC918" s="3"/>
      <c r="AD918" s="3"/>
    </row>
    <row r="919" spans="1:30" ht="40" customHeight="1">
      <c r="A919" s="11" t="s">
        <v>2934</v>
      </c>
      <c r="B919" s="11" t="s">
        <v>2939</v>
      </c>
      <c r="C919" s="23" t="s">
        <v>24</v>
      </c>
      <c r="D919" s="3" t="s">
        <v>27</v>
      </c>
      <c r="E919" s="3" t="s">
        <v>130</v>
      </c>
      <c r="F919" s="4" t="s">
        <v>161</v>
      </c>
      <c r="G919" s="3" t="s">
        <v>2276</v>
      </c>
      <c r="H919" s="3" t="s">
        <v>523</v>
      </c>
      <c r="I919" s="3">
        <v>1995</v>
      </c>
      <c r="J919" s="3" t="s">
        <v>2276</v>
      </c>
      <c r="K919" s="3" t="s">
        <v>2276</v>
      </c>
      <c r="L919" s="3" t="s">
        <v>2276</v>
      </c>
      <c r="M919" s="3" t="s">
        <v>2276</v>
      </c>
      <c r="N919" s="3" t="s">
        <v>2276</v>
      </c>
      <c r="O919" s="3" t="s">
        <v>2276</v>
      </c>
      <c r="P919" s="3" t="s">
        <v>2276</v>
      </c>
      <c r="Q919" s="3" t="s">
        <v>2276</v>
      </c>
      <c r="R919" s="3" t="s">
        <v>2276</v>
      </c>
      <c r="S919" s="3" t="s">
        <v>2276</v>
      </c>
      <c r="T919" s="3" t="s">
        <v>2276</v>
      </c>
      <c r="U919" s="3" t="s">
        <v>2276</v>
      </c>
      <c r="V919" s="3" t="s">
        <v>2276</v>
      </c>
      <c r="W919" s="3" t="s">
        <v>2276</v>
      </c>
      <c r="X919" s="3" t="s">
        <v>2276</v>
      </c>
      <c r="Y919" s="3" t="s">
        <v>2276</v>
      </c>
      <c r="Z919" s="3" t="s">
        <v>2276</v>
      </c>
      <c r="AA919" s="3" t="s">
        <v>2276</v>
      </c>
      <c r="AB919" s="3" t="s">
        <v>2276</v>
      </c>
      <c r="AC919" s="3"/>
      <c r="AD919" s="3"/>
    </row>
    <row r="920" spans="1:30" ht="30" customHeight="1">
      <c r="A920" s="11" t="s">
        <v>2936</v>
      </c>
      <c r="B920" s="11" t="s">
        <v>2938</v>
      </c>
      <c r="C920" s="23" t="s">
        <v>24</v>
      </c>
      <c r="D920" s="3" t="s">
        <v>27</v>
      </c>
      <c r="E920" s="3" t="s">
        <v>130</v>
      </c>
      <c r="F920" s="4" t="s">
        <v>161</v>
      </c>
      <c r="G920" s="3" t="s">
        <v>2276</v>
      </c>
      <c r="H920" s="3" t="s">
        <v>523</v>
      </c>
      <c r="I920" s="3">
        <v>2000</v>
      </c>
      <c r="J920" s="3" t="s">
        <v>2276</v>
      </c>
      <c r="K920" s="3" t="s">
        <v>2276</v>
      </c>
      <c r="L920" s="3" t="s">
        <v>2276</v>
      </c>
      <c r="M920" s="3" t="s">
        <v>2276</v>
      </c>
      <c r="N920" s="3" t="s">
        <v>2276</v>
      </c>
      <c r="O920" s="3" t="s">
        <v>2276</v>
      </c>
      <c r="P920" s="3" t="s">
        <v>2276</v>
      </c>
      <c r="Q920" s="3" t="s">
        <v>2276</v>
      </c>
      <c r="R920" s="3" t="s">
        <v>2276</v>
      </c>
      <c r="S920" s="3" t="s">
        <v>2276</v>
      </c>
      <c r="T920" s="3" t="s">
        <v>2276</v>
      </c>
      <c r="U920" s="3" t="s">
        <v>2276</v>
      </c>
      <c r="V920" s="3" t="s">
        <v>2276</v>
      </c>
      <c r="W920" s="3" t="s">
        <v>2276</v>
      </c>
      <c r="X920" s="3" t="s">
        <v>2276</v>
      </c>
      <c r="Y920" s="3" t="s">
        <v>2276</v>
      </c>
      <c r="Z920" s="3" t="s">
        <v>2276</v>
      </c>
      <c r="AA920" s="3" t="s">
        <v>2276</v>
      </c>
      <c r="AB920" s="3" t="s">
        <v>2276</v>
      </c>
      <c r="AC920" s="3"/>
      <c r="AD920" s="3"/>
    </row>
    <row r="921" spans="1:30" ht="34.5" customHeight="1">
      <c r="A921" s="11" t="s">
        <v>2936</v>
      </c>
      <c r="B921" s="11" t="s">
        <v>2941</v>
      </c>
      <c r="C921" s="23" t="s">
        <v>24</v>
      </c>
      <c r="D921" s="3" t="s">
        <v>27</v>
      </c>
      <c r="E921" s="3" t="s">
        <v>130</v>
      </c>
      <c r="F921" s="4" t="s">
        <v>161</v>
      </c>
      <c r="G921" s="3" t="s">
        <v>2276</v>
      </c>
      <c r="H921" s="3" t="s">
        <v>523</v>
      </c>
      <c r="I921" s="3">
        <v>2007</v>
      </c>
      <c r="J921" s="3" t="s">
        <v>2276</v>
      </c>
      <c r="K921" s="3" t="s">
        <v>2276</v>
      </c>
      <c r="L921" s="3" t="s">
        <v>2276</v>
      </c>
      <c r="M921" s="3" t="s">
        <v>2276</v>
      </c>
      <c r="N921" s="3" t="s">
        <v>2276</v>
      </c>
      <c r="O921" s="3" t="s">
        <v>2276</v>
      </c>
      <c r="P921" s="3" t="s">
        <v>2276</v>
      </c>
      <c r="Q921" s="3" t="s">
        <v>2276</v>
      </c>
      <c r="R921" s="3" t="s">
        <v>2276</v>
      </c>
      <c r="S921" s="3" t="s">
        <v>2276</v>
      </c>
      <c r="T921" s="3" t="s">
        <v>2276</v>
      </c>
      <c r="U921" s="3" t="s">
        <v>2276</v>
      </c>
      <c r="V921" s="3" t="s">
        <v>2276</v>
      </c>
      <c r="W921" s="3" t="s">
        <v>2276</v>
      </c>
      <c r="X921" s="3" t="s">
        <v>2276</v>
      </c>
      <c r="Y921" s="3" t="s">
        <v>2276</v>
      </c>
      <c r="Z921" s="3" t="s">
        <v>2276</v>
      </c>
      <c r="AA921" s="3" t="s">
        <v>2276</v>
      </c>
      <c r="AB921" s="3" t="s">
        <v>2276</v>
      </c>
      <c r="AC921" s="3"/>
      <c r="AD921" s="3"/>
    </row>
    <row r="922" spans="1:30" ht="34.5" customHeight="1">
      <c r="A922" s="11" t="s">
        <v>2944</v>
      </c>
      <c r="B922" s="11" t="s">
        <v>2948</v>
      </c>
      <c r="C922" s="23" t="s">
        <v>24</v>
      </c>
      <c r="D922" s="3" t="s">
        <v>27</v>
      </c>
      <c r="E922" s="3" t="s">
        <v>130</v>
      </c>
      <c r="F922" s="4" t="s">
        <v>161</v>
      </c>
      <c r="G922" s="3" t="s">
        <v>2276</v>
      </c>
      <c r="H922" s="3" t="s">
        <v>523</v>
      </c>
      <c r="I922" s="3"/>
      <c r="J922" s="3" t="s">
        <v>2276</v>
      </c>
      <c r="K922" s="3" t="s">
        <v>2276</v>
      </c>
      <c r="L922" s="3" t="s">
        <v>2276</v>
      </c>
      <c r="M922" s="3" t="s">
        <v>2276</v>
      </c>
      <c r="N922" s="3" t="s">
        <v>2276</v>
      </c>
      <c r="O922" s="3" t="s">
        <v>2276</v>
      </c>
      <c r="P922" s="3" t="s">
        <v>2276</v>
      </c>
      <c r="Q922" s="3" t="s">
        <v>2276</v>
      </c>
      <c r="R922" s="3" t="s">
        <v>2276</v>
      </c>
      <c r="S922" s="3" t="s">
        <v>2276</v>
      </c>
      <c r="T922" s="3" t="s">
        <v>2276</v>
      </c>
      <c r="U922" s="3" t="s">
        <v>2276</v>
      </c>
      <c r="V922" s="3" t="s">
        <v>2276</v>
      </c>
      <c r="W922" s="3" t="s">
        <v>2276</v>
      </c>
      <c r="X922" s="3" t="s">
        <v>2276</v>
      </c>
      <c r="Y922" s="3" t="s">
        <v>2276</v>
      </c>
      <c r="Z922" s="3" t="s">
        <v>38</v>
      </c>
      <c r="AA922" s="3" t="s">
        <v>86</v>
      </c>
      <c r="AB922" s="3" t="s">
        <v>64</v>
      </c>
      <c r="AC922" s="3"/>
      <c r="AD922" s="4" t="s">
        <v>2949</v>
      </c>
    </row>
    <row r="923" spans="1:30" ht="39" customHeight="1">
      <c r="A923" s="11" t="s">
        <v>2954</v>
      </c>
      <c r="B923" s="3" t="s">
        <v>2958</v>
      </c>
      <c r="C923" s="23" t="s">
        <v>24</v>
      </c>
      <c r="D923" s="3" t="s">
        <v>1242</v>
      </c>
      <c r="E923" s="3" t="s">
        <v>130</v>
      </c>
      <c r="F923" s="4" t="s">
        <v>2662</v>
      </c>
      <c r="G923" s="3" t="s">
        <v>2276</v>
      </c>
      <c r="H923" s="3" t="s">
        <v>523</v>
      </c>
      <c r="I923" s="3"/>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2276</v>
      </c>
      <c r="Y923" s="3" t="s">
        <v>2276</v>
      </c>
      <c r="Z923" s="3" t="s">
        <v>38</v>
      </c>
      <c r="AA923" s="3" t="s">
        <v>86</v>
      </c>
      <c r="AB923" s="3" t="s">
        <v>64</v>
      </c>
      <c r="AC923" s="4" t="s">
        <v>2959</v>
      </c>
      <c r="AD923" s="3"/>
    </row>
    <row r="924" spans="1:30" ht="37.5" customHeight="1">
      <c r="A924" s="11" t="s">
        <v>2954</v>
      </c>
      <c r="B924" s="3" t="s">
        <v>2960</v>
      </c>
      <c r="C924" s="23" t="s">
        <v>24</v>
      </c>
      <c r="D924" s="3" t="s">
        <v>1242</v>
      </c>
      <c r="E924" s="3" t="s">
        <v>116</v>
      </c>
      <c r="F924" s="4" t="s">
        <v>2662</v>
      </c>
      <c r="G924" s="3" t="s">
        <v>2276</v>
      </c>
      <c r="H924" s="3" t="s">
        <v>523</v>
      </c>
      <c r="I924" s="3"/>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2276</v>
      </c>
      <c r="Y924" s="3" t="s">
        <v>2276</v>
      </c>
      <c r="Z924" s="3" t="s">
        <v>38</v>
      </c>
      <c r="AA924" s="3" t="s">
        <v>86</v>
      </c>
      <c r="AB924" s="3" t="s">
        <v>64</v>
      </c>
      <c r="AC924" s="4" t="s">
        <v>2961</v>
      </c>
      <c r="AD924" s="3"/>
    </row>
    <row r="925" spans="1:30" ht="36.5" customHeight="1">
      <c r="A925" s="11" t="s">
        <v>2954</v>
      </c>
      <c r="B925" s="3" t="s">
        <v>2962</v>
      </c>
      <c r="C925" s="23" t="s">
        <v>24</v>
      </c>
      <c r="D925" s="3" t="s">
        <v>1245</v>
      </c>
      <c r="E925" s="3" t="s">
        <v>116</v>
      </c>
      <c r="F925" s="4" t="s">
        <v>2662</v>
      </c>
      <c r="G925" s="3" t="s">
        <v>2276</v>
      </c>
      <c r="H925" s="3" t="s">
        <v>523</v>
      </c>
      <c r="I925" s="3"/>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2276</v>
      </c>
      <c r="Y925" s="3" t="s">
        <v>2276</v>
      </c>
      <c r="Z925" s="3" t="s">
        <v>38</v>
      </c>
      <c r="AA925" s="3" t="s">
        <v>38</v>
      </c>
      <c r="AB925" s="3" t="s">
        <v>64</v>
      </c>
      <c r="AC925" s="4" t="s">
        <v>2974</v>
      </c>
      <c r="AD925" s="3"/>
    </row>
    <row r="926" spans="1:30" ht="50.5" customHeight="1">
      <c r="A926" s="11" t="s">
        <v>2954</v>
      </c>
      <c r="B926" s="3" t="s">
        <v>2963</v>
      </c>
      <c r="C926" s="23" t="s">
        <v>24</v>
      </c>
      <c r="D926" s="3" t="s">
        <v>1131</v>
      </c>
      <c r="E926" s="3" t="s">
        <v>116</v>
      </c>
      <c r="F926" s="4" t="s">
        <v>2662</v>
      </c>
      <c r="G926" s="3" t="s">
        <v>2276</v>
      </c>
      <c r="H926" s="3" t="s">
        <v>523</v>
      </c>
      <c r="I926" s="3"/>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2276</v>
      </c>
      <c r="Y926" s="21">
        <v>5.5</v>
      </c>
      <c r="Z926" s="3" t="s">
        <v>38</v>
      </c>
      <c r="AA926" s="3" t="s">
        <v>86</v>
      </c>
      <c r="AB926" s="3" t="s">
        <v>64</v>
      </c>
      <c r="AC926" s="4" t="s">
        <v>2964</v>
      </c>
      <c r="AD926" s="3"/>
    </row>
    <row r="927" spans="1:30" ht="47.5" customHeight="1">
      <c r="A927" s="11" t="s">
        <v>2954</v>
      </c>
      <c r="B927" s="3" t="s">
        <v>2965</v>
      </c>
      <c r="C927" s="23" t="s">
        <v>24</v>
      </c>
      <c r="D927" s="3" t="s">
        <v>25</v>
      </c>
      <c r="E927" s="3" t="s">
        <v>45</v>
      </c>
      <c r="F927" s="4" t="s">
        <v>29</v>
      </c>
      <c r="G927" s="3" t="s">
        <v>2276</v>
      </c>
      <c r="H927" s="3" t="s">
        <v>523</v>
      </c>
      <c r="I927" s="3"/>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2276</v>
      </c>
      <c r="Y927" s="21">
        <v>1</v>
      </c>
      <c r="Z927" s="3" t="s">
        <v>86</v>
      </c>
      <c r="AA927" s="3" t="s">
        <v>86</v>
      </c>
      <c r="AB927" s="3" t="s">
        <v>64</v>
      </c>
      <c r="AC927" s="3" t="s">
        <v>2966</v>
      </c>
      <c r="AD927" s="3"/>
    </row>
    <row r="928" spans="1:30" ht="42.5" customHeight="1">
      <c r="A928" s="11" t="s">
        <v>2954</v>
      </c>
      <c r="B928" s="3" t="s">
        <v>2967</v>
      </c>
      <c r="C928" s="23" t="s">
        <v>24</v>
      </c>
      <c r="D928" s="3" t="s">
        <v>27</v>
      </c>
      <c r="E928" s="3" t="s">
        <v>130</v>
      </c>
      <c r="F928" s="4" t="s">
        <v>161</v>
      </c>
      <c r="G928" s="3" t="s">
        <v>2276</v>
      </c>
      <c r="H928" s="3" t="s">
        <v>523</v>
      </c>
      <c r="I928" s="3"/>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2276</v>
      </c>
      <c r="Y928" s="3" t="s">
        <v>2276</v>
      </c>
      <c r="Z928" s="3" t="s">
        <v>405</v>
      </c>
      <c r="AA928" s="3" t="s">
        <v>425</v>
      </c>
      <c r="AB928" s="3" t="s">
        <v>76</v>
      </c>
      <c r="AC928" s="4" t="s">
        <v>2968</v>
      </c>
      <c r="AD928" s="3"/>
    </row>
    <row r="929" spans="1:30" ht="34.5" customHeight="1">
      <c r="A929" s="11" t="s">
        <v>2954</v>
      </c>
      <c r="B929" s="3"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3" t="s">
        <v>2276</v>
      </c>
      <c r="Z929" s="3" t="s">
        <v>38</v>
      </c>
      <c r="AA929" s="3" t="s">
        <v>425</v>
      </c>
      <c r="AB929" s="3" t="s">
        <v>64</v>
      </c>
      <c r="AC929" s="3" t="s">
        <v>2976</v>
      </c>
      <c r="AD929" s="3"/>
    </row>
    <row r="930" spans="1:30" ht="34.5" customHeight="1">
      <c r="A930" s="11" t="s">
        <v>2954</v>
      </c>
      <c r="B930" s="3"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3" t="s">
        <v>2276</v>
      </c>
      <c r="Z930" s="3" t="s">
        <v>38</v>
      </c>
      <c r="AA930" s="3" t="s">
        <v>425</v>
      </c>
      <c r="AB930" s="3" t="s">
        <v>64</v>
      </c>
      <c r="AC930" s="4" t="s">
        <v>2977</v>
      </c>
      <c r="AD930" s="3"/>
    </row>
    <row r="931" spans="1:30" ht="41" customHeight="1">
      <c r="A931" s="11" t="s">
        <v>2954</v>
      </c>
      <c r="B931" s="3" t="s">
        <v>2971</v>
      </c>
      <c r="C931" s="23" t="s">
        <v>24</v>
      </c>
      <c r="D931" s="3" t="s">
        <v>26</v>
      </c>
      <c r="E931" s="3" t="s">
        <v>130</v>
      </c>
      <c r="F931" s="4" t="s">
        <v>2662</v>
      </c>
      <c r="G931" s="3" t="s">
        <v>2276</v>
      </c>
      <c r="H931" s="3" t="s">
        <v>523</v>
      </c>
      <c r="I931" s="3"/>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2276</v>
      </c>
      <c r="Y931" s="3" t="s">
        <v>2276</v>
      </c>
      <c r="Z931" s="3" t="s">
        <v>38</v>
      </c>
      <c r="AA931" s="3" t="s">
        <v>425</v>
      </c>
      <c r="AB931" s="3" t="s">
        <v>64</v>
      </c>
      <c r="AC931" s="3"/>
      <c r="AD931" s="3"/>
    </row>
    <row r="932" spans="1:30" ht="39" customHeight="1">
      <c r="A932" s="11" t="s">
        <v>2954</v>
      </c>
      <c r="B932" s="3" t="s">
        <v>2972</v>
      </c>
      <c r="C932" s="23" t="s">
        <v>24</v>
      </c>
      <c r="D932" s="3" t="s">
        <v>26</v>
      </c>
      <c r="E932" s="3" t="s">
        <v>116</v>
      </c>
      <c r="F932" s="4" t="s">
        <v>2662</v>
      </c>
      <c r="G932" s="3" t="s">
        <v>2276</v>
      </c>
      <c r="H932" s="3" t="s">
        <v>523</v>
      </c>
      <c r="I932" s="3"/>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2276</v>
      </c>
      <c r="Y932" s="3" t="s">
        <v>2276</v>
      </c>
      <c r="Z932" s="3" t="s">
        <v>38</v>
      </c>
      <c r="AA932" s="3" t="s">
        <v>425</v>
      </c>
      <c r="AB932" s="3" t="s">
        <v>64</v>
      </c>
      <c r="AC932" s="3"/>
      <c r="AD932" s="3"/>
    </row>
    <row r="933" spans="1:30" ht="40.5" customHeight="1">
      <c r="A933" s="11" t="s">
        <v>2954</v>
      </c>
      <c r="B933" s="3" t="s">
        <v>2975</v>
      </c>
      <c r="C933" s="23" t="s">
        <v>2458</v>
      </c>
      <c r="D933" s="3" t="s">
        <v>25</v>
      </c>
      <c r="E933" s="3" t="s">
        <v>2647</v>
      </c>
      <c r="F933" s="4" t="s">
        <v>29</v>
      </c>
      <c r="G933" s="4" t="s">
        <v>2662</v>
      </c>
      <c r="H933" s="3" t="s">
        <v>523</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2276</v>
      </c>
      <c r="Y933" s="3" t="s">
        <v>2276</v>
      </c>
      <c r="Z933" s="3" t="s">
        <v>38</v>
      </c>
      <c r="AA933" s="3" t="s">
        <v>425</v>
      </c>
      <c r="AB933" s="3" t="s">
        <v>64</v>
      </c>
      <c r="AC933" s="4" t="s">
        <v>2973</v>
      </c>
      <c r="AD933" s="3"/>
    </row>
    <row r="934" spans="1:30" ht="50" customHeight="1">
      <c r="A934" s="11" t="s">
        <v>2954</v>
      </c>
      <c r="B934" s="3" t="s">
        <v>2981</v>
      </c>
      <c r="C934" s="23" t="s">
        <v>2458</v>
      </c>
      <c r="D934" s="3" t="s">
        <v>27</v>
      </c>
      <c r="E934" s="3" t="s">
        <v>130</v>
      </c>
      <c r="F934" s="4" t="s">
        <v>161</v>
      </c>
      <c r="G934" s="4" t="s">
        <v>2662</v>
      </c>
      <c r="H934" s="3" t="s">
        <v>523</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2276</v>
      </c>
      <c r="Y934" s="3" t="s">
        <v>2276</v>
      </c>
      <c r="Z934" s="3" t="s">
        <v>405</v>
      </c>
      <c r="AA934" s="3" t="s">
        <v>425</v>
      </c>
      <c r="AB934" s="3"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2276</v>
      </c>
      <c r="Y935" s="3" t="s">
        <v>2276</v>
      </c>
      <c r="Z935" s="3" t="s">
        <v>68</v>
      </c>
      <c r="AA935" s="3" t="s">
        <v>35</v>
      </c>
      <c r="AB935" s="3" t="s">
        <v>64</v>
      </c>
      <c r="AC935" s="4" t="s">
        <v>3006</v>
      </c>
      <c r="AD935" s="3"/>
    </row>
    <row r="936" spans="1:30" ht="46" customHeight="1">
      <c r="A936" s="11" t="s">
        <v>2988</v>
      </c>
      <c r="B936" s="11" t="s">
        <v>2990</v>
      </c>
      <c r="C936" s="23" t="s">
        <v>24</v>
      </c>
      <c r="D936" s="3" t="s">
        <v>26</v>
      </c>
      <c r="E936" s="3" t="s">
        <v>5005</v>
      </c>
      <c r="F936" s="4" t="s">
        <v>2662</v>
      </c>
      <c r="G936" s="3"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3" t="s">
        <v>2276</v>
      </c>
      <c r="Z936" s="3" t="s">
        <v>2276</v>
      </c>
      <c r="AA936" s="3" t="s">
        <v>2276</v>
      </c>
      <c r="AB936" s="3" t="s">
        <v>2276</v>
      </c>
      <c r="AC936" s="3"/>
      <c r="AD936" s="3"/>
    </row>
    <row r="937" spans="1:30" ht="70" customHeight="1">
      <c r="A937" s="11" t="s">
        <v>2988</v>
      </c>
      <c r="B937" s="11" t="s">
        <v>2991</v>
      </c>
      <c r="C937" s="23" t="s">
        <v>24</v>
      </c>
      <c r="D937" s="3" t="s">
        <v>2341</v>
      </c>
      <c r="E937" s="3" t="s">
        <v>5005</v>
      </c>
      <c r="F937" s="4" t="s">
        <v>2662</v>
      </c>
      <c r="G937" s="3" t="s">
        <v>2276</v>
      </c>
      <c r="H937" s="3" t="s">
        <v>523</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2276</v>
      </c>
      <c r="Y937" s="3"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t="s">
        <v>2276</v>
      </c>
      <c r="Y938" s="3"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3"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3" t="s">
        <v>2276</v>
      </c>
      <c r="Z939" s="3" t="s">
        <v>34</v>
      </c>
      <c r="AA939" s="3" t="s">
        <v>34</v>
      </c>
      <c r="AB939" s="3" t="s">
        <v>2655</v>
      </c>
      <c r="AC939" s="4" t="s">
        <v>3007</v>
      </c>
      <c r="AD939" s="3"/>
    </row>
    <row r="940" spans="1:30" ht="43.5" customHeight="1">
      <c r="A940" s="11" t="s">
        <v>2988</v>
      </c>
      <c r="B940" s="11" t="s">
        <v>2998</v>
      </c>
      <c r="C940" s="23" t="s">
        <v>24</v>
      </c>
      <c r="D940" s="3" t="s">
        <v>27</v>
      </c>
      <c r="E940" s="3" t="s">
        <v>130</v>
      </c>
      <c r="F940" s="4" t="s">
        <v>161</v>
      </c>
      <c r="G940" s="3" t="s">
        <v>2276</v>
      </c>
      <c r="H940" s="3" t="s">
        <v>523</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2276</v>
      </c>
      <c r="Y940" s="3"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3" t="s">
        <v>2276</v>
      </c>
      <c r="H941" s="3" t="s">
        <v>523</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2276</v>
      </c>
      <c r="Y941" s="3"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3"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t="s">
        <v>2276</v>
      </c>
      <c r="AB942" s="3" t="s">
        <v>2276</v>
      </c>
      <c r="AC942" s="3"/>
      <c r="AD942" s="3"/>
    </row>
    <row r="943" spans="1:30" ht="42.5" customHeight="1">
      <c r="A943" s="11" t="s">
        <v>2988</v>
      </c>
      <c r="B943" s="11" t="s">
        <v>3001</v>
      </c>
      <c r="C943" s="3" t="s">
        <v>24</v>
      </c>
      <c r="D943" s="3" t="s">
        <v>1245</v>
      </c>
      <c r="E943" s="3" t="s">
        <v>116</v>
      </c>
      <c r="F943" s="4" t="s">
        <v>2662</v>
      </c>
      <c r="G943" s="3" t="s">
        <v>2276</v>
      </c>
      <c r="H943" s="3" t="s">
        <v>523</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3" t="s">
        <v>2276</v>
      </c>
      <c r="H944" s="3" t="s">
        <v>523</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2276</v>
      </c>
      <c r="AB945" s="3"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2276</v>
      </c>
      <c r="Y946" s="3"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3" t="s">
        <v>2276</v>
      </c>
      <c r="H947" s="3" t="s">
        <v>523</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2276</v>
      </c>
      <c r="Y947" s="3"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3"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3" t="s">
        <v>2276</v>
      </c>
      <c r="Z948" s="3" t="s">
        <v>34</v>
      </c>
      <c r="AA948" s="3" t="s">
        <v>34</v>
      </c>
      <c r="AB948" s="3" t="s">
        <v>2655</v>
      </c>
      <c r="AC948" s="3"/>
      <c r="AD948" s="3"/>
    </row>
    <row r="949" spans="1:30" ht="83.5" customHeight="1">
      <c r="A949" s="11" t="s">
        <v>2995</v>
      </c>
      <c r="B949" s="11" t="s">
        <v>2996</v>
      </c>
      <c r="C949" s="3" t="s">
        <v>24</v>
      </c>
      <c r="D949" s="3" t="s">
        <v>25</v>
      </c>
      <c r="E949" s="3" t="s">
        <v>45</v>
      </c>
      <c r="F949" s="4" t="s">
        <v>29</v>
      </c>
      <c r="G949" s="3" t="s">
        <v>2276</v>
      </c>
      <c r="H949" s="3" t="s">
        <v>523</v>
      </c>
      <c r="I949" s="3"/>
      <c r="J949" s="3" t="s">
        <v>2276</v>
      </c>
      <c r="K949" s="3" t="s">
        <v>2276</v>
      </c>
      <c r="L949" s="3" t="s">
        <v>2276</v>
      </c>
      <c r="M949" s="3" t="s">
        <v>2276</v>
      </c>
      <c r="N949" s="3" t="s">
        <v>2276</v>
      </c>
      <c r="O949" s="3" t="s">
        <v>2276</v>
      </c>
      <c r="P949" s="3" t="s">
        <v>2276</v>
      </c>
      <c r="Q949" s="3" t="s">
        <v>2276</v>
      </c>
      <c r="R949" s="3" t="s">
        <v>2276</v>
      </c>
      <c r="S949" s="3" t="s">
        <v>2276</v>
      </c>
      <c r="T949" s="3" t="s">
        <v>2276</v>
      </c>
      <c r="U949" s="3" t="s">
        <v>2276</v>
      </c>
      <c r="V949" s="3" t="s">
        <v>2276</v>
      </c>
      <c r="W949" s="3" t="s">
        <v>2276</v>
      </c>
      <c r="X949" s="3" t="s">
        <v>2276</v>
      </c>
      <c r="Y949" s="3"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3"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3" t="s">
        <v>2276</v>
      </c>
      <c r="H951" s="3" t="s">
        <v>523</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2276</v>
      </c>
      <c r="Y951" s="3" t="s">
        <v>2276</v>
      </c>
      <c r="Z951" s="3" t="s">
        <v>86</v>
      </c>
      <c r="AA951" s="3" t="s">
        <v>425</v>
      </c>
      <c r="AB951" s="3" t="s">
        <v>64</v>
      </c>
      <c r="AC951" s="3"/>
      <c r="AD951" s="3"/>
    </row>
    <row r="952" spans="1:30" ht="66" customHeight="1">
      <c r="A952" s="11" t="s">
        <v>2995</v>
      </c>
      <c r="B952" s="11" t="s">
        <v>3023</v>
      </c>
      <c r="C952" s="3" t="s">
        <v>24</v>
      </c>
      <c r="D952" s="3" t="s">
        <v>1242</v>
      </c>
      <c r="E952" s="3" t="s">
        <v>45</v>
      </c>
      <c r="F952" s="4" t="s">
        <v>2276</v>
      </c>
      <c r="G952" s="3" t="s">
        <v>2276</v>
      </c>
      <c r="H952" s="3" t="s">
        <v>523</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2276</v>
      </c>
      <c r="Y952" s="3"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3" t="s">
        <v>2276</v>
      </c>
      <c r="H953" s="3" t="s">
        <v>523</v>
      </c>
      <c r="I953" s="3"/>
      <c r="J953" s="3" t="s">
        <v>2276</v>
      </c>
      <c r="K953" s="3" t="s">
        <v>2276</v>
      </c>
      <c r="L953" s="3" t="s">
        <v>2276</v>
      </c>
      <c r="M953" s="3" t="s">
        <v>2276</v>
      </c>
      <c r="N953" s="3" t="s">
        <v>2276</v>
      </c>
      <c r="O953" s="3" t="s">
        <v>2276</v>
      </c>
      <c r="P953" s="3" t="s">
        <v>2276</v>
      </c>
      <c r="Q953" s="3" t="s">
        <v>2276</v>
      </c>
      <c r="R953" s="3" t="s">
        <v>2276</v>
      </c>
      <c r="S953" s="3" t="s">
        <v>2276</v>
      </c>
      <c r="T953" s="3" t="s">
        <v>2276</v>
      </c>
      <c r="U953" s="3" t="s">
        <v>2276</v>
      </c>
      <c r="V953" s="3" t="s">
        <v>2276</v>
      </c>
      <c r="W953" s="3" t="s">
        <v>2276</v>
      </c>
      <c r="X953" s="3" t="s">
        <v>2276</v>
      </c>
      <c r="Y953" s="3"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3" t="s">
        <v>2276</v>
      </c>
      <c r="H954" s="3" t="s">
        <v>523</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2276</v>
      </c>
      <c r="Y954" s="3"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3" t="s">
        <v>2276</v>
      </c>
      <c r="H955" s="3" t="s">
        <v>523</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2276</v>
      </c>
      <c r="Y955" s="3"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3" t="s">
        <v>2276</v>
      </c>
      <c r="H956" s="3" t="s">
        <v>523</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2276</v>
      </c>
      <c r="Y956" s="3"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3" t="s">
        <v>2276</v>
      </c>
      <c r="H957" s="3" t="s">
        <v>523</v>
      </c>
      <c r="I957" s="22"/>
      <c r="J957" s="3" t="s">
        <v>2276</v>
      </c>
      <c r="K957" s="3" t="s">
        <v>2276</v>
      </c>
      <c r="L957" s="77">
        <v>10</v>
      </c>
      <c r="M957" s="3" t="s">
        <v>2276</v>
      </c>
      <c r="N957" s="77">
        <v>150</v>
      </c>
      <c r="O957" s="3" t="s">
        <v>2276</v>
      </c>
      <c r="P957" s="3" t="s">
        <v>2276</v>
      </c>
      <c r="Q957" s="3" t="s">
        <v>2276</v>
      </c>
      <c r="R957" s="3" t="s">
        <v>2276</v>
      </c>
      <c r="S957" s="3" t="s">
        <v>2276</v>
      </c>
      <c r="T957" s="3" t="s">
        <v>2276</v>
      </c>
      <c r="U957" s="3" t="s">
        <v>2276</v>
      </c>
      <c r="V957" s="3" t="s">
        <v>2276</v>
      </c>
      <c r="W957" s="3" t="s">
        <v>2276</v>
      </c>
      <c r="X957" s="3" t="s">
        <v>2276</v>
      </c>
      <c r="Y957" s="3"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3" t="s">
        <v>2276</v>
      </c>
      <c r="H958" s="3" t="s">
        <v>523</v>
      </c>
      <c r="I958" s="22"/>
      <c r="J958" s="3" t="s">
        <v>2276</v>
      </c>
      <c r="K958" s="3" t="s">
        <v>2276</v>
      </c>
      <c r="L958" s="77">
        <v>10</v>
      </c>
      <c r="M958" s="3" t="s">
        <v>2276</v>
      </c>
      <c r="N958" s="77">
        <v>150</v>
      </c>
      <c r="O958" s="3" t="s">
        <v>2276</v>
      </c>
      <c r="P958" s="3" t="s">
        <v>2276</v>
      </c>
      <c r="Q958" s="3" t="s">
        <v>2276</v>
      </c>
      <c r="R958" s="3" t="s">
        <v>2276</v>
      </c>
      <c r="S958" s="3" t="s">
        <v>2276</v>
      </c>
      <c r="T958" s="3" t="s">
        <v>2276</v>
      </c>
      <c r="U958" s="3" t="s">
        <v>2276</v>
      </c>
      <c r="V958" s="3" t="s">
        <v>2276</v>
      </c>
      <c r="W958" s="3" t="s">
        <v>2276</v>
      </c>
      <c r="X958" s="3" t="s">
        <v>2276</v>
      </c>
      <c r="Y958" s="3"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3" t="s">
        <v>2276</v>
      </c>
      <c r="H959" s="3" t="s">
        <v>523</v>
      </c>
      <c r="I959" s="22"/>
      <c r="J959" s="3" t="s">
        <v>2276</v>
      </c>
      <c r="K959" s="3" t="s">
        <v>2276</v>
      </c>
      <c r="L959" s="77">
        <v>10</v>
      </c>
      <c r="M959" s="3" t="s">
        <v>2276</v>
      </c>
      <c r="N959" s="77">
        <v>150</v>
      </c>
      <c r="O959" s="3" t="s">
        <v>2276</v>
      </c>
      <c r="P959" s="3" t="s">
        <v>2276</v>
      </c>
      <c r="Q959" s="3" t="s">
        <v>2276</v>
      </c>
      <c r="R959" s="3" t="s">
        <v>2276</v>
      </c>
      <c r="S959" s="3" t="s">
        <v>2276</v>
      </c>
      <c r="T959" s="3" t="s">
        <v>2276</v>
      </c>
      <c r="U959" s="3" t="s">
        <v>2276</v>
      </c>
      <c r="V959" s="3" t="s">
        <v>2276</v>
      </c>
      <c r="W959" s="3" t="s">
        <v>2276</v>
      </c>
      <c r="X959" s="3" t="s">
        <v>2276</v>
      </c>
      <c r="Y959" s="3"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3" t="s">
        <v>2276</v>
      </c>
      <c r="H960" s="3" t="s">
        <v>523</v>
      </c>
      <c r="I960" s="22"/>
      <c r="J960" s="3" t="s">
        <v>2276</v>
      </c>
      <c r="K960" s="3" t="s">
        <v>2276</v>
      </c>
      <c r="L960" s="77">
        <v>10</v>
      </c>
      <c r="M960" s="3" t="s">
        <v>2276</v>
      </c>
      <c r="N960" s="77">
        <v>150</v>
      </c>
      <c r="O960" s="3" t="s">
        <v>2276</v>
      </c>
      <c r="P960" s="3" t="s">
        <v>2276</v>
      </c>
      <c r="Q960" s="3" t="s">
        <v>2276</v>
      </c>
      <c r="R960" s="3" t="s">
        <v>2276</v>
      </c>
      <c r="S960" s="3" t="s">
        <v>2276</v>
      </c>
      <c r="T960" s="3" t="s">
        <v>2276</v>
      </c>
      <c r="U960" s="3" t="s">
        <v>2276</v>
      </c>
      <c r="V960" s="3" t="s">
        <v>2276</v>
      </c>
      <c r="W960" s="3" t="s">
        <v>2276</v>
      </c>
      <c r="X960" s="3" t="s">
        <v>2276</v>
      </c>
      <c r="Y960" s="3"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3" t="s">
        <v>2276</v>
      </c>
      <c r="H961" s="3" t="s">
        <v>523</v>
      </c>
      <c r="I961" s="22"/>
      <c r="J961" s="3" t="s">
        <v>2276</v>
      </c>
      <c r="K961" s="3" t="s">
        <v>2276</v>
      </c>
      <c r="L961" s="3" t="s">
        <v>2276</v>
      </c>
      <c r="M961" s="3" t="s">
        <v>2276</v>
      </c>
      <c r="N961" s="3" t="s">
        <v>2276</v>
      </c>
      <c r="O961" s="3" t="s">
        <v>2276</v>
      </c>
      <c r="P961" s="3" t="s">
        <v>2276</v>
      </c>
      <c r="Q961" s="3" t="s">
        <v>2276</v>
      </c>
      <c r="R961" s="3" t="s">
        <v>2276</v>
      </c>
      <c r="S961" s="3" t="s">
        <v>2276</v>
      </c>
      <c r="T961" s="3" t="s">
        <v>2276</v>
      </c>
      <c r="U961" s="3" t="s">
        <v>2276</v>
      </c>
      <c r="V961" s="3" t="s">
        <v>2276</v>
      </c>
      <c r="W961" s="3" t="s">
        <v>2276</v>
      </c>
      <c r="X961" s="3" t="s">
        <v>2276</v>
      </c>
      <c r="Y961" s="3"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3" t="s">
        <v>2276</v>
      </c>
      <c r="H962" s="3" t="s">
        <v>523</v>
      </c>
      <c r="I962" s="22"/>
      <c r="J962" s="3" t="s">
        <v>2276</v>
      </c>
      <c r="K962" s="3" t="s">
        <v>2276</v>
      </c>
      <c r="L962" s="77">
        <v>10</v>
      </c>
      <c r="M962" s="3" t="s">
        <v>2276</v>
      </c>
      <c r="N962" s="77">
        <v>150</v>
      </c>
      <c r="O962" s="3" t="s">
        <v>2276</v>
      </c>
      <c r="P962" s="3" t="s">
        <v>2276</v>
      </c>
      <c r="Q962" s="3" t="s">
        <v>2276</v>
      </c>
      <c r="R962" s="3" t="s">
        <v>2276</v>
      </c>
      <c r="S962" s="3" t="s">
        <v>2276</v>
      </c>
      <c r="T962" s="3" t="s">
        <v>2276</v>
      </c>
      <c r="U962" s="3" t="s">
        <v>2276</v>
      </c>
      <c r="V962" s="3" t="s">
        <v>2276</v>
      </c>
      <c r="W962" s="3" t="s">
        <v>2276</v>
      </c>
      <c r="X962" s="3" t="s">
        <v>2276</v>
      </c>
      <c r="Y962" s="3"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3" t="s">
        <v>2276</v>
      </c>
      <c r="H963" s="3" t="s">
        <v>523</v>
      </c>
      <c r="I963" s="22"/>
      <c r="J963" s="3" t="s">
        <v>2276</v>
      </c>
      <c r="K963" s="3" t="s">
        <v>2276</v>
      </c>
      <c r="L963" s="3" t="s">
        <v>2276</v>
      </c>
      <c r="M963" s="3" t="s">
        <v>2276</v>
      </c>
      <c r="N963" s="3" t="s">
        <v>2276</v>
      </c>
      <c r="O963" s="3" t="s">
        <v>2276</v>
      </c>
      <c r="P963" s="3" t="s">
        <v>2276</v>
      </c>
      <c r="Q963" s="3" t="s">
        <v>2276</v>
      </c>
      <c r="R963" s="3" t="s">
        <v>2276</v>
      </c>
      <c r="S963" s="3" t="s">
        <v>2276</v>
      </c>
      <c r="T963" s="3" t="s">
        <v>2276</v>
      </c>
      <c r="U963" s="3" t="s">
        <v>2276</v>
      </c>
      <c r="V963" s="3" t="s">
        <v>2276</v>
      </c>
      <c r="W963" s="3" t="s">
        <v>2276</v>
      </c>
      <c r="X963" s="3" t="s">
        <v>2276</v>
      </c>
      <c r="Y963" s="3"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3" t="s">
        <v>2276</v>
      </c>
      <c r="H964" s="3" t="s">
        <v>523</v>
      </c>
      <c r="I964" s="22"/>
      <c r="J964" s="3" t="s">
        <v>2276</v>
      </c>
      <c r="K964" s="3" t="s">
        <v>2276</v>
      </c>
      <c r="L964" s="77">
        <v>10</v>
      </c>
      <c r="M964" s="3" t="s">
        <v>2276</v>
      </c>
      <c r="N964" s="77">
        <v>150</v>
      </c>
      <c r="O964" s="3" t="s">
        <v>2276</v>
      </c>
      <c r="P964" s="3" t="s">
        <v>2276</v>
      </c>
      <c r="Q964" s="3" t="s">
        <v>2276</v>
      </c>
      <c r="R964" s="3" t="s">
        <v>2276</v>
      </c>
      <c r="S964" s="3" t="s">
        <v>2276</v>
      </c>
      <c r="T964" s="3" t="s">
        <v>2276</v>
      </c>
      <c r="U964" s="3" t="s">
        <v>2276</v>
      </c>
      <c r="V964" s="3" t="s">
        <v>2276</v>
      </c>
      <c r="W964" s="3" t="s">
        <v>2276</v>
      </c>
      <c r="X964" s="3" t="s">
        <v>2276</v>
      </c>
      <c r="Y964" s="3"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3" t="s">
        <v>2276</v>
      </c>
      <c r="H965" s="3" t="s">
        <v>523</v>
      </c>
      <c r="I965" s="22"/>
      <c r="J965" s="3" t="s">
        <v>2276</v>
      </c>
      <c r="K965" s="3" t="s">
        <v>2276</v>
      </c>
      <c r="L965" s="77">
        <v>10</v>
      </c>
      <c r="M965" s="3" t="s">
        <v>2276</v>
      </c>
      <c r="N965" s="77">
        <v>150</v>
      </c>
      <c r="O965" s="3" t="s">
        <v>2276</v>
      </c>
      <c r="P965" s="3" t="s">
        <v>2276</v>
      </c>
      <c r="Q965" s="3" t="s">
        <v>2276</v>
      </c>
      <c r="R965" s="3" t="s">
        <v>2276</v>
      </c>
      <c r="S965" s="3" t="s">
        <v>2276</v>
      </c>
      <c r="T965" s="3" t="s">
        <v>2276</v>
      </c>
      <c r="U965" s="3" t="s">
        <v>2276</v>
      </c>
      <c r="V965" s="3" t="s">
        <v>2276</v>
      </c>
      <c r="W965" s="3" t="s">
        <v>2276</v>
      </c>
      <c r="X965" s="3" t="s">
        <v>2276</v>
      </c>
      <c r="Y965" s="3"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3" t="s">
        <v>2276</v>
      </c>
      <c r="H966" s="3" t="s">
        <v>523</v>
      </c>
      <c r="I966" s="22"/>
      <c r="J966" s="3" t="s">
        <v>2276</v>
      </c>
      <c r="K966" s="3" t="s">
        <v>2276</v>
      </c>
      <c r="L966" s="77">
        <v>10</v>
      </c>
      <c r="M966" s="3" t="s">
        <v>2276</v>
      </c>
      <c r="N966" s="77">
        <v>150</v>
      </c>
      <c r="O966" s="3" t="s">
        <v>2276</v>
      </c>
      <c r="P966" s="3" t="s">
        <v>2276</v>
      </c>
      <c r="Q966" s="3" t="s">
        <v>2276</v>
      </c>
      <c r="R966" s="3" t="s">
        <v>2276</v>
      </c>
      <c r="S966" s="3" t="s">
        <v>2276</v>
      </c>
      <c r="T966" s="3" t="s">
        <v>2276</v>
      </c>
      <c r="U966" s="3" t="s">
        <v>2276</v>
      </c>
      <c r="V966" s="3" t="s">
        <v>2276</v>
      </c>
      <c r="W966" s="3" t="s">
        <v>2276</v>
      </c>
      <c r="X966" s="3" t="s">
        <v>2276</v>
      </c>
      <c r="Y966" s="3"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3" t="s">
        <v>2276</v>
      </c>
      <c r="H967" s="3" t="s">
        <v>523</v>
      </c>
      <c r="I967" s="22"/>
      <c r="J967" s="3" t="s">
        <v>2276</v>
      </c>
      <c r="K967" s="3" t="s">
        <v>2276</v>
      </c>
      <c r="L967" s="77">
        <v>10</v>
      </c>
      <c r="M967" s="3" t="s">
        <v>2276</v>
      </c>
      <c r="N967" s="77">
        <v>150</v>
      </c>
      <c r="O967" s="3" t="s">
        <v>2276</v>
      </c>
      <c r="P967" s="3" t="s">
        <v>2276</v>
      </c>
      <c r="Q967" s="3" t="s">
        <v>2276</v>
      </c>
      <c r="R967" s="3" t="s">
        <v>2276</v>
      </c>
      <c r="S967" s="3" t="s">
        <v>2276</v>
      </c>
      <c r="T967" s="3" t="s">
        <v>2276</v>
      </c>
      <c r="U967" s="3" t="s">
        <v>2276</v>
      </c>
      <c r="V967" s="3" t="s">
        <v>2276</v>
      </c>
      <c r="W967" s="3" t="s">
        <v>2276</v>
      </c>
      <c r="X967" s="3" t="s">
        <v>2276</v>
      </c>
      <c r="Y967" s="3"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3" t="s">
        <v>2276</v>
      </c>
      <c r="H968" s="3" t="s">
        <v>523</v>
      </c>
      <c r="I968" s="22"/>
      <c r="J968" s="3" t="s">
        <v>2276</v>
      </c>
      <c r="K968" s="3" t="s">
        <v>2276</v>
      </c>
      <c r="L968" s="3" t="s">
        <v>2276</v>
      </c>
      <c r="M968" s="3" t="s">
        <v>2276</v>
      </c>
      <c r="N968" s="3" t="s">
        <v>2276</v>
      </c>
      <c r="O968" s="3" t="s">
        <v>2276</v>
      </c>
      <c r="P968" s="3" t="s">
        <v>2276</v>
      </c>
      <c r="Q968" s="3" t="s">
        <v>2276</v>
      </c>
      <c r="R968" s="3" t="s">
        <v>2276</v>
      </c>
      <c r="S968" s="3" t="s">
        <v>2276</v>
      </c>
      <c r="T968" s="3" t="s">
        <v>2276</v>
      </c>
      <c r="U968" s="3" t="s">
        <v>2276</v>
      </c>
      <c r="V968" s="3" t="s">
        <v>2276</v>
      </c>
      <c r="W968" s="3" t="s">
        <v>2276</v>
      </c>
      <c r="X968" s="3" t="s">
        <v>2276</v>
      </c>
      <c r="Y968" s="3"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3" t="s">
        <v>2276</v>
      </c>
      <c r="H969" s="3" t="s">
        <v>523</v>
      </c>
      <c r="I969" s="22"/>
      <c r="J969" s="3" t="s">
        <v>2276</v>
      </c>
      <c r="K969" s="3" t="s">
        <v>2276</v>
      </c>
      <c r="L969" s="77">
        <v>10</v>
      </c>
      <c r="M969" s="3" t="s">
        <v>2276</v>
      </c>
      <c r="N969" s="77">
        <v>150</v>
      </c>
      <c r="O969" s="3" t="s">
        <v>2276</v>
      </c>
      <c r="P969" s="3" t="s">
        <v>2276</v>
      </c>
      <c r="Q969" s="3" t="s">
        <v>2276</v>
      </c>
      <c r="R969" s="3" t="s">
        <v>2276</v>
      </c>
      <c r="S969" s="3" t="s">
        <v>2276</v>
      </c>
      <c r="T969" s="3" t="s">
        <v>2276</v>
      </c>
      <c r="U969" s="3" t="s">
        <v>2276</v>
      </c>
      <c r="V969" s="3" t="s">
        <v>2276</v>
      </c>
      <c r="W969" s="3" t="s">
        <v>2276</v>
      </c>
      <c r="X969" s="3" t="s">
        <v>2276</v>
      </c>
      <c r="Y969" s="3"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3" t="s">
        <v>2276</v>
      </c>
      <c r="H970" s="3" t="s">
        <v>523</v>
      </c>
      <c r="I970" s="22"/>
      <c r="J970" s="3" t="s">
        <v>2276</v>
      </c>
      <c r="K970" s="3" t="s">
        <v>2276</v>
      </c>
      <c r="L970" s="3" t="s">
        <v>2276</v>
      </c>
      <c r="M970" s="3" t="s">
        <v>2276</v>
      </c>
      <c r="N970" s="3" t="s">
        <v>2276</v>
      </c>
      <c r="O970" s="3" t="s">
        <v>2276</v>
      </c>
      <c r="P970" s="3" t="s">
        <v>2276</v>
      </c>
      <c r="Q970" s="3" t="s">
        <v>2276</v>
      </c>
      <c r="R970" s="3" t="s">
        <v>2276</v>
      </c>
      <c r="S970" s="3" t="s">
        <v>2276</v>
      </c>
      <c r="T970" s="3" t="s">
        <v>2276</v>
      </c>
      <c r="U970" s="3" t="s">
        <v>2276</v>
      </c>
      <c r="V970" s="3" t="s">
        <v>2276</v>
      </c>
      <c r="W970" s="3" t="s">
        <v>2276</v>
      </c>
      <c r="X970" s="3" t="s">
        <v>2276</v>
      </c>
      <c r="Y970" s="3"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3" t="s">
        <v>3118</v>
      </c>
      <c r="C986" s="3"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3" t="s">
        <v>24</v>
      </c>
      <c r="D987" s="3" t="s">
        <v>27</v>
      </c>
      <c r="E987" s="3" t="s">
        <v>130</v>
      </c>
      <c r="F987" s="4" t="s">
        <v>74</v>
      </c>
      <c r="G987" s="3"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3"/>
    </row>
    <row r="988" spans="1:30" ht="38.5" customHeight="1">
      <c r="A988" s="23" t="s">
        <v>3100</v>
      </c>
      <c r="B988" s="23" t="s">
        <v>3120</v>
      </c>
      <c r="C988" s="3" t="s">
        <v>24</v>
      </c>
      <c r="D988" s="3" t="s">
        <v>27</v>
      </c>
      <c r="E988" s="3" t="s">
        <v>130</v>
      </c>
      <c r="F988" s="4" t="s">
        <v>74</v>
      </c>
      <c r="G988" s="3"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3"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3" t="s">
        <v>2276</v>
      </c>
      <c r="U989" s="3" t="s">
        <v>2276</v>
      </c>
      <c r="V989" s="3"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3"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3" t="s">
        <v>2276</v>
      </c>
      <c r="U990" s="3" t="s">
        <v>2276</v>
      </c>
      <c r="V990" s="3" t="s">
        <v>2276</v>
      </c>
      <c r="W990" s="3" t="s">
        <v>2276</v>
      </c>
      <c r="X990" s="3" t="s">
        <v>2276</v>
      </c>
      <c r="Y990" s="3" t="s">
        <v>2276</v>
      </c>
      <c r="Z990" s="3" t="s">
        <v>2276</v>
      </c>
      <c r="AA990" s="3" t="s">
        <v>2276</v>
      </c>
      <c r="AB990" s="3" t="s">
        <v>2276</v>
      </c>
      <c r="AC990" s="3"/>
      <c r="AD990" s="3"/>
    </row>
    <row r="991" spans="1:30" ht="33.5" customHeight="1">
      <c r="A991" s="23" t="s">
        <v>3103</v>
      </c>
      <c r="B991" s="23" t="s">
        <v>3123</v>
      </c>
      <c r="C991" s="3" t="s">
        <v>24</v>
      </c>
      <c r="D991" s="3" t="s">
        <v>27</v>
      </c>
      <c r="E991" s="3" t="s">
        <v>130</v>
      </c>
      <c r="F991" s="4" t="s">
        <v>161</v>
      </c>
      <c r="G991" s="3"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3" t="s">
        <v>24</v>
      </c>
      <c r="D992" s="3" t="s">
        <v>27</v>
      </c>
      <c r="E992" s="3" t="s">
        <v>130</v>
      </c>
      <c r="F992" s="4" t="s">
        <v>161</v>
      </c>
      <c r="G992" s="3"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3" t="s">
        <v>24</v>
      </c>
      <c r="D993" s="3" t="s">
        <v>1245</v>
      </c>
      <c r="E993" s="3" t="s">
        <v>116</v>
      </c>
      <c r="F993" s="4" t="s">
        <v>74</v>
      </c>
      <c r="G993" s="3"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3" t="s">
        <v>24</v>
      </c>
      <c r="D994" s="3" t="s">
        <v>1245</v>
      </c>
      <c r="E994" s="3" t="s">
        <v>116</v>
      </c>
      <c r="F994" s="4" t="s">
        <v>2662</v>
      </c>
      <c r="G994" s="3"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3"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3"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3"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3"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3" t="s">
        <v>24</v>
      </c>
      <c r="D999" s="3" t="s">
        <v>2994</v>
      </c>
      <c r="E999" s="3" t="s">
        <v>116</v>
      </c>
      <c r="F999" s="4" t="s">
        <v>2276</v>
      </c>
      <c r="G999" s="3"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3"/>
    </row>
    <row r="1000" spans="1:30" ht="40" customHeight="1">
      <c r="A1000" s="23" t="s">
        <v>3129</v>
      </c>
      <c r="B1000" s="23" t="s">
        <v>3154</v>
      </c>
      <c r="C1000" s="3" t="s">
        <v>24</v>
      </c>
      <c r="D1000" s="3" t="s">
        <v>26</v>
      </c>
      <c r="E1000" s="3" t="s">
        <v>130</v>
      </c>
      <c r="F1000" s="4" t="s">
        <v>2276</v>
      </c>
      <c r="G1000" s="3"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3"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3"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3"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3" t="s">
        <v>31</v>
      </c>
      <c r="D1004" s="3" t="s">
        <v>2276</v>
      </c>
      <c r="E1004" s="3" t="s">
        <v>2652</v>
      </c>
      <c r="F1004" s="4" t="s">
        <v>2276</v>
      </c>
      <c r="G1004" s="3"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3" t="s">
        <v>24</v>
      </c>
      <c r="D1005" s="3" t="s">
        <v>1242</v>
      </c>
      <c r="E1005" s="3" t="s">
        <v>116</v>
      </c>
      <c r="F1005" s="4" t="s">
        <v>2662</v>
      </c>
      <c r="G1005" s="3"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3" t="s">
        <v>24</v>
      </c>
      <c r="D1006" s="3" t="s">
        <v>1242</v>
      </c>
      <c r="E1006" s="3" t="s">
        <v>130</v>
      </c>
      <c r="F1006" s="4" t="s">
        <v>2662</v>
      </c>
      <c r="G1006" s="3"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3"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3"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3"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3"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3" t="s">
        <v>24</v>
      </c>
      <c r="D1011" s="3" t="s">
        <v>2305</v>
      </c>
      <c r="E1011" s="3" t="s">
        <v>116</v>
      </c>
      <c r="F1011" s="4" t="s">
        <v>2276</v>
      </c>
      <c r="G1011" s="3"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3"/>
    </row>
    <row r="1012" spans="1:30" ht="40" customHeight="1">
      <c r="A1012" s="23" t="s">
        <v>3130</v>
      </c>
      <c r="B1012" s="23" t="s">
        <v>3167</v>
      </c>
      <c r="C1012" s="3" t="s">
        <v>24</v>
      </c>
      <c r="D1012" s="3" t="s">
        <v>26</v>
      </c>
      <c r="E1012" s="3" t="s">
        <v>116</v>
      </c>
      <c r="F1012" s="4" t="s">
        <v>2276</v>
      </c>
      <c r="G1012" s="3"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3"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3"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3" t="s">
        <v>24</v>
      </c>
      <c r="D1015" s="3" t="s">
        <v>2994</v>
      </c>
      <c r="E1015" s="3" t="s">
        <v>116</v>
      </c>
      <c r="F1015" s="4" t="s">
        <v>2276</v>
      </c>
      <c r="G1015" s="3"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3" t="s">
        <v>24</v>
      </c>
      <c r="D1016" s="3" t="s">
        <v>26</v>
      </c>
      <c r="E1016" s="3" t="s">
        <v>130</v>
      </c>
      <c r="F1016" s="4" t="s">
        <v>2276</v>
      </c>
      <c r="G1016" s="3"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3" t="s">
        <v>24</v>
      </c>
      <c r="D1017" s="3" t="s">
        <v>2341</v>
      </c>
      <c r="E1017" s="3" t="s">
        <v>130</v>
      </c>
      <c r="F1017" s="4" t="s">
        <v>2276</v>
      </c>
      <c r="G1017" s="3"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3" t="s">
        <v>24</v>
      </c>
      <c r="D1018" s="3" t="s">
        <v>406</v>
      </c>
      <c r="E1018" s="3" t="s">
        <v>130</v>
      </c>
      <c r="F1018" s="4" t="s">
        <v>2276</v>
      </c>
      <c r="G1018" s="3"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3"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3"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3"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3" t="s">
        <v>24</v>
      </c>
      <c r="D1023" s="3" t="s">
        <v>25</v>
      </c>
      <c r="E1023" s="3" t="s">
        <v>130</v>
      </c>
      <c r="F1023" s="4" t="s">
        <v>2662</v>
      </c>
      <c r="G1023" s="3"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3"/>
    </row>
    <row r="1024" spans="1:30" ht="40" customHeight="1">
      <c r="A1024" s="23" t="s">
        <v>3131</v>
      </c>
      <c r="B1024" s="23" t="s">
        <v>3140</v>
      </c>
      <c r="C1024" s="3" t="s">
        <v>24</v>
      </c>
      <c r="D1024" s="3" t="s">
        <v>27</v>
      </c>
      <c r="E1024" s="3" t="s">
        <v>130</v>
      </c>
      <c r="F1024" s="4" t="s">
        <v>161</v>
      </c>
      <c r="G1024" s="3"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3"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3"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3" t="s">
        <v>24</v>
      </c>
      <c r="D1027" s="3" t="s">
        <v>2305</v>
      </c>
      <c r="E1027" s="3" t="s">
        <v>116</v>
      </c>
      <c r="F1027" s="4" t="s">
        <v>2276</v>
      </c>
      <c r="G1027" s="3"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3" t="s">
        <v>24</v>
      </c>
      <c r="D1028" s="3" t="s">
        <v>26</v>
      </c>
      <c r="E1028" s="3" t="s">
        <v>116</v>
      </c>
      <c r="F1028" s="4" t="s">
        <v>2276</v>
      </c>
      <c r="G1028" s="3"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3" t="s">
        <v>24</v>
      </c>
      <c r="D1029" s="3" t="s">
        <v>2341</v>
      </c>
      <c r="E1029" s="3" t="s">
        <v>116</v>
      </c>
      <c r="F1029" s="4" t="s">
        <v>2276</v>
      </c>
      <c r="G1029" s="3"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3" t="s">
        <v>24</v>
      </c>
      <c r="D1030" s="3" t="s">
        <v>406</v>
      </c>
      <c r="E1030" s="3" t="s">
        <v>116</v>
      </c>
      <c r="F1030" s="4" t="s">
        <v>2276</v>
      </c>
      <c r="G1030" s="3"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3"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3"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3"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3"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3"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3"/>
    </row>
    <row r="1036" spans="1:30" ht="40" customHeight="1">
      <c r="A1036" s="23" t="s">
        <v>3131</v>
      </c>
      <c r="B1036" s="23" t="s">
        <v>3189</v>
      </c>
      <c r="C1036" s="3" t="s">
        <v>24</v>
      </c>
      <c r="D1036" s="3" t="s">
        <v>1242</v>
      </c>
      <c r="E1036" s="3" t="s">
        <v>116</v>
      </c>
      <c r="F1036" s="4" t="s">
        <v>2662</v>
      </c>
      <c r="G1036" s="3"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3"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3"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3" t="s">
        <v>24</v>
      </c>
      <c r="D1039" s="3" t="s">
        <v>1245</v>
      </c>
      <c r="E1039" s="3" t="s">
        <v>116</v>
      </c>
      <c r="F1039" s="4" t="s">
        <v>74</v>
      </c>
      <c r="G1039" s="3"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3" t="s">
        <v>24</v>
      </c>
      <c r="D1040" s="3" t="s">
        <v>1245</v>
      </c>
      <c r="E1040" s="3" t="s">
        <v>116</v>
      </c>
      <c r="F1040" s="4" t="s">
        <v>2662</v>
      </c>
      <c r="G1040" s="3"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3" t="s">
        <v>24</v>
      </c>
      <c r="D1041" s="3" t="s">
        <v>2305</v>
      </c>
      <c r="E1041" s="3" t="s">
        <v>116</v>
      </c>
      <c r="F1041" s="4" t="s">
        <v>2276</v>
      </c>
      <c r="G1041" s="3"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3" t="s">
        <v>24</v>
      </c>
      <c r="D1042" s="3" t="s">
        <v>26</v>
      </c>
      <c r="E1042" s="3" t="s">
        <v>116</v>
      </c>
      <c r="F1042" s="4" t="s">
        <v>2276</v>
      </c>
      <c r="G1042" s="3"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3"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3"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3"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3"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3" t="s">
        <v>24</v>
      </c>
      <c r="D1047" s="3" t="s">
        <v>2341</v>
      </c>
      <c r="E1047" s="3" t="s">
        <v>130</v>
      </c>
      <c r="F1047" s="4" t="s">
        <v>2276</v>
      </c>
      <c r="G1047" s="3"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3"/>
    </row>
    <row r="1048" spans="1:30" ht="40" customHeight="1">
      <c r="A1048" s="23" t="s">
        <v>3132</v>
      </c>
      <c r="B1048" s="23" t="s">
        <v>3200</v>
      </c>
      <c r="C1048" s="3" t="s">
        <v>24</v>
      </c>
      <c r="D1048" s="3" t="s">
        <v>406</v>
      </c>
      <c r="E1048" s="3" t="s">
        <v>130</v>
      </c>
      <c r="F1048" s="4" t="s">
        <v>2276</v>
      </c>
      <c r="G1048" s="3"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3"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3"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3" t="s">
        <v>24</v>
      </c>
      <c r="D1051" s="3" t="s">
        <v>1242</v>
      </c>
      <c r="E1051" s="3" t="s">
        <v>130</v>
      </c>
      <c r="F1051" s="4" t="s">
        <v>2662</v>
      </c>
      <c r="G1051" s="3"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3" t="s">
        <v>24</v>
      </c>
      <c r="D1052" s="3" t="s">
        <v>27</v>
      </c>
      <c r="E1052" s="3" t="s">
        <v>130</v>
      </c>
      <c r="F1052" s="4" t="s">
        <v>74</v>
      </c>
      <c r="G1052" s="3"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3" t="s">
        <v>24</v>
      </c>
      <c r="D1053" s="3" t="s">
        <v>27</v>
      </c>
      <c r="E1053" s="3" t="s">
        <v>130</v>
      </c>
      <c r="F1053" s="4" t="s">
        <v>28</v>
      </c>
      <c r="G1053" s="3"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3" t="s">
        <v>24</v>
      </c>
      <c r="D1054" s="3" t="s">
        <v>27</v>
      </c>
      <c r="E1054" s="3" t="s">
        <v>130</v>
      </c>
      <c r="F1054" s="4" t="s">
        <v>74</v>
      </c>
      <c r="G1054" s="3"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3"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3"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3"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3"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3" t="s">
        <v>24</v>
      </c>
      <c r="D1059" s="3" t="s">
        <v>27</v>
      </c>
      <c r="E1059" s="3" t="s">
        <v>130</v>
      </c>
      <c r="F1059" s="4" t="s">
        <v>161</v>
      </c>
      <c r="G1059" s="3"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3"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3"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3"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3" t="s">
        <v>24</v>
      </c>
      <c r="D1063" s="3" t="s">
        <v>27</v>
      </c>
      <c r="E1063" s="3" t="s">
        <v>130</v>
      </c>
      <c r="F1063" s="4" t="s">
        <v>161</v>
      </c>
      <c r="G1063" s="3"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3" t="s">
        <v>24</v>
      </c>
      <c r="D1064" s="3" t="s">
        <v>27</v>
      </c>
      <c r="E1064" s="3" t="s">
        <v>130</v>
      </c>
      <c r="F1064" s="4" t="s">
        <v>161</v>
      </c>
      <c r="G1064" s="3"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3" t="s">
        <v>24</v>
      </c>
      <c r="D1065" s="3" t="s">
        <v>27</v>
      </c>
      <c r="E1065" s="3" t="s">
        <v>130</v>
      </c>
      <c r="F1065" s="4" t="s">
        <v>161</v>
      </c>
      <c r="G1065" s="3"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3" t="s">
        <v>24</v>
      </c>
      <c r="D1066" s="3" t="s">
        <v>27</v>
      </c>
      <c r="E1066" s="3" t="s">
        <v>130</v>
      </c>
      <c r="F1066" s="4" t="s">
        <v>161</v>
      </c>
      <c r="G1066" s="3"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3"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3"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3"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3"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3" t="s">
        <v>24</v>
      </c>
      <c r="D1071" s="3" t="s">
        <v>1245</v>
      </c>
      <c r="E1071" s="3" t="s">
        <v>116</v>
      </c>
      <c r="F1071" s="4" t="s">
        <v>2662</v>
      </c>
      <c r="G1071" s="3" t="s">
        <v>2276</v>
      </c>
      <c r="H1071" s="3" t="s">
        <v>523</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2276</v>
      </c>
      <c r="Y1071" s="21">
        <v>3.5</v>
      </c>
      <c r="Z1071" s="3" t="s">
        <v>405</v>
      </c>
      <c r="AA1071" s="3" t="s">
        <v>425</v>
      </c>
      <c r="AB1071" s="3" t="s">
        <v>76</v>
      </c>
      <c r="AC1071" s="3"/>
      <c r="AD1071" s="3"/>
    </row>
    <row r="1072" spans="1:30" ht="45.5" customHeight="1">
      <c r="A1072" s="23" t="s">
        <v>3297</v>
      </c>
      <c r="B1072" s="23" t="s">
        <v>3308</v>
      </c>
      <c r="C1072" s="3" t="s">
        <v>24</v>
      </c>
      <c r="D1072" s="3" t="s">
        <v>25</v>
      </c>
      <c r="E1072" s="3" t="s">
        <v>5005</v>
      </c>
      <c r="F1072" s="4" t="s">
        <v>55</v>
      </c>
      <c r="G1072" s="3" t="s">
        <v>2276</v>
      </c>
      <c r="H1072" s="3" t="s">
        <v>523</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2276</v>
      </c>
      <c r="Y1072" s="21">
        <v>1</v>
      </c>
      <c r="Z1072" s="3" t="s">
        <v>188</v>
      </c>
      <c r="AA1072" s="3" t="s">
        <v>189</v>
      </c>
      <c r="AB1072" s="3" t="s">
        <v>2655</v>
      </c>
      <c r="AC1072" s="4" t="s">
        <v>3319</v>
      </c>
      <c r="AD1072" s="4" t="s">
        <v>3310</v>
      </c>
    </row>
    <row r="1073" spans="1:30" ht="44" customHeight="1">
      <c r="A1073" s="23" t="s">
        <v>3297</v>
      </c>
      <c r="B1073" s="23" t="s">
        <v>3309</v>
      </c>
      <c r="C1073" s="3" t="s">
        <v>24</v>
      </c>
      <c r="D1073" s="3" t="s">
        <v>25</v>
      </c>
      <c r="E1073" s="3" t="s">
        <v>5005</v>
      </c>
      <c r="F1073" s="4" t="s">
        <v>2662</v>
      </c>
      <c r="G1073" s="3" t="s">
        <v>2276</v>
      </c>
      <c r="H1073" s="3" t="s">
        <v>523</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3" t="s">
        <v>2276</v>
      </c>
      <c r="H1074" s="3" t="s">
        <v>523</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2276</v>
      </c>
      <c r="Y1074" s="21">
        <v>1</v>
      </c>
      <c r="Z1074" s="3" t="s">
        <v>188</v>
      </c>
      <c r="AA1074" s="3" t="s">
        <v>189</v>
      </c>
      <c r="AB1074" s="3" t="s">
        <v>2655</v>
      </c>
      <c r="AC1074" s="4" t="s">
        <v>3319</v>
      </c>
      <c r="AD1074" s="4" t="s">
        <v>3310</v>
      </c>
    </row>
    <row r="1075" spans="1:30" ht="46.5" customHeight="1">
      <c r="A1075" s="23" t="s">
        <v>3302</v>
      </c>
      <c r="B1075" s="23" t="s">
        <v>3312</v>
      </c>
      <c r="C1075" s="3" t="s">
        <v>24</v>
      </c>
      <c r="D1075" s="3" t="s">
        <v>25</v>
      </c>
      <c r="E1075" s="3" t="s">
        <v>5005</v>
      </c>
      <c r="F1075" s="4" t="s">
        <v>2662</v>
      </c>
      <c r="G1075" s="3" t="s">
        <v>2276</v>
      </c>
      <c r="H1075" s="3" t="s">
        <v>523</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2276</v>
      </c>
      <c r="Y1075" s="21">
        <v>1</v>
      </c>
      <c r="Z1075" s="3" t="s">
        <v>188</v>
      </c>
      <c r="AA1075" s="3" t="s">
        <v>189</v>
      </c>
      <c r="AB1075" s="3" t="s">
        <v>2655</v>
      </c>
      <c r="AC1075" s="4" t="s">
        <v>3319</v>
      </c>
      <c r="AD1075" s="4" t="s">
        <v>3310</v>
      </c>
    </row>
    <row r="1076" spans="1:30" ht="49" customHeight="1">
      <c r="A1076" s="23" t="s">
        <v>3303</v>
      </c>
      <c r="B1076" s="23" t="s">
        <v>3313</v>
      </c>
      <c r="C1076" s="3" t="s">
        <v>24</v>
      </c>
      <c r="D1076" s="3" t="s">
        <v>25</v>
      </c>
      <c r="E1076" s="3" t="s">
        <v>5005</v>
      </c>
      <c r="F1076" s="4" t="s">
        <v>55</v>
      </c>
      <c r="G1076" s="3" t="s">
        <v>2276</v>
      </c>
      <c r="H1076" s="3" t="s">
        <v>523</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2276</v>
      </c>
      <c r="Y1076" s="21">
        <v>1</v>
      </c>
      <c r="Z1076" s="3" t="s">
        <v>188</v>
      </c>
      <c r="AA1076" s="3" t="s">
        <v>189</v>
      </c>
      <c r="AB1076" s="3" t="s">
        <v>2655</v>
      </c>
      <c r="AC1076" s="4" t="s">
        <v>3319</v>
      </c>
      <c r="AD1076" s="4" t="s">
        <v>3310</v>
      </c>
    </row>
    <row r="1077" spans="1:30" ht="47" customHeight="1">
      <c r="A1077" s="23" t="s">
        <v>3303</v>
      </c>
      <c r="B1077" s="23" t="s">
        <v>3314</v>
      </c>
      <c r="C1077" s="3" t="s">
        <v>24</v>
      </c>
      <c r="D1077" s="3" t="s">
        <v>25</v>
      </c>
      <c r="E1077" s="3" t="s">
        <v>5005</v>
      </c>
      <c r="F1077" s="4" t="s">
        <v>2662</v>
      </c>
      <c r="G1077" s="3"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3" t="s">
        <v>188</v>
      </c>
      <c r="AA1077" s="3" t="s">
        <v>189</v>
      </c>
      <c r="AB1077" s="3" t="s">
        <v>2655</v>
      </c>
      <c r="AC1077" s="4" t="s">
        <v>3319</v>
      </c>
      <c r="AD1077" s="4" t="s">
        <v>3310</v>
      </c>
    </row>
    <row r="1078" spans="1:30" ht="45.5" customHeight="1">
      <c r="A1078" s="23" t="s">
        <v>3305</v>
      </c>
      <c r="B1078" s="23" t="s">
        <v>3317</v>
      </c>
      <c r="C1078" s="3" t="s">
        <v>24</v>
      </c>
      <c r="D1078" s="3" t="s">
        <v>25</v>
      </c>
      <c r="E1078" s="3" t="s">
        <v>5005</v>
      </c>
      <c r="F1078" s="4" t="s">
        <v>55</v>
      </c>
      <c r="G1078" s="3"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3" t="s">
        <v>2276</v>
      </c>
      <c r="Z1078" s="3" t="s">
        <v>188</v>
      </c>
      <c r="AA1078" s="3" t="s">
        <v>189</v>
      </c>
      <c r="AB1078" s="3" t="s">
        <v>2655</v>
      </c>
      <c r="AC1078" s="4" t="s">
        <v>3318</v>
      </c>
      <c r="AD1078" s="4" t="s">
        <v>3310</v>
      </c>
    </row>
    <row r="1079" spans="1:30" ht="43.5">
      <c r="A1079" s="23" t="s">
        <v>3306</v>
      </c>
      <c r="B1079" s="23" t="s">
        <v>3320</v>
      </c>
      <c r="C1079" s="3" t="s">
        <v>24</v>
      </c>
      <c r="D1079" s="3" t="s">
        <v>25</v>
      </c>
      <c r="E1079" s="3" t="s">
        <v>5005</v>
      </c>
      <c r="F1079" s="4" t="s">
        <v>55</v>
      </c>
      <c r="G1079" s="3"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3" t="s">
        <v>2276</v>
      </c>
      <c r="Z1079" s="3" t="s">
        <v>188</v>
      </c>
      <c r="AA1079" s="3" t="s">
        <v>189</v>
      </c>
      <c r="AB1079" s="3" t="s">
        <v>2655</v>
      </c>
      <c r="AC1079" s="4" t="s">
        <v>3318</v>
      </c>
      <c r="AD1079" s="4" t="s">
        <v>3310</v>
      </c>
    </row>
    <row r="1080" spans="1:30" ht="43.5">
      <c r="A1080" s="23" t="s">
        <v>3307</v>
      </c>
      <c r="B1080" s="23" t="s">
        <v>3321</v>
      </c>
      <c r="C1080" s="3" t="s">
        <v>24</v>
      </c>
      <c r="D1080" s="3" t="s">
        <v>25</v>
      </c>
      <c r="E1080" s="3" t="s">
        <v>5005</v>
      </c>
      <c r="F1080" s="4" t="s">
        <v>55</v>
      </c>
      <c r="G1080" s="3" t="s">
        <v>2276</v>
      </c>
      <c r="H1080" s="3" t="s">
        <v>523</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2276</v>
      </c>
      <c r="X1080" s="3" t="s">
        <v>2276</v>
      </c>
      <c r="Y1080" s="3" t="s">
        <v>2276</v>
      </c>
      <c r="Z1080" s="3" t="s">
        <v>188</v>
      </c>
      <c r="AA1080" s="3" t="s">
        <v>189</v>
      </c>
      <c r="AB1080" s="3" t="s">
        <v>2655</v>
      </c>
      <c r="AC1080" s="4" t="s">
        <v>3318</v>
      </c>
      <c r="AD1080" s="4" t="s">
        <v>3310</v>
      </c>
    </row>
    <row r="1081" spans="1:30" ht="43.5" customHeight="1">
      <c r="A1081" s="23" t="s">
        <v>3297</v>
      </c>
      <c r="B1081" s="23" t="s">
        <v>3322</v>
      </c>
      <c r="C1081" s="3" t="s">
        <v>24</v>
      </c>
      <c r="D1081" s="3" t="s">
        <v>144</v>
      </c>
      <c r="E1081" s="3" t="s">
        <v>137</v>
      </c>
      <c r="F1081" s="4" t="s">
        <v>55</v>
      </c>
      <c r="G1081" s="3" t="s">
        <v>2276</v>
      </c>
      <c r="H1081" s="3" t="s">
        <v>523</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3" t="s">
        <v>2276</v>
      </c>
      <c r="AB1081" s="3" t="s">
        <v>2276</v>
      </c>
      <c r="AC1081" s="4" t="s">
        <v>3328</v>
      </c>
      <c r="AD1081" s="4"/>
    </row>
    <row r="1082" spans="1:30" ht="36" customHeight="1">
      <c r="A1082" s="23" t="s">
        <v>3297</v>
      </c>
      <c r="B1082" s="23" t="s">
        <v>3323</v>
      </c>
      <c r="C1082" s="3" t="s">
        <v>24</v>
      </c>
      <c r="D1082" s="3" t="s">
        <v>144</v>
      </c>
      <c r="E1082" s="3" t="s">
        <v>137</v>
      </c>
      <c r="F1082" s="4" t="s">
        <v>2662</v>
      </c>
      <c r="G1082" s="3" t="s">
        <v>2276</v>
      </c>
      <c r="H1082" s="3" t="s">
        <v>523</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3" t="s">
        <v>2276</v>
      </c>
      <c r="AB1082" s="3" t="s">
        <v>2276</v>
      </c>
      <c r="AC1082" s="4" t="s">
        <v>3328</v>
      </c>
      <c r="AD1082" s="4"/>
    </row>
    <row r="1083" spans="1:30" ht="33.5" customHeight="1">
      <c r="A1083" s="23" t="s">
        <v>3302</v>
      </c>
      <c r="B1083" s="23" t="s">
        <v>3324</v>
      </c>
      <c r="C1083" s="3" t="s">
        <v>24</v>
      </c>
      <c r="D1083" s="3" t="s">
        <v>144</v>
      </c>
      <c r="E1083" s="3" t="s">
        <v>137</v>
      </c>
      <c r="F1083" s="4" t="s">
        <v>55</v>
      </c>
      <c r="G1083" s="3" t="s">
        <v>2276</v>
      </c>
      <c r="H1083" s="3" t="s">
        <v>523</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3" t="s">
        <v>2276</v>
      </c>
      <c r="AB1083" s="3" t="s">
        <v>2276</v>
      </c>
      <c r="AC1083" s="4" t="s">
        <v>3328</v>
      </c>
      <c r="AD1083" s="4"/>
    </row>
    <row r="1084" spans="1:30" ht="35.5" customHeight="1">
      <c r="A1084" s="23" t="s">
        <v>3302</v>
      </c>
      <c r="B1084" s="23" t="s">
        <v>3325</v>
      </c>
      <c r="C1084" s="3" t="s">
        <v>24</v>
      </c>
      <c r="D1084" s="3" t="s">
        <v>144</v>
      </c>
      <c r="E1084" s="3" t="s">
        <v>137</v>
      </c>
      <c r="F1084" s="4" t="s">
        <v>2662</v>
      </c>
      <c r="G1084" s="3" t="s">
        <v>2276</v>
      </c>
      <c r="H1084" s="3" t="s">
        <v>523</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3" t="s">
        <v>2276</v>
      </c>
      <c r="AB1084" s="3" t="s">
        <v>2276</v>
      </c>
      <c r="AC1084" s="4" t="s">
        <v>3328</v>
      </c>
      <c r="AD1084" s="3"/>
    </row>
    <row r="1085" spans="1:30" ht="37" customHeight="1">
      <c r="A1085" s="23" t="s">
        <v>3303</v>
      </c>
      <c r="B1085" s="23" t="s">
        <v>3326</v>
      </c>
      <c r="C1085" s="3" t="s">
        <v>24</v>
      </c>
      <c r="D1085" s="3" t="s">
        <v>144</v>
      </c>
      <c r="E1085" s="3" t="s">
        <v>137</v>
      </c>
      <c r="F1085" s="4" t="s">
        <v>55</v>
      </c>
      <c r="G1085" s="3" t="s">
        <v>2276</v>
      </c>
      <c r="H1085" s="3" t="s">
        <v>523</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3" t="s">
        <v>2276</v>
      </c>
      <c r="H1086" s="3" t="s">
        <v>523</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3" t="s">
        <v>2276</v>
      </c>
      <c r="H1087" s="3" t="s">
        <v>523</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3" t="s">
        <v>2276</v>
      </c>
      <c r="H1088" s="3" t="s">
        <v>523</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3" t="s">
        <v>2276</v>
      </c>
      <c r="AB1088" s="3" t="s">
        <v>2276</v>
      </c>
      <c r="AC1088" s="19" t="s">
        <v>3343</v>
      </c>
      <c r="AD1088" s="3"/>
    </row>
    <row r="1089" spans="1:30" ht="35.5" customHeight="1">
      <c r="A1089" s="23" t="s">
        <v>3315</v>
      </c>
      <c r="B1089" s="23" t="s">
        <v>3342</v>
      </c>
      <c r="C1089" s="3" t="s">
        <v>24</v>
      </c>
      <c r="D1089" s="3" t="s">
        <v>2231</v>
      </c>
      <c r="E1089" s="4" t="s">
        <v>397</v>
      </c>
      <c r="F1089" s="4" t="s">
        <v>55</v>
      </c>
      <c r="G1089" s="3" t="s">
        <v>2276</v>
      </c>
      <c r="H1089" s="3" t="s">
        <v>523</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3" t="s">
        <v>2276</v>
      </c>
      <c r="AB1089" s="3" t="s">
        <v>2276</v>
      </c>
      <c r="AC1089" s="19" t="s">
        <v>3346</v>
      </c>
      <c r="AD1089" s="3"/>
    </row>
    <row r="1090" spans="1:30" ht="38" customHeight="1">
      <c r="A1090" s="23" t="s">
        <v>3315</v>
      </c>
      <c r="B1090" s="23" t="s">
        <v>3344</v>
      </c>
      <c r="C1090" s="3" t="s">
        <v>24</v>
      </c>
      <c r="D1090" s="3" t="s">
        <v>2231</v>
      </c>
      <c r="E1090" s="4" t="s">
        <v>397</v>
      </c>
      <c r="F1090" s="4" t="s">
        <v>161</v>
      </c>
      <c r="G1090" s="3" t="s">
        <v>2276</v>
      </c>
      <c r="H1090" s="3" t="s">
        <v>523</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3" t="s">
        <v>2276</v>
      </c>
      <c r="AB1090" s="3" t="s">
        <v>2276</v>
      </c>
      <c r="AC1090" s="19" t="s">
        <v>3345</v>
      </c>
      <c r="AD1090" s="3"/>
    </row>
    <row r="1091" spans="1:30" ht="36.5" customHeight="1">
      <c r="A1091" s="23" t="s">
        <v>3315</v>
      </c>
      <c r="B1091" s="23" t="s">
        <v>3347</v>
      </c>
      <c r="C1091" s="3" t="s">
        <v>24</v>
      </c>
      <c r="D1091" s="3" t="s">
        <v>2231</v>
      </c>
      <c r="E1091" s="3" t="s">
        <v>45</v>
      </c>
      <c r="F1091" s="4" t="s">
        <v>2276</v>
      </c>
      <c r="G1091" s="3"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3" t="s">
        <v>2276</v>
      </c>
      <c r="Z1091" s="3" t="s">
        <v>2276</v>
      </c>
      <c r="AA1091" s="3" t="s">
        <v>2276</v>
      </c>
      <c r="AB1091" s="3" t="s">
        <v>2276</v>
      </c>
      <c r="AC1091" s="3"/>
      <c r="AD1091" s="3"/>
    </row>
    <row r="1092" spans="1:30" ht="33.5" customHeight="1">
      <c r="A1092" s="23" t="s">
        <v>3315</v>
      </c>
      <c r="B1092" s="23" t="s">
        <v>3348</v>
      </c>
      <c r="C1092" s="3" t="s">
        <v>31</v>
      </c>
      <c r="D1092" s="3" t="s">
        <v>1105</v>
      </c>
      <c r="E1092" s="3" t="s">
        <v>1105</v>
      </c>
      <c r="F1092" s="4" t="s">
        <v>2276</v>
      </c>
      <c r="G1092" s="3" t="s">
        <v>2276</v>
      </c>
      <c r="H1092" s="3" t="s">
        <v>523</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t="s">
        <v>2276</v>
      </c>
      <c r="AB1092" s="3" t="s">
        <v>2276</v>
      </c>
      <c r="AC1092" s="3"/>
      <c r="AD1092" s="3"/>
    </row>
    <row r="1093" spans="1:30" ht="40.5" customHeight="1">
      <c r="A1093" s="23" t="s">
        <v>3315</v>
      </c>
      <c r="B1093" s="23" t="s">
        <v>3349</v>
      </c>
      <c r="C1093" s="3" t="s">
        <v>24</v>
      </c>
      <c r="D1093" s="3" t="s">
        <v>1245</v>
      </c>
      <c r="E1093" s="3" t="s">
        <v>116</v>
      </c>
      <c r="F1093" s="4" t="s">
        <v>55</v>
      </c>
      <c r="G1093" s="3" t="s">
        <v>2276</v>
      </c>
      <c r="H1093" s="3" t="s">
        <v>523</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2276</v>
      </c>
      <c r="AB1093" s="3" t="s">
        <v>2276</v>
      </c>
      <c r="AC1093" s="3" t="s">
        <v>3350</v>
      </c>
      <c r="AD1093" s="3"/>
    </row>
    <row r="1094" spans="1:30" ht="35" customHeight="1">
      <c r="A1094" s="3" t="s">
        <v>3352</v>
      </c>
      <c r="B1094" s="23" t="s">
        <v>3355</v>
      </c>
      <c r="C1094" s="3" t="s">
        <v>24</v>
      </c>
      <c r="D1094" s="3" t="s">
        <v>2305</v>
      </c>
      <c r="E1094" s="3" t="s">
        <v>116</v>
      </c>
      <c r="F1094" s="4" t="s">
        <v>55</v>
      </c>
      <c r="G1094" s="3" t="s">
        <v>2276</v>
      </c>
      <c r="H1094" s="3" t="s">
        <v>523</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2276</v>
      </c>
      <c r="U1094" s="3" t="s">
        <v>2276</v>
      </c>
      <c r="V1094" s="3" t="s">
        <v>2276</v>
      </c>
      <c r="W1094" s="3" t="s">
        <v>2276</v>
      </c>
      <c r="X1094" s="3" t="s">
        <v>2276</v>
      </c>
      <c r="Y1094" s="3" t="s">
        <v>2276</v>
      </c>
      <c r="Z1094" s="3" t="s">
        <v>425</v>
      </c>
      <c r="AA1094" s="3" t="s">
        <v>127</v>
      </c>
      <c r="AB1094" s="3" t="s">
        <v>64</v>
      </c>
      <c r="AC1094" s="3"/>
      <c r="AD1094" s="4" t="s">
        <v>3359</v>
      </c>
    </row>
    <row r="1095" spans="1:30" ht="36" customHeight="1">
      <c r="A1095" s="3" t="s">
        <v>3352</v>
      </c>
      <c r="B1095" s="23" t="s">
        <v>3356</v>
      </c>
      <c r="C1095" s="3" t="s">
        <v>24</v>
      </c>
      <c r="D1095" s="3" t="s">
        <v>2231</v>
      </c>
      <c r="E1095" s="4" t="s">
        <v>397</v>
      </c>
      <c r="F1095" s="4" t="s">
        <v>55</v>
      </c>
      <c r="G1095" s="3" t="s">
        <v>2276</v>
      </c>
      <c r="H1095" s="3" t="s">
        <v>523</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2276</v>
      </c>
      <c r="U1095" s="3" t="s">
        <v>2276</v>
      </c>
      <c r="V1095" s="3" t="s">
        <v>2276</v>
      </c>
      <c r="W1095" s="3" t="s">
        <v>2276</v>
      </c>
      <c r="X1095" s="3" t="s">
        <v>2276</v>
      </c>
      <c r="Y1095" s="3" t="s">
        <v>2276</v>
      </c>
      <c r="Z1095" s="3" t="s">
        <v>425</v>
      </c>
      <c r="AA1095" s="3" t="s">
        <v>127</v>
      </c>
      <c r="AB1095" s="3" t="s">
        <v>64</v>
      </c>
      <c r="AC1095" s="3"/>
      <c r="AD1095" s="4" t="s">
        <v>3359</v>
      </c>
    </row>
    <row r="1096" spans="1:30" ht="32.5" customHeight="1">
      <c r="A1096" s="3" t="s">
        <v>3352</v>
      </c>
      <c r="B1096" s="23" t="s">
        <v>3357</v>
      </c>
      <c r="C1096" s="3" t="s">
        <v>31</v>
      </c>
      <c r="D1096" s="3" t="s">
        <v>1105</v>
      </c>
      <c r="E1096" s="3" t="s">
        <v>1105</v>
      </c>
      <c r="F1096" s="4" t="s">
        <v>2276</v>
      </c>
      <c r="G1096" s="3" t="s">
        <v>2276</v>
      </c>
      <c r="H1096" s="3" t="s">
        <v>523</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2276</v>
      </c>
      <c r="U1096" s="3" t="s">
        <v>2276</v>
      </c>
      <c r="V1096" s="3" t="s">
        <v>2276</v>
      </c>
      <c r="W1096" s="3" t="s">
        <v>2276</v>
      </c>
      <c r="X1096" s="3" t="s">
        <v>2276</v>
      </c>
      <c r="Y1096" s="3" t="s">
        <v>2276</v>
      </c>
      <c r="Z1096" s="3" t="s">
        <v>425</v>
      </c>
      <c r="AA1096" s="3" t="s">
        <v>127</v>
      </c>
      <c r="AB1096" s="3" t="s">
        <v>64</v>
      </c>
      <c r="AC1096" s="3"/>
      <c r="AD1096" s="4" t="s">
        <v>3359</v>
      </c>
    </row>
    <row r="1097" spans="1:30" ht="29" customHeight="1">
      <c r="A1097" s="3" t="s">
        <v>3352</v>
      </c>
      <c r="B1097" s="23" t="s">
        <v>3358</v>
      </c>
      <c r="C1097" s="3" t="s">
        <v>24</v>
      </c>
      <c r="D1097" s="3" t="s">
        <v>1245</v>
      </c>
      <c r="E1097" s="3" t="s">
        <v>116</v>
      </c>
      <c r="F1097" s="4" t="s">
        <v>55</v>
      </c>
      <c r="G1097" s="3" t="s">
        <v>2276</v>
      </c>
      <c r="H1097" s="3" t="s">
        <v>523</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2276</v>
      </c>
      <c r="U1097" s="3" t="s">
        <v>2276</v>
      </c>
      <c r="V1097" s="3" t="s">
        <v>2276</v>
      </c>
      <c r="W1097" s="3" t="s">
        <v>2276</v>
      </c>
      <c r="X1097" s="3" t="s">
        <v>2276</v>
      </c>
      <c r="Y1097" s="3" t="s">
        <v>2276</v>
      </c>
      <c r="Z1097" s="3" t="s">
        <v>425</v>
      </c>
      <c r="AA1097" s="3" t="s">
        <v>127</v>
      </c>
      <c r="AB1097" s="3" t="s">
        <v>64</v>
      </c>
      <c r="AC1097" s="3"/>
      <c r="AD1097" s="4" t="s">
        <v>3359</v>
      </c>
    </row>
    <row r="1098" spans="1:30" ht="29">
      <c r="A1098" s="3" t="s">
        <v>3352</v>
      </c>
      <c r="B1098" s="23" t="s">
        <v>6089</v>
      </c>
      <c r="C1098" s="3" t="s">
        <v>24</v>
      </c>
      <c r="D1098" s="3" t="s">
        <v>2305</v>
      </c>
      <c r="E1098" s="3" t="s">
        <v>116</v>
      </c>
      <c r="F1098" s="4" t="s">
        <v>55</v>
      </c>
      <c r="G1098" s="3" t="s">
        <v>2276</v>
      </c>
      <c r="H1098" s="3" t="s">
        <v>523</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2276</v>
      </c>
      <c r="U1098" s="3" t="s">
        <v>2276</v>
      </c>
      <c r="V1098" s="3" t="s">
        <v>2276</v>
      </c>
      <c r="W1098" s="3" t="s">
        <v>2276</v>
      </c>
      <c r="X1098" s="3" t="s">
        <v>2276</v>
      </c>
      <c r="Y1098" s="3" t="s">
        <v>2276</v>
      </c>
      <c r="Z1098" s="3" t="s">
        <v>425</v>
      </c>
      <c r="AA1098" s="3" t="s">
        <v>127</v>
      </c>
      <c r="AB1098" s="3" t="s">
        <v>64</v>
      </c>
      <c r="AC1098" s="3"/>
      <c r="AD1098" s="4" t="s">
        <v>3359</v>
      </c>
    </row>
    <row r="1099" spans="1:30" ht="29">
      <c r="A1099" s="3" t="s">
        <v>3352</v>
      </c>
      <c r="B1099" s="23" t="s">
        <v>6090</v>
      </c>
      <c r="C1099" s="3" t="s">
        <v>24</v>
      </c>
      <c r="D1099" s="3" t="s">
        <v>2231</v>
      </c>
      <c r="E1099" s="4" t="s">
        <v>397</v>
      </c>
      <c r="F1099" s="4" t="s">
        <v>55</v>
      </c>
      <c r="G1099" s="3" t="s">
        <v>2276</v>
      </c>
      <c r="H1099" s="3" t="s">
        <v>523</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2276</v>
      </c>
      <c r="U1099" s="3" t="s">
        <v>2276</v>
      </c>
      <c r="V1099" s="3" t="s">
        <v>2276</v>
      </c>
      <c r="W1099" s="3" t="s">
        <v>2276</v>
      </c>
      <c r="X1099" s="3" t="s">
        <v>2276</v>
      </c>
      <c r="Y1099" s="3" t="s">
        <v>2276</v>
      </c>
      <c r="Z1099" s="3" t="s">
        <v>425</v>
      </c>
      <c r="AA1099" s="3" t="s">
        <v>127</v>
      </c>
      <c r="AB1099" s="3" t="s">
        <v>64</v>
      </c>
      <c r="AC1099" s="3"/>
      <c r="AD1099" s="4" t="s">
        <v>3359</v>
      </c>
    </row>
    <row r="1100" spans="1:30" ht="29">
      <c r="A1100" s="3" t="s">
        <v>3352</v>
      </c>
      <c r="B1100" s="23" t="s">
        <v>6091</v>
      </c>
      <c r="C1100" s="3" t="s">
        <v>31</v>
      </c>
      <c r="D1100" s="3" t="s">
        <v>1105</v>
      </c>
      <c r="E1100" s="3" t="s">
        <v>1105</v>
      </c>
      <c r="F1100" s="4" t="s">
        <v>2276</v>
      </c>
      <c r="G1100" s="3" t="s">
        <v>2276</v>
      </c>
      <c r="H1100" s="3" t="s">
        <v>523</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2276</v>
      </c>
      <c r="U1100" s="3" t="s">
        <v>2276</v>
      </c>
      <c r="V1100" s="3" t="s">
        <v>2276</v>
      </c>
      <c r="W1100" s="3" t="s">
        <v>2276</v>
      </c>
      <c r="X1100" s="3" t="s">
        <v>2276</v>
      </c>
      <c r="Y1100" s="3" t="s">
        <v>2276</v>
      </c>
      <c r="Z1100" s="3" t="s">
        <v>425</v>
      </c>
      <c r="AA1100" s="3" t="s">
        <v>127</v>
      </c>
      <c r="AB1100" s="3" t="s">
        <v>64</v>
      </c>
      <c r="AC1100" s="3"/>
      <c r="AD1100" s="4" t="s">
        <v>3359</v>
      </c>
    </row>
    <row r="1101" spans="1:30" ht="29">
      <c r="A1101" s="3" t="s">
        <v>3352</v>
      </c>
      <c r="B1101" s="23" t="s">
        <v>6092</v>
      </c>
      <c r="C1101" s="3" t="s">
        <v>24</v>
      </c>
      <c r="D1101" s="3" t="s">
        <v>1245</v>
      </c>
      <c r="E1101" s="3" t="s">
        <v>116</v>
      </c>
      <c r="F1101" s="4" t="s">
        <v>55</v>
      </c>
      <c r="G1101" s="3" t="s">
        <v>2276</v>
      </c>
      <c r="H1101" s="3" t="s">
        <v>523</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2276</v>
      </c>
      <c r="U1101" s="3" t="s">
        <v>2276</v>
      </c>
      <c r="V1101" s="3" t="s">
        <v>2276</v>
      </c>
      <c r="W1101" s="3" t="s">
        <v>2276</v>
      </c>
      <c r="X1101" s="3" t="s">
        <v>2276</v>
      </c>
      <c r="Y1101" s="3" t="s">
        <v>2276</v>
      </c>
      <c r="Z1101" s="3" t="s">
        <v>425</v>
      </c>
      <c r="AA1101" s="3" t="s">
        <v>127</v>
      </c>
      <c r="AB1101" s="3" t="s">
        <v>64</v>
      </c>
      <c r="AC1101" s="3"/>
      <c r="AD1101" s="4" t="s">
        <v>3359</v>
      </c>
    </row>
    <row r="1102" spans="1:30" ht="29">
      <c r="A1102" s="3" t="s">
        <v>3352</v>
      </c>
      <c r="B1102" s="23" t="s">
        <v>6093</v>
      </c>
      <c r="C1102" s="3" t="s">
        <v>24</v>
      </c>
      <c r="D1102" s="3" t="s">
        <v>2305</v>
      </c>
      <c r="E1102" s="3" t="s">
        <v>116</v>
      </c>
      <c r="F1102" s="4" t="s">
        <v>55</v>
      </c>
      <c r="G1102" s="3" t="s">
        <v>2276</v>
      </c>
      <c r="H1102" s="3" t="s">
        <v>523</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2276</v>
      </c>
      <c r="U1102" s="3" t="s">
        <v>2276</v>
      </c>
      <c r="V1102" s="3" t="s">
        <v>2276</v>
      </c>
      <c r="W1102" s="3" t="s">
        <v>2276</v>
      </c>
      <c r="X1102" s="3" t="s">
        <v>2276</v>
      </c>
      <c r="Y1102" s="3" t="s">
        <v>2276</v>
      </c>
      <c r="Z1102" s="3" t="s">
        <v>425</v>
      </c>
      <c r="AA1102" s="3" t="s">
        <v>127</v>
      </c>
      <c r="AB1102" s="3" t="s">
        <v>64</v>
      </c>
      <c r="AC1102" s="3"/>
      <c r="AD1102" s="4" t="s">
        <v>3359</v>
      </c>
    </row>
    <row r="1103" spans="1:30" ht="29">
      <c r="A1103" s="3" t="s">
        <v>3352</v>
      </c>
      <c r="B1103" s="23" t="s">
        <v>6094</v>
      </c>
      <c r="C1103" s="3" t="s">
        <v>24</v>
      </c>
      <c r="D1103" s="3" t="s">
        <v>2231</v>
      </c>
      <c r="E1103" s="4" t="s">
        <v>397</v>
      </c>
      <c r="F1103" s="4" t="s">
        <v>55</v>
      </c>
      <c r="G1103" s="3" t="s">
        <v>2276</v>
      </c>
      <c r="H1103" s="3" t="s">
        <v>523</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2276</v>
      </c>
      <c r="U1103" s="3" t="s">
        <v>2276</v>
      </c>
      <c r="V1103" s="3" t="s">
        <v>2276</v>
      </c>
      <c r="W1103" s="3" t="s">
        <v>2276</v>
      </c>
      <c r="X1103" s="3" t="s">
        <v>2276</v>
      </c>
      <c r="Y1103" s="3" t="s">
        <v>2276</v>
      </c>
      <c r="Z1103" s="3" t="s">
        <v>425</v>
      </c>
      <c r="AA1103" s="3" t="s">
        <v>127</v>
      </c>
      <c r="AB1103" s="3" t="s">
        <v>64</v>
      </c>
      <c r="AC1103" s="3"/>
      <c r="AD1103" s="4" t="s">
        <v>3359</v>
      </c>
    </row>
    <row r="1104" spans="1:30" ht="29">
      <c r="A1104" s="3" t="s">
        <v>3352</v>
      </c>
      <c r="B1104" s="23" t="s">
        <v>6095</v>
      </c>
      <c r="C1104" s="3" t="s">
        <v>31</v>
      </c>
      <c r="D1104" s="3" t="s">
        <v>1105</v>
      </c>
      <c r="E1104" s="3" t="s">
        <v>1105</v>
      </c>
      <c r="F1104" s="4" t="s">
        <v>2276</v>
      </c>
      <c r="G1104" s="3" t="s">
        <v>2276</v>
      </c>
      <c r="H1104" s="3" t="s">
        <v>523</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2276</v>
      </c>
      <c r="U1104" s="3" t="s">
        <v>2276</v>
      </c>
      <c r="V1104" s="3" t="s">
        <v>2276</v>
      </c>
      <c r="W1104" s="3" t="s">
        <v>2276</v>
      </c>
      <c r="X1104" s="3" t="s">
        <v>2276</v>
      </c>
      <c r="Y1104" s="3" t="s">
        <v>2276</v>
      </c>
      <c r="Z1104" s="3" t="s">
        <v>425</v>
      </c>
      <c r="AA1104" s="3" t="s">
        <v>127</v>
      </c>
      <c r="AB1104" s="3" t="s">
        <v>64</v>
      </c>
      <c r="AC1104" s="3"/>
      <c r="AD1104" s="4" t="s">
        <v>3359</v>
      </c>
    </row>
    <row r="1105" spans="1:30" ht="29">
      <c r="A1105" s="3" t="s">
        <v>3352</v>
      </c>
      <c r="B1105" s="23" t="s">
        <v>6096</v>
      </c>
      <c r="C1105" s="3" t="s">
        <v>24</v>
      </c>
      <c r="D1105" s="3" t="s">
        <v>1245</v>
      </c>
      <c r="E1105" s="3" t="s">
        <v>116</v>
      </c>
      <c r="F1105" s="4" t="s">
        <v>55</v>
      </c>
      <c r="G1105" s="3" t="s">
        <v>2276</v>
      </c>
      <c r="H1105" s="3" t="s">
        <v>523</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2276</v>
      </c>
      <c r="U1105" s="3" t="s">
        <v>2276</v>
      </c>
      <c r="V1105" s="3" t="s">
        <v>2276</v>
      </c>
      <c r="W1105" s="3" t="s">
        <v>2276</v>
      </c>
      <c r="X1105" s="3" t="s">
        <v>2276</v>
      </c>
      <c r="Y1105" s="3" t="s">
        <v>2276</v>
      </c>
      <c r="Z1105" s="3" t="s">
        <v>425</v>
      </c>
      <c r="AA1105" s="3" t="s">
        <v>127</v>
      </c>
      <c r="AB1105" s="3" t="s">
        <v>64</v>
      </c>
      <c r="AC1105" s="3"/>
      <c r="AD1105" s="4" t="s">
        <v>3359</v>
      </c>
    </row>
    <row r="1106" spans="1:30" ht="29">
      <c r="A1106" s="3" t="s">
        <v>3352</v>
      </c>
      <c r="B1106" s="23" t="s">
        <v>6097</v>
      </c>
      <c r="C1106" s="3" t="s">
        <v>24</v>
      </c>
      <c r="D1106" s="3" t="s">
        <v>2305</v>
      </c>
      <c r="E1106" s="3" t="s">
        <v>116</v>
      </c>
      <c r="F1106" s="4" t="s">
        <v>55</v>
      </c>
      <c r="G1106" s="3" t="s">
        <v>2276</v>
      </c>
      <c r="H1106" s="3" t="s">
        <v>523</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2276</v>
      </c>
      <c r="U1106" s="3" t="s">
        <v>2276</v>
      </c>
      <c r="V1106" s="3" t="s">
        <v>2276</v>
      </c>
      <c r="W1106" s="3" t="s">
        <v>2276</v>
      </c>
      <c r="X1106" s="3" t="s">
        <v>2276</v>
      </c>
      <c r="Y1106" s="3" t="s">
        <v>2276</v>
      </c>
      <c r="Z1106" s="3" t="s">
        <v>425</v>
      </c>
      <c r="AA1106" s="3" t="s">
        <v>127</v>
      </c>
      <c r="AB1106" s="3" t="s">
        <v>64</v>
      </c>
      <c r="AC1106" s="3"/>
      <c r="AD1106" s="4" t="s">
        <v>3359</v>
      </c>
    </row>
    <row r="1107" spans="1:30" ht="29">
      <c r="A1107" s="3" t="s">
        <v>3352</v>
      </c>
      <c r="B1107" s="23" t="s">
        <v>6098</v>
      </c>
      <c r="C1107" s="3" t="s">
        <v>24</v>
      </c>
      <c r="D1107" s="3" t="s">
        <v>2231</v>
      </c>
      <c r="E1107" s="4" t="s">
        <v>397</v>
      </c>
      <c r="F1107" s="4" t="s">
        <v>55</v>
      </c>
      <c r="G1107" s="3" t="s">
        <v>2276</v>
      </c>
      <c r="H1107" s="3" t="s">
        <v>523</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2276</v>
      </c>
      <c r="U1107" s="3" t="s">
        <v>2276</v>
      </c>
      <c r="V1107" s="3" t="s">
        <v>2276</v>
      </c>
      <c r="W1107" s="3" t="s">
        <v>2276</v>
      </c>
      <c r="X1107" s="3" t="s">
        <v>2276</v>
      </c>
      <c r="Y1107" s="3" t="s">
        <v>2276</v>
      </c>
      <c r="Z1107" s="3" t="s">
        <v>425</v>
      </c>
      <c r="AA1107" s="3" t="s">
        <v>127</v>
      </c>
      <c r="AB1107" s="3" t="s">
        <v>64</v>
      </c>
      <c r="AC1107" s="3"/>
      <c r="AD1107" s="4" t="s">
        <v>3359</v>
      </c>
    </row>
    <row r="1108" spans="1:30" ht="29">
      <c r="A1108" s="3" t="s">
        <v>3352</v>
      </c>
      <c r="B1108" s="23" t="s">
        <v>6099</v>
      </c>
      <c r="C1108" s="3" t="s">
        <v>31</v>
      </c>
      <c r="D1108" s="3" t="s">
        <v>1105</v>
      </c>
      <c r="E1108" s="3" t="s">
        <v>1105</v>
      </c>
      <c r="F1108" s="4" t="s">
        <v>2276</v>
      </c>
      <c r="G1108" s="3" t="s">
        <v>2276</v>
      </c>
      <c r="H1108" s="3" t="s">
        <v>523</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2276</v>
      </c>
      <c r="U1108" s="3" t="s">
        <v>2276</v>
      </c>
      <c r="V1108" s="3" t="s">
        <v>2276</v>
      </c>
      <c r="W1108" s="3" t="s">
        <v>2276</v>
      </c>
      <c r="X1108" s="3" t="s">
        <v>2276</v>
      </c>
      <c r="Y1108" s="3" t="s">
        <v>2276</v>
      </c>
      <c r="Z1108" s="3" t="s">
        <v>425</v>
      </c>
      <c r="AA1108" s="3" t="s">
        <v>127</v>
      </c>
      <c r="AB1108" s="3" t="s">
        <v>64</v>
      </c>
      <c r="AC1108" s="3"/>
      <c r="AD1108" s="4" t="s">
        <v>3359</v>
      </c>
    </row>
    <row r="1109" spans="1:30" ht="29">
      <c r="A1109" s="3" t="s">
        <v>3352</v>
      </c>
      <c r="B1109" s="23" t="s">
        <v>6100</v>
      </c>
      <c r="C1109" s="3" t="s">
        <v>24</v>
      </c>
      <c r="D1109" s="3" t="s">
        <v>1245</v>
      </c>
      <c r="E1109" s="3" t="s">
        <v>116</v>
      </c>
      <c r="F1109" s="4" t="s">
        <v>55</v>
      </c>
      <c r="G1109" s="3" t="s">
        <v>2276</v>
      </c>
      <c r="H1109" s="3" t="s">
        <v>523</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2276</v>
      </c>
      <c r="U1109" s="3" t="s">
        <v>2276</v>
      </c>
      <c r="V1109" s="3" t="s">
        <v>2276</v>
      </c>
      <c r="W1109" s="3" t="s">
        <v>2276</v>
      </c>
      <c r="X1109" s="3" t="s">
        <v>2276</v>
      </c>
      <c r="Y1109" s="3" t="s">
        <v>2276</v>
      </c>
      <c r="Z1109" s="3" t="s">
        <v>425</v>
      </c>
      <c r="AA1109" s="3" t="s">
        <v>127</v>
      </c>
      <c r="AB1109" s="3" t="s">
        <v>64</v>
      </c>
      <c r="AC1109" s="3"/>
      <c r="AD1109" s="4" t="s">
        <v>3359</v>
      </c>
    </row>
    <row r="1110" spans="1:30" ht="82.5" customHeight="1">
      <c r="A1110" s="11" t="s">
        <v>3364</v>
      </c>
      <c r="B1110" s="23" t="s">
        <v>3366</v>
      </c>
      <c r="C1110" s="3" t="s">
        <v>24</v>
      </c>
      <c r="D1110" s="3" t="s">
        <v>144</v>
      </c>
      <c r="E1110" s="3" t="s">
        <v>137</v>
      </c>
      <c r="F1110" s="4" t="s">
        <v>2662</v>
      </c>
      <c r="G1110" s="3" t="s">
        <v>2276</v>
      </c>
      <c r="H1110" s="3" t="s">
        <v>523</v>
      </c>
      <c r="I1110" s="3"/>
      <c r="J1110" s="3" t="s">
        <v>2276</v>
      </c>
      <c r="K1110" s="3" t="s">
        <v>2276</v>
      </c>
      <c r="L1110" s="3" t="s">
        <v>2276</v>
      </c>
      <c r="M1110" s="3" t="s">
        <v>2276</v>
      </c>
      <c r="N1110" s="3" t="s">
        <v>2276</v>
      </c>
      <c r="O1110" s="3" t="s">
        <v>2276</v>
      </c>
      <c r="P1110" s="3" t="s">
        <v>2276</v>
      </c>
      <c r="Q1110" s="3" t="s">
        <v>2276</v>
      </c>
      <c r="R1110" s="3" t="s">
        <v>2276</v>
      </c>
      <c r="S1110" s="3" t="s">
        <v>2276</v>
      </c>
      <c r="T1110" s="3" t="s">
        <v>2276</v>
      </c>
      <c r="U1110" s="3" t="s">
        <v>2276</v>
      </c>
      <c r="V1110" s="3" t="s">
        <v>2276</v>
      </c>
      <c r="W1110" s="3" t="s">
        <v>2276</v>
      </c>
      <c r="X1110" s="21">
        <v>85</v>
      </c>
      <c r="Y1110" s="3" t="s">
        <v>2276</v>
      </c>
      <c r="Z1110" s="3" t="s">
        <v>35</v>
      </c>
      <c r="AA1110" s="3" t="s">
        <v>188</v>
      </c>
      <c r="AB1110" s="3" t="s">
        <v>64</v>
      </c>
      <c r="AC1110" s="4"/>
      <c r="AD1110" s="4" t="s">
        <v>3367</v>
      </c>
    </row>
    <row r="1111" spans="1:30" ht="96.5" customHeight="1">
      <c r="A1111" s="11" t="s">
        <v>3370</v>
      </c>
      <c r="B1111" s="3" t="s">
        <v>3374</v>
      </c>
      <c r="C1111" s="3" t="s">
        <v>24</v>
      </c>
      <c r="D1111" s="3" t="s">
        <v>25</v>
      </c>
      <c r="E1111" s="3" t="s">
        <v>5005</v>
      </c>
      <c r="F1111" s="4" t="s">
        <v>2662</v>
      </c>
      <c r="G1111" s="3"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3" t="s">
        <v>2276</v>
      </c>
      <c r="Z1111" s="3" t="s">
        <v>2276</v>
      </c>
      <c r="AA1111" s="3" t="s">
        <v>2276</v>
      </c>
      <c r="AB1111" s="3" t="s">
        <v>2276</v>
      </c>
      <c r="AC1111" s="4" t="s">
        <v>3376</v>
      </c>
      <c r="AD1111" s="3"/>
    </row>
    <row r="1112" spans="1:30" ht="92.5" customHeight="1">
      <c r="A1112" s="11" t="s">
        <v>3371</v>
      </c>
      <c r="B1112" s="3" t="s">
        <v>3375</v>
      </c>
      <c r="C1112" s="3" t="s">
        <v>24</v>
      </c>
      <c r="D1112" s="3" t="s">
        <v>25</v>
      </c>
      <c r="E1112" s="3" t="s">
        <v>5005</v>
      </c>
      <c r="F1112" s="4" t="s">
        <v>2662</v>
      </c>
      <c r="G1112" s="3"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3" t="s">
        <v>2276</v>
      </c>
      <c r="Z1112" s="3" t="s">
        <v>2276</v>
      </c>
      <c r="AA1112" s="3" t="s">
        <v>2276</v>
      </c>
      <c r="AB1112" s="3" t="s">
        <v>2276</v>
      </c>
      <c r="AC1112" s="4" t="s">
        <v>3376</v>
      </c>
      <c r="AD1112" s="3"/>
    </row>
    <row r="1113" spans="1:30" ht="52" customHeight="1">
      <c r="A1113" s="11" t="s">
        <v>3378</v>
      </c>
      <c r="B1113" s="11" t="s">
        <v>3389</v>
      </c>
      <c r="C1113" s="3" t="s">
        <v>24</v>
      </c>
      <c r="D1113" s="3" t="s">
        <v>2804</v>
      </c>
      <c r="E1113" s="3" t="s">
        <v>5005</v>
      </c>
      <c r="F1113" s="4" t="s">
        <v>2662</v>
      </c>
      <c r="G1113" s="3" t="s">
        <v>2276</v>
      </c>
      <c r="H1113" s="3" t="s">
        <v>523</v>
      </c>
      <c r="I1113" s="3">
        <v>1968</v>
      </c>
      <c r="J1113" s="3" t="s">
        <v>2276</v>
      </c>
      <c r="K1113" s="3" t="s">
        <v>2276</v>
      </c>
      <c r="L1113" s="3" t="s">
        <v>2276</v>
      </c>
      <c r="M1113" s="3" t="s">
        <v>2276</v>
      </c>
      <c r="N1113" s="3" t="s">
        <v>2276</v>
      </c>
      <c r="O1113" s="3" t="s">
        <v>2276</v>
      </c>
      <c r="P1113" s="3" t="s">
        <v>2276</v>
      </c>
      <c r="Q1113" s="3" t="s">
        <v>2276</v>
      </c>
      <c r="R1113" s="3" t="s">
        <v>2276</v>
      </c>
      <c r="S1113" s="3" t="s">
        <v>2276</v>
      </c>
      <c r="T1113" s="3" t="s">
        <v>2276</v>
      </c>
      <c r="U1113" s="3" t="s">
        <v>2276</v>
      </c>
      <c r="V1113" s="3" t="s">
        <v>2276</v>
      </c>
      <c r="W1113" s="3" t="s">
        <v>2276</v>
      </c>
      <c r="X1113" s="3" t="s">
        <v>2276</v>
      </c>
      <c r="Y1113" s="3" t="s">
        <v>2276</v>
      </c>
      <c r="Z1113" s="3" t="s">
        <v>127</v>
      </c>
      <c r="AA1113" s="3" t="s">
        <v>188</v>
      </c>
      <c r="AB1113" s="3" t="s">
        <v>64</v>
      </c>
      <c r="AC1113" s="4" t="s">
        <v>3398</v>
      </c>
      <c r="AD1113" s="4" t="s">
        <v>3399</v>
      </c>
    </row>
    <row r="1114" spans="1:30" ht="56" customHeight="1">
      <c r="A1114" s="11" t="s">
        <v>3379</v>
      </c>
      <c r="B1114" s="11" t="s">
        <v>3390</v>
      </c>
      <c r="C1114" s="3" t="s">
        <v>24</v>
      </c>
      <c r="D1114" s="3" t="s">
        <v>2804</v>
      </c>
      <c r="E1114" s="3" t="s">
        <v>5005</v>
      </c>
      <c r="F1114" s="4" t="s">
        <v>2662</v>
      </c>
      <c r="G1114" s="3" t="s">
        <v>2276</v>
      </c>
      <c r="H1114" s="3" t="s">
        <v>523</v>
      </c>
      <c r="I1114" s="3">
        <v>1968</v>
      </c>
      <c r="J1114" s="3" t="s">
        <v>2276</v>
      </c>
      <c r="K1114" s="3" t="s">
        <v>2276</v>
      </c>
      <c r="L1114" s="3" t="s">
        <v>2276</v>
      </c>
      <c r="M1114" s="3" t="s">
        <v>2276</v>
      </c>
      <c r="N1114" s="3" t="s">
        <v>2276</v>
      </c>
      <c r="O1114" s="3" t="s">
        <v>2276</v>
      </c>
      <c r="P1114" s="3" t="s">
        <v>2276</v>
      </c>
      <c r="Q1114" s="3" t="s">
        <v>2276</v>
      </c>
      <c r="R1114" s="3" t="s">
        <v>2276</v>
      </c>
      <c r="S1114" s="3" t="s">
        <v>2276</v>
      </c>
      <c r="T1114" s="3" t="s">
        <v>2276</v>
      </c>
      <c r="U1114" s="3" t="s">
        <v>2276</v>
      </c>
      <c r="V1114" s="3" t="s">
        <v>2276</v>
      </c>
      <c r="W1114" s="3" t="s">
        <v>2276</v>
      </c>
      <c r="X1114" s="3" t="s">
        <v>2276</v>
      </c>
      <c r="Y1114" s="3" t="s">
        <v>2276</v>
      </c>
      <c r="Z1114" s="3" t="s">
        <v>127</v>
      </c>
      <c r="AA1114" s="3" t="s">
        <v>188</v>
      </c>
      <c r="AB1114" s="3" t="s">
        <v>64</v>
      </c>
      <c r="AC1114" s="4" t="s">
        <v>3398</v>
      </c>
      <c r="AD1114" s="4" t="s">
        <v>3399</v>
      </c>
    </row>
    <row r="1115" spans="1:30" ht="63.5" customHeight="1">
      <c r="A1115" s="11" t="s">
        <v>3383</v>
      </c>
      <c r="B1115" s="11" t="s">
        <v>3391</v>
      </c>
      <c r="C1115" s="3" t="s">
        <v>24</v>
      </c>
      <c r="D1115" s="3" t="s">
        <v>2804</v>
      </c>
      <c r="E1115" s="3" t="s">
        <v>5005</v>
      </c>
      <c r="F1115" s="4" t="s">
        <v>2662</v>
      </c>
      <c r="G1115" s="3" t="s">
        <v>2276</v>
      </c>
      <c r="H1115" s="3" t="s">
        <v>523</v>
      </c>
      <c r="I1115" s="3">
        <v>1968</v>
      </c>
      <c r="J1115" s="3" t="s">
        <v>2276</v>
      </c>
      <c r="K1115" s="3" t="s">
        <v>2276</v>
      </c>
      <c r="L1115" s="3" t="s">
        <v>2276</v>
      </c>
      <c r="M1115" s="3" t="s">
        <v>2276</v>
      </c>
      <c r="N1115" s="3" t="s">
        <v>2276</v>
      </c>
      <c r="O1115" s="3" t="s">
        <v>2276</v>
      </c>
      <c r="P1115" s="3" t="s">
        <v>2276</v>
      </c>
      <c r="Q1115" s="3" t="s">
        <v>2276</v>
      </c>
      <c r="R1115" s="3" t="s">
        <v>2276</v>
      </c>
      <c r="S1115" s="3" t="s">
        <v>2276</v>
      </c>
      <c r="T1115" s="3" t="s">
        <v>2276</v>
      </c>
      <c r="U1115" s="3" t="s">
        <v>2276</v>
      </c>
      <c r="V1115" s="3" t="s">
        <v>2276</v>
      </c>
      <c r="W1115" s="3" t="s">
        <v>2276</v>
      </c>
      <c r="X1115" s="3" t="s">
        <v>2276</v>
      </c>
      <c r="Y1115" s="3" t="s">
        <v>2276</v>
      </c>
      <c r="Z1115" s="3" t="s">
        <v>127</v>
      </c>
      <c r="AA1115" s="3" t="s">
        <v>188</v>
      </c>
      <c r="AB1115" s="3" t="s">
        <v>64</v>
      </c>
      <c r="AC1115" s="4" t="s">
        <v>3398</v>
      </c>
      <c r="AD1115" s="4" t="s">
        <v>3399</v>
      </c>
    </row>
    <row r="1116" spans="1:30" ht="56" customHeight="1">
      <c r="A1116" s="11" t="s">
        <v>3378</v>
      </c>
      <c r="B1116" s="11" t="s">
        <v>3392</v>
      </c>
      <c r="C1116" s="3" t="s">
        <v>24</v>
      </c>
      <c r="D1116" s="3" t="s">
        <v>26</v>
      </c>
      <c r="E1116" s="3" t="s">
        <v>5005</v>
      </c>
      <c r="F1116" s="4" t="s">
        <v>2662</v>
      </c>
      <c r="G1116" s="3" t="s">
        <v>2276</v>
      </c>
      <c r="H1116" s="3" t="s">
        <v>523</v>
      </c>
      <c r="I1116" s="3">
        <v>1968</v>
      </c>
      <c r="J1116" s="3" t="s">
        <v>2276</v>
      </c>
      <c r="K1116" s="3" t="s">
        <v>2276</v>
      </c>
      <c r="L1116" s="3" t="s">
        <v>2276</v>
      </c>
      <c r="M1116" s="3" t="s">
        <v>2276</v>
      </c>
      <c r="N1116" s="3" t="s">
        <v>2276</v>
      </c>
      <c r="O1116" s="3" t="s">
        <v>2276</v>
      </c>
      <c r="P1116" s="3" t="s">
        <v>2276</v>
      </c>
      <c r="Q1116" s="3" t="s">
        <v>2276</v>
      </c>
      <c r="R1116" s="3" t="s">
        <v>2276</v>
      </c>
      <c r="S1116" s="3" t="s">
        <v>2276</v>
      </c>
      <c r="T1116" s="3" t="s">
        <v>2276</v>
      </c>
      <c r="U1116" s="3" t="s">
        <v>2276</v>
      </c>
      <c r="V1116" s="3" t="s">
        <v>2276</v>
      </c>
      <c r="W1116" s="3" t="s">
        <v>2276</v>
      </c>
      <c r="X1116" s="3" t="s">
        <v>2276</v>
      </c>
      <c r="Y1116" s="3" t="s">
        <v>2276</v>
      </c>
      <c r="Z1116" s="3" t="s">
        <v>2276</v>
      </c>
      <c r="AA1116" s="3" t="s">
        <v>2276</v>
      </c>
      <c r="AB1116" s="3" t="s">
        <v>2276</v>
      </c>
      <c r="AC1116" s="4" t="s">
        <v>3398</v>
      </c>
      <c r="AD1116" s="3"/>
    </row>
    <row r="1117" spans="1:30" ht="65.5" customHeight="1">
      <c r="A1117" s="11" t="s">
        <v>3379</v>
      </c>
      <c r="B1117" s="11" t="s">
        <v>3393</v>
      </c>
      <c r="C1117" s="3" t="s">
        <v>24</v>
      </c>
      <c r="D1117" s="3" t="s">
        <v>26</v>
      </c>
      <c r="E1117" s="3" t="s">
        <v>5005</v>
      </c>
      <c r="F1117" s="4" t="s">
        <v>2662</v>
      </c>
      <c r="G1117" s="3" t="s">
        <v>2276</v>
      </c>
      <c r="H1117" s="3" t="s">
        <v>523</v>
      </c>
      <c r="I1117" s="3">
        <v>1968</v>
      </c>
      <c r="J1117" s="3" t="s">
        <v>2276</v>
      </c>
      <c r="K1117" s="3" t="s">
        <v>2276</v>
      </c>
      <c r="L1117" s="3" t="s">
        <v>2276</v>
      </c>
      <c r="M1117" s="3" t="s">
        <v>2276</v>
      </c>
      <c r="N1117" s="3" t="s">
        <v>2276</v>
      </c>
      <c r="O1117" s="3" t="s">
        <v>2276</v>
      </c>
      <c r="P1117" s="3" t="s">
        <v>2276</v>
      </c>
      <c r="Q1117" s="3" t="s">
        <v>2276</v>
      </c>
      <c r="R1117" s="3" t="s">
        <v>2276</v>
      </c>
      <c r="S1117" s="3" t="s">
        <v>2276</v>
      </c>
      <c r="T1117" s="3" t="s">
        <v>2276</v>
      </c>
      <c r="U1117" s="3" t="s">
        <v>2276</v>
      </c>
      <c r="V1117" s="3" t="s">
        <v>2276</v>
      </c>
      <c r="W1117" s="3" t="s">
        <v>2276</v>
      </c>
      <c r="X1117" s="3" t="s">
        <v>2276</v>
      </c>
      <c r="Y1117" s="3" t="s">
        <v>2276</v>
      </c>
      <c r="Z1117" s="3" t="s">
        <v>2276</v>
      </c>
      <c r="AA1117" s="3" t="s">
        <v>2276</v>
      </c>
      <c r="AB1117" s="3" t="s">
        <v>2276</v>
      </c>
      <c r="AC1117" s="4" t="s">
        <v>3398</v>
      </c>
      <c r="AD1117" s="3"/>
    </row>
    <row r="1118" spans="1:30" ht="61" customHeight="1">
      <c r="A1118" s="11" t="s">
        <v>3383</v>
      </c>
      <c r="B1118" s="11" t="s">
        <v>3394</v>
      </c>
      <c r="C1118" s="3" t="s">
        <v>24</v>
      </c>
      <c r="D1118" s="3" t="s">
        <v>26</v>
      </c>
      <c r="E1118" s="3" t="s">
        <v>5005</v>
      </c>
      <c r="F1118" s="4" t="s">
        <v>2662</v>
      </c>
      <c r="G1118" s="3" t="s">
        <v>2276</v>
      </c>
      <c r="H1118" s="3" t="s">
        <v>523</v>
      </c>
      <c r="I1118" s="3">
        <v>1968</v>
      </c>
      <c r="J1118" s="3" t="s">
        <v>2276</v>
      </c>
      <c r="K1118" s="3" t="s">
        <v>2276</v>
      </c>
      <c r="L1118" s="3" t="s">
        <v>2276</v>
      </c>
      <c r="M1118" s="3" t="s">
        <v>2276</v>
      </c>
      <c r="N1118" s="3" t="s">
        <v>2276</v>
      </c>
      <c r="O1118" s="3" t="s">
        <v>2276</v>
      </c>
      <c r="P1118" s="3" t="s">
        <v>2276</v>
      </c>
      <c r="Q1118" s="3" t="s">
        <v>2276</v>
      </c>
      <c r="R1118" s="3" t="s">
        <v>2276</v>
      </c>
      <c r="S1118" s="3" t="s">
        <v>2276</v>
      </c>
      <c r="T1118" s="3" t="s">
        <v>2276</v>
      </c>
      <c r="U1118" s="3" t="s">
        <v>2276</v>
      </c>
      <c r="V1118" s="3" t="s">
        <v>2276</v>
      </c>
      <c r="W1118" s="3" t="s">
        <v>2276</v>
      </c>
      <c r="X1118" s="3" t="s">
        <v>2276</v>
      </c>
      <c r="Y1118" s="3"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3" t="s">
        <v>2276</v>
      </c>
      <c r="H1119" s="3" t="s">
        <v>523</v>
      </c>
      <c r="I1119" s="3">
        <v>1968</v>
      </c>
      <c r="J1119" s="3" t="s">
        <v>2276</v>
      </c>
      <c r="K1119" s="3" t="s">
        <v>2276</v>
      </c>
      <c r="L1119" s="3" t="s">
        <v>2276</v>
      </c>
      <c r="M1119" s="3" t="s">
        <v>2276</v>
      </c>
      <c r="N1119" s="3" t="s">
        <v>2276</v>
      </c>
      <c r="O1119" s="3" t="s">
        <v>2276</v>
      </c>
      <c r="P1119" s="3" t="s">
        <v>2276</v>
      </c>
      <c r="Q1119" s="3" t="s">
        <v>2276</v>
      </c>
      <c r="R1119" s="3" t="s">
        <v>2276</v>
      </c>
      <c r="S1119" s="3" t="s">
        <v>2276</v>
      </c>
      <c r="T1119" s="3" t="s">
        <v>2276</v>
      </c>
      <c r="U1119" s="3" t="s">
        <v>2276</v>
      </c>
      <c r="V1119" s="3" t="s">
        <v>2276</v>
      </c>
      <c r="W1119" s="3" t="s">
        <v>2276</v>
      </c>
      <c r="X1119" s="3" t="s">
        <v>2276</v>
      </c>
      <c r="Y1119" s="3" t="s">
        <v>2276</v>
      </c>
      <c r="Z1119" s="3" t="s">
        <v>2276</v>
      </c>
      <c r="AA1119" s="3" t="s">
        <v>2276</v>
      </c>
      <c r="AB1119" s="3" t="s">
        <v>2276</v>
      </c>
      <c r="AC1119" s="4" t="s">
        <v>3398</v>
      </c>
      <c r="AD1119" s="3"/>
    </row>
    <row r="1120" spans="1:30" ht="56.5" customHeight="1">
      <c r="A1120" s="11" t="s">
        <v>3379</v>
      </c>
      <c r="B1120" s="11" t="s">
        <v>3396</v>
      </c>
      <c r="C1120" s="3" t="s">
        <v>24</v>
      </c>
      <c r="D1120" s="3" t="s">
        <v>2341</v>
      </c>
      <c r="E1120" s="3" t="s">
        <v>5005</v>
      </c>
      <c r="F1120" s="4" t="s">
        <v>2662</v>
      </c>
      <c r="G1120" s="3" t="s">
        <v>2276</v>
      </c>
      <c r="H1120" s="3" t="s">
        <v>523</v>
      </c>
      <c r="I1120" s="3">
        <v>1968</v>
      </c>
      <c r="J1120" s="3" t="s">
        <v>2276</v>
      </c>
      <c r="K1120" s="3" t="s">
        <v>2276</v>
      </c>
      <c r="L1120" s="3" t="s">
        <v>2276</v>
      </c>
      <c r="M1120" s="3" t="s">
        <v>2276</v>
      </c>
      <c r="N1120" s="3" t="s">
        <v>2276</v>
      </c>
      <c r="O1120" s="3" t="s">
        <v>2276</v>
      </c>
      <c r="P1120" s="3" t="s">
        <v>2276</v>
      </c>
      <c r="Q1120" s="3" t="s">
        <v>2276</v>
      </c>
      <c r="R1120" s="3" t="s">
        <v>2276</v>
      </c>
      <c r="S1120" s="3" t="s">
        <v>2276</v>
      </c>
      <c r="T1120" s="3" t="s">
        <v>2276</v>
      </c>
      <c r="U1120" s="3" t="s">
        <v>2276</v>
      </c>
      <c r="V1120" s="3" t="s">
        <v>2276</v>
      </c>
      <c r="W1120" s="3" t="s">
        <v>2276</v>
      </c>
      <c r="X1120" s="3" t="s">
        <v>2276</v>
      </c>
      <c r="Y1120" s="3"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3" t="s">
        <v>2276</v>
      </c>
      <c r="H1121" s="3" t="s">
        <v>523</v>
      </c>
      <c r="I1121" s="3">
        <v>1968</v>
      </c>
      <c r="J1121" s="3" t="s">
        <v>2276</v>
      </c>
      <c r="K1121" s="3" t="s">
        <v>2276</v>
      </c>
      <c r="L1121" s="3" t="s">
        <v>2276</v>
      </c>
      <c r="M1121" s="3" t="s">
        <v>2276</v>
      </c>
      <c r="N1121" s="3" t="s">
        <v>2276</v>
      </c>
      <c r="O1121" s="3" t="s">
        <v>2276</v>
      </c>
      <c r="P1121" s="3" t="s">
        <v>2276</v>
      </c>
      <c r="Q1121" s="3" t="s">
        <v>2276</v>
      </c>
      <c r="R1121" s="3" t="s">
        <v>2276</v>
      </c>
      <c r="S1121" s="3" t="s">
        <v>2276</v>
      </c>
      <c r="T1121" s="3" t="s">
        <v>2276</v>
      </c>
      <c r="U1121" s="3" t="s">
        <v>2276</v>
      </c>
      <c r="V1121" s="3" t="s">
        <v>2276</v>
      </c>
      <c r="W1121" s="3" t="s">
        <v>2276</v>
      </c>
      <c r="X1121" s="3" t="s">
        <v>2276</v>
      </c>
      <c r="Y1121" s="3" t="s">
        <v>2276</v>
      </c>
      <c r="Z1121" s="3" t="s">
        <v>2276</v>
      </c>
      <c r="AA1121" s="3" t="s">
        <v>2276</v>
      </c>
      <c r="AB1121" s="3" t="s">
        <v>2276</v>
      </c>
      <c r="AC1121" s="4" t="s">
        <v>3398</v>
      </c>
      <c r="AD1121" s="3"/>
    </row>
    <row r="1122" spans="1:30" ht="41.5" customHeight="1">
      <c r="A1122" s="11" t="s">
        <v>3386</v>
      </c>
      <c r="B1122" s="11" t="s">
        <v>3407</v>
      </c>
      <c r="C1122" s="3" t="s">
        <v>24</v>
      </c>
      <c r="D1122" s="3" t="s">
        <v>2804</v>
      </c>
      <c r="E1122" s="3" t="s">
        <v>5005</v>
      </c>
      <c r="F1122" s="4" t="s">
        <v>2662</v>
      </c>
      <c r="G1122" s="3" t="s">
        <v>2276</v>
      </c>
      <c r="H1122" s="3" t="s">
        <v>523</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2276</v>
      </c>
      <c r="Y1122" s="3"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3"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3" t="s">
        <v>2276</v>
      </c>
      <c r="AB1123" s="3" t="s">
        <v>2276</v>
      </c>
      <c r="AC1123" s="4" t="s">
        <v>3410</v>
      </c>
      <c r="AD1123" s="3"/>
    </row>
    <row r="1124" spans="1:30" ht="47.5" customHeight="1">
      <c r="A1124" s="11" t="s">
        <v>3388</v>
      </c>
      <c r="B1124" s="11" t="s">
        <v>3409</v>
      </c>
      <c r="C1124" s="3" t="s">
        <v>24</v>
      </c>
      <c r="D1124" s="3" t="s">
        <v>2804</v>
      </c>
      <c r="E1124" s="3" t="s">
        <v>5005</v>
      </c>
      <c r="F1124" s="4" t="s">
        <v>2662</v>
      </c>
      <c r="G1124" s="3"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3" t="s">
        <v>2276</v>
      </c>
      <c r="Z1124" s="3" t="s">
        <v>2276</v>
      </c>
      <c r="AA1124" s="3" t="s">
        <v>2276</v>
      </c>
      <c r="AB1124" s="3"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3" t="s">
        <v>2276</v>
      </c>
      <c r="K1125" s="3" t="s">
        <v>2276</v>
      </c>
      <c r="L1125" s="3" t="s">
        <v>2276</v>
      </c>
      <c r="M1125" s="3" t="s">
        <v>2276</v>
      </c>
      <c r="N1125" s="3" t="s">
        <v>2276</v>
      </c>
      <c r="O1125" s="3" t="s">
        <v>2276</v>
      </c>
      <c r="P1125" s="3" t="s">
        <v>2276</v>
      </c>
      <c r="Q1125" s="3" t="s">
        <v>2276</v>
      </c>
      <c r="R1125" s="3" t="s">
        <v>2276</v>
      </c>
      <c r="S1125" s="3" t="s">
        <v>2276</v>
      </c>
      <c r="T1125" s="3" t="s">
        <v>2276</v>
      </c>
      <c r="U1125" s="3" t="s">
        <v>2276</v>
      </c>
      <c r="V1125" s="3" t="s">
        <v>2276</v>
      </c>
      <c r="W1125" s="3" t="s">
        <v>2276</v>
      </c>
      <c r="X1125" s="3" t="s">
        <v>2276</v>
      </c>
      <c r="Y1125" s="3" t="s">
        <v>2276</v>
      </c>
      <c r="Z1125" s="3" t="s">
        <v>86</v>
      </c>
      <c r="AA1125" s="3" t="s">
        <v>405</v>
      </c>
      <c r="AB1125" s="3"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2276</v>
      </c>
      <c r="Y1126" s="3" t="s">
        <v>2276</v>
      </c>
      <c r="Z1126" s="3" t="s">
        <v>86</v>
      </c>
      <c r="AA1126" s="3" t="s">
        <v>405</v>
      </c>
      <c r="AB1126" s="3" t="s">
        <v>64</v>
      </c>
      <c r="AC1126" s="4" t="s">
        <v>3421</v>
      </c>
      <c r="AD1126" s="3"/>
    </row>
    <row r="1127" spans="1:30" ht="113.5" customHeight="1">
      <c r="A1127" s="3" t="s">
        <v>3426</v>
      </c>
      <c r="B1127" s="3" t="s">
        <v>3429</v>
      </c>
      <c r="C1127" s="3" t="s">
        <v>24</v>
      </c>
      <c r="D1127" s="3" t="s">
        <v>1245</v>
      </c>
      <c r="E1127" s="3" t="s">
        <v>116</v>
      </c>
      <c r="F1127" s="4" t="s">
        <v>2662</v>
      </c>
      <c r="G1127" s="4" t="s">
        <v>2662</v>
      </c>
      <c r="H1127" s="3" t="s">
        <v>523</v>
      </c>
      <c r="I1127" s="3">
        <v>1953</v>
      </c>
      <c r="J1127" s="3" t="s">
        <v>2276</v>
      </c>
      <c r="K1127" s="3" t="s">
        <v>2276</v>
      </c>
      <c r="L1127" s="21">
        <v>0.5</v>
      </c>
      <c r="M1127" s="3" t="s">
        <v>2276</v>
      </c>
      <c r="N1127" s="3" t="s">
        <v>2276</v>
      </c>
      <c r="O1127" s="3" t="s">
        <v>2276</v>
      </c>
      <c r="P1127" s="3" t="s">
        <v>2276</v>
      </c>
      <c r="Q1127" s="3" t="s">
        <v>2276</v>
      </c>
      <c r="R1127" s="21">
        <v>5</v>
      </c>
      <c r="S1127" s="3" t="s">
        <v>2276</v>
      </c>
      <c r="T1127" s="3" t="s">
        <v>2276</v>
      </c>
      <c r="U1127" s="3" t="s">
        <v>2276</v>
      </c>
      <c r="V1127" s="3" t="s">
        <v>2276</v>
      </c>
      <c r="W1127" s="3" t="s">
        <v>2276</v>
      </c>
      <c r="X1127" s="3" t="s">
        <v>2276</v>
      </c>
      <c r="Y1127" s="3" t="s">
        <v>2276</v>
      </c>
      <c r="Z1127" s="3" t="s">
        <v>399</v>
      </c>
      <c r="AA1127" s="3" t="s">
        <v>127</v>
      </c>
      <c r="AB1127" s="3" t="s">
        <v>2312</v>
      </c>
      <c r="AC1127" s="4" t="s">
        <v>3442</v>
      </c>
      <c r="AD1127" s="4" t="s">
        <v>3443</v>
      </c>
    </row>
    <row r="1128" spans="1:30" ht="113.5" customHeight="1">
      <c r="A1128" s="3" t="s">
        <v>3426</v>
      </c>
      <c r="B1128" s="3" t="s">
        <v>3430</v>
      </c>
      <c r="C1128" s="3" t="s">
        <v>1105</v>
      </c>
      <c r="D1128" s="3" t="s">
        <v>1105</v>
      </c>
      <c r="E1128" s="3" t="s">
        <v>2276</v>
      </c>
      <c r="F1128" s="4" t="s">
        <v>2276</v>
      </c>
      <c r="G1128" s="4" t="s">
        <v>2662</v>
      </c>
      <c r="H1128" s="3" t="s">
        <v>523</v>
      </c>
      <c r="I1128" s="3">
        <v>1953</v>
      </c>
      <c r="J1128" s="3" t="s">
        <v>2276</v>
      </c>
      <c r="K1128" s="3" t="s">
        <v>2276</v>
      </c>
      <c r="L1128" s="21">
        <v>0.5</v>
      </c>
      <c r="M1128" s="3" t="s">
        <v>2276</v>
      </c>
      <c r="N1128" s="21">
        <v>6005</v>
      </c>
      <c r="O1128" s="3" t="s">
        <v>2276</v>
      </c>
      <c r="P1128" s="21">
        <v>63.9</v>
      </c>
      <c r="Q1128" s="3" t="s">
        <v>2276</v>
      </c>
      <c r="R1128" s="21">
        <v>10.199999999999999</v>
      </c>
      <c r="S1128" s="3" t="s">
        <v>2276</v>
      </c>
      <c r="T1128" s="3" t="s">
        <v>2276</v>
      </c>
      <c r="U1128" s="3" t="s">
        <v>2276</v>
      </c>
      <c r="V1128" s="21">
        <f>22/5</f>
        <v>4.4000000000000004</v>
      </c>
      <c r="W1128" s="3" t="s">
        <v>2276</v>
      </c>
      <c r="X1128" s="3" t="s">
        <v>2276</v>
      </c>
      <c r="Y1128" s="3" t="s">
        <v>2276</v>
      </c>
      <c r="Z1128" s="3" t="s">
        <v>399</v>
      </c>
      <c r="AA1128" s="3" t="s">
        <v>127</v>
      </c>
      <c r="AB1128" s="3" t="s">
        <v>2312</v>
      </c>
      <c r="AC1128" s="4"/>
      <c r="AD1128" s="4"/>
    </row>
    <row r="1129" spans="1:30" ht="56.5" customHeight="1">
      <c r="A1129" s="3" t="s">
        <v>3426</v>
      </c>
      <c r="B1129" s="3"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3" t="s">
        <v>2276</v>
      </c>
      <c r="AC1129" s="4" t="s">
        <v>3423</v>
      </c>
      <c r="AD1129" s="3"/>
    </row>
    <row r="1130" spans="1:30" ht="42" customHeight="1">
      <c r="A1130" s="3" t="s">
        <v>3426</v>
      </c>
      <c r="B1130" s="3" t="s">
        <v>3432</v>
      </c>
      <c r="C1130" s="3" t="s">
        <v>1105</v>
      </c>
      <c r="D1130" s="3" t="s">
        <v>1105</v>
      </c>
      <c r="E1130" s="3" t="s">
        <v>1105</v>
      </c>
      <c r="F1130" s="4" t="s">
        <v>1105</v>
      </c>
      <c r="G1130" s="3" t="s">
        <v>2276</v>
      </c>
      <c r="H1130" s="3" t="s">
        <v>523</v>
      </c>
      <c r="I1130" s="3">
        <v>1973</v>
      </c>
      <c r="J1130" s="21">
        <f>24/'Record info'!$K$618/5</f>
        <v>1.9899672484557027E-3</v>
      </c>
      <c r="K1130" s="3" t="s">
        <v>2276</v>
      </c>
      <c r="L1130" s="21">
        <v>15</v>
      </c>
      <c r="M1130" s="3" t="s">
        <v>2276</v>
      </c>
      <c r="N1130" s="21">
        <v>24708</v>
      </c>
      <c r="O1130" s="3" t="s">
        <v>2276</v>
      </c>
      <c r="P1130" s="21">
        <v>1583.9</v>
      </c>
      <c r="Q1130" s="3" t="s">
        <v>2276</v>
      </c>
      <c r="R1130" s="21">
        <v>60.9</v>
      </c>
      <c r="S1130" s="3" t="s">
        <v>2276</v>
      </c>
      <c r="T1130" s="3" t="s">
        <v>2276</v>
      </c>
      <c r="U1130" s="3" t="s">
        <v>2276</v>
      </c>
      <c r="V1130" s="14">
        <f>16/5</f>
        <v>3.2</v>
      </c>
      <c r="W1130" s="3" t="s">
        <v>2276</v>
      </c>
      <c r="X1130" s="3" t="s">
        <v>2276</v>
      </c>
      <c r="Y1130" s="3" t="s">
        <v>2276</v>
      </c>
      <c r="Z1130" s="3" t="s">
        <v>2276</v>
      </c>
      <c r="AA1130" s="3" t="s">
        <v>2276</v>
      </c>
      <c r="AB1130" s="3" t="s">
        <v>2276</v>
      </c>
      <c r="AC1130" s="4" t="s">
        <v>3424</v>
      </c>
      <c r="AD1130" s="3"/>
    </row>
    <row r="1131" spans="1:30" ht="42" customHeight="1">
      <c r="A1131" s="3" t="s">
        <v>3426</v>
      </c>
      <c r="B1131" s="3"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3" t="s">
        <v>2276</v>
      </c>
      <c r="AC1131" s="4" t="s">
        <v>3423</v>
      </c>
      <c r="AD1131" s="3"/>
    </row>
    <row r="1132" spans="1:30" ht="42" customHeight="1">
      <c r="A1132" s="3" t="s">
        <v>3426</v>
      </c>
      <c r="B1132" s="3" t="s">
        <v>3434</v>
      </c>
      <c r="C1132" s="3" t="s">
        <v>1105</v>
      </c>
      <c r="D1132" s="3" t="s">
        <v>1105</v>
      </c>
      <c r="E1132" s="3" t="s">
        <v>1105</v>
      </c>
      <c r="F1132" s="4" t="s">
        <v>1105</v>
      </c>
      <c r="G1132" s="3" t="s">
        <v>2276</v>
      </c>
      <c r="H1132" s="3" t="s">
        <v>523</v>
      </c>
      <c r="I1132" s="3">
        <v>1981</v>
      </c>
      <c r="J1132" s="161">
        <f>4/'Record info'!$K$618/5</f>
        <v>3.3166120807595043E-4</v>
      </c>
      <c r="K1132" s="3" t="s">
        <v>2276</v>
      </c>
      <c r="L1132" s="21">
        <v>17113</v>
      </c>
      <c r="M1132" s="3" t="s">
        <v>2276</v>
      </c>
      <c r="N1132" s="21">
        <v>129646</v>
      </c>
      <c r="O1132" s="3" t="s">
        <v>2276</v>
      </c>
      <c r="P1132" s="21">
        <v>52644</v>
      </c>
      <c r="Q1132" s="3" t="s">
        <v>2276</v>
      </c>
      <c r="R1132" s="3" t="s">
        <v>2276</v>
      </c>
      <c r="S1132" s="3" t="s">
        <v>2276</v>
      </c>
      <c r="T1132" s="3" t="s">
        <v>2276</v>
      </c>
      <c r="U1132" s="3" t="s">
        <v>2276</v>
      </c>
      <c r="V1132" s="14">
        <f>87/5</f>
        <v>17.399999999999999</v>
      </c>
      <c r="W1132" s="3" t="s">
        <v>2276</v>
      </c>
      <c r="X1132" s="3" t="s">
        <v>2276</v>
      </c>
      <c r="Y1132" s="3" t="s">
        <v>2276</v>
      </c>
      <c r="Z1132" s="3" t="s">
        <v>2276</v>
      </c>
      <c r="AA1132" s="3" t="s">
        <v>2276</v>
      </c>
      <c r="AB1132" s="3" t="s">
        <v>2276</v>
      </c>
      <c r="AC1132" s="4" t="s">
        <v>3424</v>
      </c>
      <c r="AD1132" s="3"/>
    </row>
    <row r="1133" spans="1:30" ht="42" customHeight="1">
      <c r="A1133" s="3" t="s">
        <v>3426</v>
      </c>
      <c r="B1133" s="3"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3" t="s">
        <v>2276</v>
      </c>
      <c r="AA1133" s="3" t="s">
        <v>2276</v>
      </c>
      <c r="AB1133" s="3" t="s">
        <v>2276</v>
      </c>
      <c r="AC1133" s="4" t="s">
        <v>3423</v>
      </c>
      <c r="AD1133" s="3"/>
    </row>
    <row r="1134" spans="1:30" ht="41" customHeight="1">
      <c r="A1134" s="3" t="s">
        <v>3426</v>
      </c>
      <c r="B1134" s="3" t="s">
        <v>3436</v>
      </c>
      <c r="C1134" s="3" t="s">
        <v>1105</v>
      </c>
      <c r="D1134" s="3" t="s">
        <v>1105</v>
      </c>
      <c r="E1134" s="3" t="s">
        <v>1105</v>
      </c>
      <c r="F1134" s="4" t="s">
        <v>1105</v>
      </c>
      <c r="G1134" s="3" t="s">
        <v>2276</v>
      </c>
      <c r="H1134" s="3" t="s">
        <v>523</v>
      </c>
      <c r="I1134" s="3">
        <v>1988</v>
      </c>
      <c r="J1134" s="21">
        <f>19/'Record info'!$K$618/5</f>
        <v>1.5753907383607648E-3</v>
      </c>
      <c r="K1134" s="3" t="s">
        <v>2276</v>
      </c>
      <c r="L1134" s="21">
        <v>1</v>
      </c>
      <c r="M1134" s="3" t="s">
        <v>2276</v>
      </c>
      <c r="N1134" s="21">
        <v>71346</v>
      </c>
      <c r="O1134" s="3" t="s">
        <v>2276</v>
      </c>
      <c r="P1134" s="21">
        <v>4970.8999999999996</v>
      </c>
      <c r="Q1134" s="3" t="s">
        <v>2276</v>
      </c>
      <c r="R1134" s="21">
        <v>309.89999999999998</v>
      </c>
      <c r="S1134" s="3" t="s">
        <v>2276</v>
      </c>
      <c r="T1134" s="3" t="s">
        <v>2276</v>
      </c>
      <c r="U1134" s="3" t="s">
        <v>2276</v>
      </c>
      <c r="V1134" s="14">
        <f>39/5</f>
        <v>7.8</v>
      </c>
      <c r="W1134" s="3" t="s">
        <v>2276</v>
      </c>
      <c r="X1134" s="3" t="s">
        <v>2276</v>
      </c>
      <c r="Y1134" s="3" t="s">
        <v>2276</v>
      </c>
      <c r="Z1134" s="3" t="s">
        <v>2276</v>
      </c>
      <c r="AA1134" s="3" t="s">
        <v>2276</v>
      </c>
      <c r="AB1134" s="3" t="s">
        <v>2276</v>
      </c>
      <c r="AC1134" s="4" t="s">
        <v>3424</v>
      </c>
      <c r="AD1134" s="3"/>
    </row>
    <row r="1135" spans="1:30" ht="45.5" customHeight="1">
      <c r="A1135" s="3" t="s">
        <v>3426</v>
      </c>
      <c r="B1135" s="3" t="s">
        <v>3437</v>
      </c>
      <c r="C1135" s="3" t="s">
        <v>24</v>
      </c>
      <c r="D1135" s="3" t="s">
        <v>1245</v>
      </c>
      <c r="E1135" s="3"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3" t="s">
        <v>2276</v>
      </c>
      <c r="AA1135" s="3" t="s">
        <v>2276</v>
      </c>
      <c r="AB1135" s="3" t="s">
        <v>2276</v>
      </c>
      <c r="AC1135" s="4" t="s">
        <v>3423</v>
      </c>
      <c r="AD1135" s="3"/>
    </row>
    <row r="1136" spans="1:30" ht="42.5" customHeight="1">
      <c r="A1136" s="3" t="s">
        <v>3426</v>
      </c>
      <c r="B1136" s="3" t="s">
        <v>3438</v>
      </c>
      <c r="C1136" s="3" t="s">
        <v>1105</v>
      </c>
      <c r="D1136" s="3" t="s">
        <v>1105</v>
      </c>
      <c r="E1136" s="3" t="s">
        <v>1105</v>
      </c>
      <c r="F1136" s="4" t="s">
        <v>1105</v>
      </c>
      <c r="G1136" s="3" t="s">
        <v>2276</v>
      </c>
      <c r="H1136" s="3" t="s">
        <v>523</v>
      </c>
      <c r="I1136" s="3">
        <v>1994</v>
      </c>
      <c r="J1136" s="21">
        <f>83/'Record info'!$K$618/5</f>
        <v>6.8819700675759711E-3</v>
      </c>
      <c r="K1136" s="3" t="s">
        <v>2276</v>
      </c>
      <c r="L1136" s="21">
        <v>8</v>
      </c>
      <c r="M1136" s="3" t="s">
        <v>2276</v>
      </c>
      <c r="N1136" s="21">
        <v>11992</v>
      </c>
      <c r="O1136" s="3" t="s">
        <v>2276</v>
      </c>
      <c r="P1136" s="21">
        <v>561.29999999999995</v>
      </c>
      <c r="Q1136" s="3" t="s">
        <v>2276</v>
      </c>
      <c r="R1136" s="21">
        <v>91.2</v>
      </c>
      <c r="S1136" s="3" t="s">
        <v>2276</v>
      </c>
      <c r="T1136" s="3" t="s">
        <v>2276</v>
      </c>
      <c r="U1136" s="3" t="s">
        <v>2276</v>
      </c>
      <c r="V1136" s="14">
        <f>19/5</f>
        <v>3.8</v>
      </c>
      <c r="W1136" s="3" t="s">
        <v>2276</v>
      </c>
      <c r="X1136" s="3" t="s">
        <v>2276</v>
      </c>
      <c r="Y1136" s="3" t="s">
        <v>2276</v>
      </c>
      <c r="Z1136" s="3" t="s">
        <v>2276</v>
      </c>
      <c r="AA1136" s="3" t="s">
        <v>2276</v>
      </c>
      <c r="AB1136" s="3" t="s">
        <v>2276</v>
      </c>
      <c r="AC1136" s="4" t="s">
        <v>3424</v>
      </c>
      <c r="AD1136" s="3"/>
    </row>
    <row r="1137" spans="1:30" ht="55.5" customHeight="1">
      <c r="A1137" s="3" t="s">
        <v>3426</v>
      </c>
      <c r="B1137" s="3"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3" t="s">
        <v>2276</v>
      </c>
      <c r="AC1137" s="4" t="s">
        <v>3423</v>
      </c>
      <c r="AD1137" s="3"/>
    </row>
    <row r="1138" spans="1:30" ht="55.5" customHeight="1">
      <c r="A1138" s="3" t="s">
        <v>3426</v>
      </c>
      <c r="B1138" s="3" t="s">
        <v>5021</v>
      </c>
      <c r="C1138" s="3" t="s">
        <v>1105</v>
      </c>
      <c r="D1138" s="3" t="s">
        <v>1105</v>
      </c>
      <c r="E1138" s="3" t="s">
        <v>1105</v>
      </c>
      <c r="F1138" s="4" t="s">
        <v>1105</v>
      </c>
      <c r="G1138" s="3" t="s">
        <v>2276</v>
      </c>
      <c r="H1138" s="3" t="s">
        <v>523</v>
      </c>
      <c r="I1138" s="3">
        <v>2000</v>
      </c>
      <c r="J1138" s="21">
        <f>25/'Record info'!$K$618/5</f>
        <v>2.0728825504746904E-3</v>
      </c>
      <c r="K1138" s="3" t="s">
        <v>2276</v>
      </c>
      <c r="L1138" s="21">
        <v>19</v>
      </c>
      <c r="M1138" s="3" t="s">
        <v>2276</v>
      </c>
      <c r="N1138" s="21">
        <v>3683</v>
      </c>
      <c r="O1138" s="3" t="s">
        <v>2276</v>
      </c>
      <c r="P1138" s="21">
        <v>444.2</v>
      </c>
      <c r="Q1138" s="3" t="s">
        <v>2276</v>
      </c>
      <c r="R1138" s="21">
        <v>78.2</v>
      </c>
      <c r="S1138" s="3" t="s">
        <v>2276</v>
      </c>
      <c r="T1138" s="3" t="s">
        <v>2276</v>
      </c>
      <c r="U1138" s="3" t="s">
        <v>2276</v>
      </c>
      <c r="V1138" s="21">
        <f>4.6/5</f>
        <v>0.91999999999999993</v>
      </c>
      <c r="W1138" s="3" t="s">
        <v>2276</v>
      </c>
      <c r="X1138" s="3" t="s">
        <v>2276</v>
      </c>
      <c r="Y1138" s="3" t="s">
        <v>2276</v>
      </c>
      <c r="Z1138" s="3" t="s">
        <v>2276</v>
      </c>
      <c r="AA1138" s="3" t="s">
        <v>2276</v>
      </c>
      <c r="AB1138" s="3"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2276</v>
      </c>
      <c r="Z1139" s="3" t="s">
        <v>86</v>
      </c>
      <c r="AA1139" s="3" t="s">
        <v>68</v>
      </c>
      <c r="AB1139" s="3"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2276</v>
      </c>
      <c r="Z1140" s="3" t="s">
        <v>86</v>
      </c>
      <c r="AA1140" s="3" t="s">
        <v>405</v>
      </c>
      <c r="AB1140" s="3" t="s">
        <v>2655</v>
      </c>
      <c r="AC1140" s="4" t="s">
        <v>3450</v>
      </c>
      <c r="AD1140" s="3"/>
    </row>
    <row r="1141" spans="1:30" ht="45" customHeight="1">
      <c r="A1141" s="11" t="s">
        <v>3445</v>
      </c>
      <c r="B1141" s="11" t="s">
        <v>3451</v>
      </c>
      <c r="C1141" s="3" t="s">
        <v>24</v>
      </c>
      <c r="D1141" s="3" t="s">
        <v>2305</v>
      </c>
      <c r="E1141" s="3" t="s">
        <v>116</v>
      </c>
      <c r="F1141" s="4" t="s">
        <v>55</v>
      </c>
      <c r="G1141" s="3" t="s">
        <v>55</v>
      </c>
      <c r="H1141" s="3" t="s">
        <v>523</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2276</v>
      </c>
      <c r="Z1141" s="3" t="s">
        <v>86</v>
      </c>
      <c r="AA1141" s="3" t="s">
        <v>68</v>
      </c>
      <c r="AB1141" s="3" t="s">
        <v>64</v>
      </c>
      <c r="AC1141" s="4" t="s">
        <v>3453</v>
      </c>
      <c r="AD1141" s="3"/>
    </row>
    <row r="1142" spans="1:30" ht="46" customHeight="1">
      <c r="A1142" s="11" t="s">
        <v>3445</v>
      </c>
      <c r="B1142" s="11" t="s">
        <v>3452</v>
      </c>
      <c r="C1142" s="3" t="s">
        <v>2656</v>
      </c>
      <c r="D1142" s="3" t="s">
        <v>2276</v>
      </c>
      <c r="E1142" s="3" t="s">
        <v>2276</v>
      </c>
      <c r="F1142" s="4" t="s">
        <v>2276</v>
      </c>
      <c r="G1142" s="3" t="s">
        <v>2276</v>
      </c>
      <c r="H1142" s="3" t="s">
        <v>523</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3"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3" t="s">
        <v>2276</v>
      </c>
      <c r="H1143" s="3" t="s">
        <v>523</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2276</v>
      </c>
      <c r="Z1143" s="3" t="s">
        <v>425</v>
      </c>
      <c r="AA1143" s="3" t="s">
        <v>68</v>
      </c>
      <c r="AB1143" s="3" t="s">
        <v>64</v>
      </c>
      <c r="AC1143" s="4" t="s">
        <v>3455</v>
      </c>
      <c r="AD1143" s="3"/>
    </row>
    <row r="1144" spans="1:30" ht="45" customHeight="1">
      <c r="A1144" s="11" t="s">
        <v>3460</v>
      </c>
      <c r="B1144" s="11" t="s">
        <v>3465</v>
      </c>
      <c r="C1144" s="3" t="s">
        <v>24</v>
      </c>
      <c r="D1144" s="3" t="s">
        <v>2804</v>
      </c>
      <c r="E1144" s="3" t="s">
        <v>5005</v>
      </c>
      <c r="F1144" s="4" t="s">
        <v>2662</v>
      </c>
      <c r="G1144" s="3" t="s">
        <v>2276</v>
      </c>
      <c r="H1144" s="3" t="s">
        <v>523</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2276</v>
      </c>
      <c r="X1144" s="3" t="s">
        <v>2276</v>
      </c>
      <c r="Y1144" s="3" t="s">
        <v>2276</v>
      </c>
      <c r="Z1144" s="3" t="s">
        <v>189</v>
      </c>
      <c r="AA1144" s="3" t="s">
        <v>38</v>
      </c>
      <c r="AB1144" s="3" t="s">
        <v>64</v>
      </c>
      <c r="AC1144" s="4" t="s">
        <v>3466</v>
      </c>
      <c r="AD1144" s="3"/>
    </row>
    <row r="1145" spans="1:30" ht="81.5" customHeight="1">
      <c r="A1145" s="11" t="s">
        <v>3460</v>
      </c>
      <c r="B1145" s="11" t="s">
        <v>3467</v>
      </c>
      <c r="C1145" s="3" t="s">
        <v>24</v>
      </c>
      <c r="D1145" s="3" t="s">
        <v>25</v>
      </c>
      <c r="E1145" s="3" t="s">
        <v>5005</v>
      </c>
      <c r="F1145" s="4" t="s">
        <v>2662</v>
      </c>
      <c r="G1145" s="3"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3" t="s">
        <v>68</v>
      </c>
      <c r="AA1145" s="3" t="s">
        <v>35</v>
      </c>
      <c r="AB1145" s="3" t="s">
        <v>2276</v>
      </c>
      <c r="AC1145" s="4" t="s">
        <v>3468</v>
      </c>
      <c r="AD1145" s="3"/>
    </row>
    <row r="1146" spans="1:30" ht="54.5" customHeight="1">
      <c r="A1146" s="11" t="s">
        <v>3460</v>
      </c>
      <c r="B1146" s="11" t="s">
        <v>3469</v>
      </c>
      <c r="C1146" s="3" t="s">
        <v>24</v>
      </c>
      <c r="D1146" s="3" t="s">
        <v>143</v>
      </c>
      <c r="E1146" s="3" t="s">
        <v>130</v>
      </c>
      <c r="F1146" s="4" t="s">
        <v>74</v>
      </c>
      <c r="G1146" s="3" t="s">
        <v>2276</v>
      </c>
      <c r="H1146" s="3" t="s">
        <v>523</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t="s">
        <v>2276</v>
      </c>
      <c r="AB1146" s="3" t="s">
        <v>2276</v>
      </c>
      <c r="AC1146" s="3"/>
      <c r="AD1146" s="3"/>
    </row>
    <row r="1147" spans="1:30" ht="47" customHeight="1">
      <c r="A1147" s="11" t="s">
        <v>3460</v>
      </c>
      <c r="B1147" s="11" t="s">
        <v>3470</v>
      </c>
      <c r="C1147" s="3" t="s">
        <v>24</v>
      </c>
      <c r="D1147" s="3" t="s">
        <v>2659</v>
      </c>
      <c r="E1147" s="3" t="s">
        <v>130</v>
      </c>
      <c r="F1147" s="4" t="s">
        <v>28</v>
      </c>
      <c r="G1147" s="3" t="s">
        <v>2276</v>
      </c>
      <c r="H1147" s="3" t="s">
        <v>523</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2276</v>
      </c>
      <c r="Y1147" s="3" t="s">
        <v>2276</v>
      </c>
      <c r="Z1147" s="3" t="s">
        <v>189</v>
      </c>
      <c r="AA1147" s="3" t="s">
        <v>38</v>
      </c>
      <c r="AB1147" s="3" t="s">
        <v>64</v>
      </c>
      <c r="AC1147" s="3" t="s">
        <v>3472</v>
      </c>
      <c r="AD1147" s="3"/>
    </row>
    <row r="1148" spans="1:30" ht="45.5" customHeight="1">
      <c r="A1148" s="11" t="s">
        <v>3460</v>
      </c>
      <c r="B1148" s="11" t="s">
        <v>3471</v>
      </c>
      <c r="C1148" s="3" t="s">
        <v>24</v>
      </c>
      <c r="D1148" s="3" t="s">
        <v>27</v>
      </c>
      <c r="E1148" s="3" t="s">
        <v>130</v>
      </c>
      <c r="F1148" s="4" t="s">
        <v>161</v>
      </c>
      <c r="G1148" s="3" t="s">
        <v>2276</v>
      </c>
      <c r="H1148" s="3" t="s">
        <v>523</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2276</v>
      </c>
      <c r="Y1148" s="3" t="s">
        <v>2276</v>
      </c>
      <c r="Z1148" s="3" t="s">
        <v>189</v>
      </c>
      <c r="AA1148" s="3" t="s">
        <v>38</v>
      </c>
      <c r="AB1148" s="3" t="s">
        <v>64</v>
      </c>
      <c r="AC1148" s="3" t="s">
        <v>3472</v>
      </c>
      <c r="AD1148" s="3"/>
    </row>
    <row r="1149" spans="1:30" ht="45" customHeight="1">
      <c r="A1149" s="11" t="s">
        <v>3460</v>
      </c>
      <c r="B1149" s="11" t="s">
        <v>3475</v>
      </c>
      <c r="C1149" s="3" t="s">
        <v>24</v>
      </c>
      <c r="D1149" s="3" t="s">
        <v>3476</v>
      </c>
      <c r="E1149" s="3" t="s">
        <v>863</v>
      </c>
      <c r="F1149" s="4" t="s">
        <v>161</v>
      </c>
      <c r="G1149" s="3" t="s">
        <v>2276</v>
      </c>
      <c r="H1149" s="3" t="s">
        <v>523</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t="s">
        <v>2276</v>
      </c>
      <c r="AB1149" s="3" t="s">
        <v>2276</v>
      </c>
      <c r="AC1149" s="3"/>
      <c r="AD1149" s="3"/>
    </row>
    <row r="1150" spans="1:30" ht="44.5" customHeight="1">
      <c r="A1150" s="11" t="s">
        <v>3460</v>
      </c>
      <c r="B1150" s="11" t="s">
        <v>3478</v>
      </c>
      <c r="C1150" s="3" t="s">
        <v>2458</v>
      </c>
      <c r="D1150" s="3" t="s">
        <v>3476</v>
      </c>
      <c r="E1150" s="3" t="s">
        <v>863</v>
      </c>
      <c r="F1150" s="4" t="s">
        <v>161</v>
      </c>
      <c r="G1150" s="3" t="s">
        <v>74</v>
      </c>
      <c r="H1150" s="3" t="s">
        <v>523</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3" t="s">
        <v>2276</v>
      </c>
      <c r="AB1150" s="3" t="s">
        <v>2276</v>
      </c>
      <c r="AC1150" s="11" t="s">
        <v>3477</v>
      </c>
      <c r="AD1150" s="3"/>
    </row>
    <row r="1151" spans="1:30" ht="44.5" customHeight="1">
      <c r="A1151" s="11" t="s">
        <v>3460</v>
      </c>
      <c r="B1151" s="11" t="s">
        <v>3479</v>
      </c>
      <c r="C1151" s="3" t="s">
        <v>24</v>
      </c>
      <c r="D1151" s="3" t="s">
        <v>3480</v>
      </c>
      <c r="E1151" s="3" t="s">
        <v>116</v>
      </c>
      <c r="F1151" s="4" t="s">
        <v>74</v>
      </c>
      <c r="G1151" s="3" t="s">
        <v>74</v>
      </c>
      <c r="H1151" s="3" t="s">
        <v>523</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3" t="s">
        <v>2276</v>
      </c>
      <c r="AB1151" s="3"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3" t="s">
        <v>5005</v>
      </c>
      <c r="F1153" s="4" t="s">
        <v>28</v>
      </c>
      <c r="G1153" s="3" t="s">
        <v>2276</v>
      </c>
      <c r="H1153" s="3" t="s">
        <v>523</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3" t="s">
        <v>2276</v>
      </c>
      <c r="AB1153" s="3" t="s">
        <v>2276</v>
      </c>
      <c r="AC1153" s="4" t="s">
        <v>3484</v>
      </c>
      <c r="AD1153" s="3"/>
    </row>
    <row r="1154" spans="1:30" ht="37.5" customHeight="1">
      <c r="A1154" s="11" t="s">
        <v>3491</v>
      </c>
      <c r="B1154" s="11" t="s">
        <v>3497</v>
      </c>
      <c r="C1154" s="3" t="s">
        <v>1105</v>
      </c>
      <c r="D1154" s="3" t="s">
        <v>1105</v>
      </c>
      <c r="E1154" s="3" t="s">
        <v>1105</v>
      </c>
      <c r="F1154" s="4" t="s">
        <v>1105</v>
      </c>
      <c r="G1154" s="3" t="s">
        <v>1105</v>
      </c>
      <c r="H1154" s="3" t="s">
        <v>523</v>
      </c>
      <c r="I1154" s="3">
        <v>2009</v>
      </c>
      <c r="J1154" s="3" t="s">
        <v>2276</v>
      </c>
      <c r="K1154" s="3" t="s">
        <v>2276</v>
      </c>
      <c r="L1154" s="3" t="s">
        <v>2276</v>
      </c>
      <c r="M1154" s="3" t="s">
        <v>2276</v>
      </c>
      <c r="N1154" s="3" t="s">
        <v>2276</v>
      </c>
      <c r="O1154" s="3" t="s">
        <v>2276</v>
      </c>
      <c r="P1154" s="3" t="s">
        <v>2276</v>
      </c>
      <c r="Q1154" s="3" t="s">
        <v>2276</v>
      </c>
      <c r="R1154" s="3" t="s">
        <v>2276</v>
      </c>
      <c r="S1154" s="3" t="s">
        <v>2276</v>
      </c>
      <c r="T1154" s="21">
        <v>5377.8</v>
      </c>
      <c r="U1154" s="3" t="s">
        <v>2276</v>
      </c>
      <c r="V1154" s="3" t="s">
        <v>2276</v>
      </c>
      <c r="W1154" s="3" t="s">
        <v>2276</v>
      </c>
      <c r="X1154" s="3" t="s">
        <v>2276</v>
      </c>
      <c r="Y1154" s="3" t="s">
        <v>2276</v>
      </c>
      <c r="Z1154" s="3" t="s">
        <v>2276</v>
      </c>
      <c r="AA1154" s="3" t="s">
        <v>2276</v>
      </c>
      <c r="AB1154" s="3" t="s">
        <v>2276</v>
      </c>
      <c r="AC1154" s="3"/>
      <c r="AD1154" s="3"/>
    </row>
    <row r="1155" spans="1:30" ht="37.5" customHeight="1">
      <c r="A1155" s="11" t="s">
        <v>3491</v>
      </c>
      <c r="B1155" s="11" t="s">
        <v>3498</v>
      </c>
      <c r="C1155" s="3" t="s">
        <v>1105</v>
      </c>
      <c r="D1155" s="3" t="s">
        <v>1105</v>
      </c>
      <c r="E1155" s="3" t="s">
        <v>1105</v>
      </c>
      <c r="F1155" s="4" t="s">
        <v>1105</v>
      </c>
      <c r="G1155" s="3" t="s">
        <v>1105</v>
      </c>
      <c r="H1155" s="3" t="s">
        <v>523</v>
      </c>
      <c r="I1155" s="3">
        <v>2010</v>
      </c>
      <c r="J1155" s="3" t="s">
        <v>2276</v>
      </c>
      <c r="K1155" s="3" t="s">
        <v>2276</v>
      </c>
      <c r="L1155" s="3" t="s">
        <v>2276</v>
      </c>
      <c r="M1155" s="3" t="s">
        <v>2276</v>
      </c>
      <c r="N1155" s="3" t="s">
        <v>2276</v>
      </c>
      <c r="O1155" s="3" t="s">
        <v>2276</v>
      </c>
      <c r="P1155" s="3" t="s">
        <v>2276</v>
      </c>
      <c r="Q1155" s="3" t="s">
        <v>2276</v>
      </c>
      <c r="R1155" s="3" t="s">
        <v>2276</v>
      </c>
      <c r="S1155" s="3" t="s">
        <v>2276</v>
      </c>
      <c r="T1155" s="21">
        <v>10079.33</v>
      </c>
      <c r="U1155" s="3" t="s">
        <v>2276</v>
      </c>
      <c r="V1155" s="3" t="s">
        <v>2276</v>
      </c>
      <c r="W1155" s="3" t="s">
        <v>2276</v>
      </c>
      <c r="X1155" s="3" t="s">
        <v>2276</v>
      </c>
      <c r="Y1155" s="3" t="s">
        <v>2276</v>
      </c>
      <c r="Z1155" s="3" t="s">
        <v>2276</v>
      </c>
      <c r="AA1155" s="3" t="s">
        <v>2276</v>
      </c>
      <c r="AB1155" s="3" t="s">
        <v>2276</v>
      </c>
      <c r="AC1155" s="3"/>
      <c r="AD1155" s="3"/>
    </row>
    <row r="1156" spans="1:30" ht="37.5" customHeight="1">
      <c r="A1156" s="11" t="s">
        <v>3491</v>
      </c>
      <c r="B1156" s="11" t="s">
        <v>3499</v>
      </c>
      <c r="C1156" s="3" t="s">
        <v>1105</v>
      </c>
      <c r="D1156" s="3" t="s">
        <v>1105</v>
      </c>
      <c r="E1156" s="3" t="s">
        <v>1105</v>
      </c>
      <c r="F1156" s="4" t="s">
        <v>1105</v>
      </c>
      <c r="G1156" s="3" t="s">
        <v>1105</v>
      </c>
      <c r="H1156" s="3" t="s">
        <v>523</v>
      </c>
      <c r="I1156" s="3">
        <v>2011</v>
      </c>
      <c r="J1156" s="3" t="s">
        <v>2276</v>
      </c>
      <c r="K1156" s="3" t="s">
        <v>2276</v>
      </c>
      <c r="L1156" s="3" t="s">
        <v>2276</v>
      </c>
      <c r="M1156" s="3" t="s">
        <v>2276</v>
      </c>
      <c r="N1156" s="3" t="s">
        <v>2276</v>
      </c>
      <c r="O1156" s="3" t="s">
        <v>2276</v>
      </c>
      <c r="P1156" s="3" t="s">
        <v>2276</v>
      </c>
      <c r="Q1156" s="3" t="s">
        <v>2276</v>
      </c>
      <c r="R1156" s="3" t="s">
        <v>2276</v>
      </c>
      <c r="S1156" s="3" t="s">
        <v>2276</v>
      </c>
      <c r="T1156" s="21">
        <v>6966.96</v>
      </c>
      <c r="U1156" s="3" t="s">
        <v>2276</v>
      </c>
      <c r="V1156" s="3" t="s">
        <v>2276</v>
      </c>
      <c r="W1156" s="3" t="s">
        <v>2276</v>
      </c>
      <c r="X1156" s="3" t="s">
        <v>2276</v>
      </c>
      <c r="Y1156" s="3" t="s">
        <v>2276</v>
      </c>
      <c r="Z1156" s="3" t="s">
        <v>2276</v>
      </c>
      <c r="AA1156" s="3" t="s">
        <v>2276</v>
      </c>
      <c r="AB1156" s="3" t="s">
        <v>2276</v>
      </c>
      <c r="AC1156" s="3"/>
      <c r="AD1156" s="3"/>
    </row>
    <row r="1157" spans="1:30" ht="37.5" customHeight="1">
      <c r="A1157" s="11" t="s">
        <v>3491</v>
      </c>
      <c r="B1157" s="11" t="s">
        <v>3502</v>
      </c>
      <c r="C1157" s="3" t="s">
        <v>1105</v>
      </c>
      <c r="D1157" s="3" t="s">
        <v>1105</v>
      </c>
      <c r="E1157" s="3" t="s">
        <v>1105</v>
      </c>
      <c r="F1157" s="4" t="s">
        <v>1105</v>
      </c>
      <c r="G1157" s="3" t="s">
        <v>1105</v>
      </c>
      <c r="H1157" s="3" t="s">
        <v>523</v>
      </c>
      <c r="I1157" s="3">
        <v>2012</v>
      </c>
      <c r="J1157" s="3" t="s">
        <v>2276</v>
      </c>
      <c r="K1157" s="3" t="s">
        <v>2276</v>
      </c>
      <c r="L1157" s="3" t="s">
        <v>2276</v>
      </c>
      <c r="M1157" s="3" t="s">
        <v>2276</v>
      </c>
      <c r="N1157" s="3" t="s">
        <v>2276</v>
      </c>
      <c r="O1157" s="3" t="s">
        <v>2276</v>
      </c>
      <c r="P1157" s="3" t="s">
        <v>2276</v>
      </c>
      <c r="Q1157" s="3" t="s">
        <v>2276</v>
      </c>
      <c r="R1157" s="3" t="s">
        <v>2276</v>
      </c>
      <c r="S1157" s="3" t="s">
        <v>2276</v>
      </c>
      <c r="T1157" s="21">
        <v>4866.6099999999997</v>
      </c>
      <c r="U1157" s="3" t="s">
        <v>2276</v>
      </c>
      <c r="V1157" s="3" t="s">
        <v>2276</v>
      </c>
      <c r="W1157" s="3" t="s">
        <v>2276</v>
      </c>
      <c r="X1157" s="3" t="s">
        <v>2276</v>
      </c>
      <c r="Y1157" s="3" t="s">
        <v>2276</v>
      </c>
      <c r="Z1157" s="3" t="s">
        <v>2276</v>
      </c>
      <c r="AA1157" s="3" t="s">
        <v>2276</v>
      </c>
      <c r="AB1157" s="3" t="s">
        <v>2276</v>
      </c>
      <c r="AC1157" s="3"/>
      <c r="AD1157" s="3"/>
    </row>
    <row r="1158" spans="1:30" ht="37.5" customHeight="1">
      <c r="A1158" s="11" t="s">
        <v>3491</v>
      </c>
      <c r="B1158" s="11" t="s">
        <v>3503</v>
      </c>
      <c r="C1158" s="3" t="s">
        <v>1105</v>
      </c>
      <c r="D1158" s="3" t="s">
        <v>1105</v>
      </c>
      <c r="E1158" s="3" t="s">
        <v>1105</v>
      </c>
      <c r="F1158" s="4" t="s">
        <v>1105</v>
      </c>
      <c r="G1158" s="3" t="s">
        <v>1105</v>
      </c>
      <c r="H1158" s="3" t="s">
        <v>523</v>
      </c>
      <c r="I1158" s="3">
        <v>2013</v>
      </c>
      <c r="J1158" s="3" t="s">
        <v>2276</v>
      </c>
      <c r="K1158" s="3" t="s">
        <v>2276</v>
      </c>
      <c r="L1158" s="3" t="s">
        <v>2276</v>
      </c>
      <c r="M1158" s="3" t="s">
        <v>2276</v>
      </c>
      <c r="N1158" s="3" t="s">
        <v>2276</v>
      </c>
      <c r="O1158" s="3" t="s">
        <v>2276</v>
      </c>
      <c r="P1158" s="3" t="s">
        <v>2276</v>
      </c>
      <c r="Q1158" s="3" t="s">
        <v>2276</v>
      </c>
      <c r="R1158" s="3" t="s">
        <v>2276</v>
      </c>
      <c r="S1158" s="3" t="s">
        <v>2276</v>
      </c>
      <c r="T1158" s="21">
        <v>4766.0200000000004</v>
      </c>
      <c r="U1158" s="3" t="s">
        <v>2276</v>
      </c>
      <c r="V1158" s="3" t="s">
        <v>2276</v>
      </c>
      <c r="W1158" s="3" t="s">
        <v>2276</v>
      </c>
      <c r="X1158" s="3" t="s">
        <v>2276</v>
      </c>
      <c r="Y1158" s="3" t="s">
        <v>2276</v>
      </c>
      <c r="Z1158" s="3" t="s">
        <v>2276</v>
      </c>
      <c r="AA1158" s="3" t="s">
        <v>2276</v>
      </c>
      <c r="AB1158" s="3" t="s">
        <v>2276</v>
      </c>
      <c r="AC1158" s="3"/>
      <c r="AD1158" s="3"/>
    </row>
    <row r="1159" spans="1:30" ht="37.5" customHeight="1">
      <c r="A1159" s="11" t="s">
        <v>3491</v>
      </c>
      <c r="B1159" s="11" t="s">
        <v>3504</v>
      </c>
      <c r="C1159" s="3" t="s">
        <v>1105</v>
      </c>
      <c r="D1159" s="3" t="s">
        <v>1105</v>
      </c>
      <c r="E1159" s="3" t="s">
        <v>1105</v>
      </c>
      <c r="F1159" s="4" t="s">
        <v>1105</v>
      </c>
      <c r="G1159" s="3" t="s">
        <v>1105</v>
      </c>
      <c r="H1159" s="3" t="s">
        <v>523</v>
      </c>
      <c r="I1159" s="3">
        <v>2014</v>
      </c>
      <c r="J1159" s="3" t="s">
        <v>2276</v>
      </c>
      <c r="K1159" s="3" t="s">
        <v>2276</v>
      </c>
      <c r="L1159" s="3" t="s">
        <v>2276</v>
      </c>
      <c r="M1159" s="3" t="s">
        <v>2276</v>
      </c>
      <c r="N1159" s="3" t="s">
        <v>2276</v>
      </c>
      <c r="O1159" s="3" t="s">
        <v>2276</v>
      </c>
      <c r="P1159" s="3" t="s">
        <v>2276</v>
      </c>
      <c r="Q1159" s="3" t="s">
        <v>2276</v>
      </c>
      <c r="R1159" s="3" t="s">
        <v>2276</v>
      </c>
      <c r="S1159" s="3" t="s">
        <v>2276</v>
      </c>
      <c r="T1159" s="21">
        <v>3186.23</v>
      </c>
      <c r="U1159" s="3" t="s">
        <v>2276</v>
      </c>
      <c r="V1159" s="3" t="s">
        <v>2276</v>
      </c>
      <c r="W1159" s="3" t="s">
        <v>2276</v>
      </c>
      <c r="X1159" s="3" t="s">
        <v>2276</v>
      </c>
      <c r="Y1159" s="3" t="s">
        <v>2276</v>
      </c>
      <c r="Z1159" s="3" t="s">
        <v>2276</v>
      </c>
      <c r="AA1159" s="3" t="s">
        <v>2276</v>
      </c>
      <c r="AB1159" s="3" t="s">
        <v>2276</v>
      </c>
      <c r="AC1159" s="3"/>
      <c r="AD1159" s="3"/>
    </row>
    <row r="1160" spans="1:30" ht="45" customHeight="1">
      <c r="A1160" s="11" t="s">
        <v>3530</v>
      </c>
      <c r="B1160" s="3" t="s">
        <v>3533</v>
      </c>
      <c r="C1160" s="3" t="s">
        <v>24</v>
      </c>
      <c r="D1160" s="3" t="s">
        <v>1242</v>
      </c>
      <c r="E1160" s="3" t="s">
        <v>5005</v>
      </c>
      <c r="F1160" s="4" t="s">
        <v>2662</v>
      </c>
      <c r="G1160" s="3" t="s">
        <v>2276</v>
      </c>
      <c r="H1160" s="3" t="s">
        <v>523</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2276</v>
      </c>
      <c r="Y1160" s="21">
        <v>4.5</v>
      </c>
      <c r="Z1160" s="3" t="s">
        <v>425</v>
      </c>
      <c r="AA1160" s="3" t="s">
        <v>68</v>
      </c>
      <c r="AB1160" s="3" t="s">
        <v>64</v>
      </c>
      <c r="AC1160" s="3"/>
      <c r="AD1160" s="3"/>
    </row>
    <row r="1161" spans="1:30" ht="45" customHeight="1">
      <c r="A1161" s="11" t="s">
        <v>3530</v>
      </c>
      <c r="B1161" s="3" t="s">
        <v>3534</v>
      </c>
      <c r="C1161" s="3" t="s">
        <v>24</v>
      </c>
      <c r="D1161" s="3" t="s">
        <v>1242</v>
      </c>
      <c r="E1161" s="3" t="s">
        <v>5005</v>
      </c>
      <c r="F1161" s="4" t="s">
        <v>74</v>
      </c>
      <c r="G1161" s="3"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3" t="s">
        <v>2276</v>
      </c>
      <c r="Z1161" s="3" t="s">
        <v>2276</v>
      </c>
      <c r="AA1161" s="3" t="s">
        <v>2276</v>
      </c>
      <c r="AB1161" s="3" t="s">
        <v>2276</v>
      </c>
      <c r="AC1161" s="4" t="s">
        <v>3536</v>
      </c>
      <c r="AD1161" s="3"/>
    </row>
    <row r="1162" spans="1:30" ht="45" customHeight="1">
      <c r="A1162" s="11" t="s">
        <v>3530</v>
      </c>
      <c r="B1162" s="3" t="s">
        <v>3535</v>
      </c>
      <c r="C1162" s="3" t="s">
        <v>24</v>
      </c>
      <c r="D1162" s="3" t="s">
        <v>2804</v>
      </c>
      <c r="E1162" s="3" t="s">
        <v>5005</v>
      </c>
      <c r="F1162" s="4" t="s">
        <v>2662</v>
      </c>
      <c r="G1162" s="3" t="s">
        <v>2276</v>
      </c>
      <c r="H1162" s="3" t="s">
        <v>523</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2276</v>
      </c>
      <c r="Y1162" s="21">
        <v>4.5</v>
      </c>
      <c r="Z1162" s="3" t="s">
        <v>404</v>
      </c>
      <c r="AA1162" s="3" t="s">
        <v>68</v>
      </c>
      <c r="AB1162" s="3" t="s">
        <v>64</v>
      </c>
      <c r="AC1162" s="3"/>
      <c r="AD1162" s="3"/>
    </row>
    <row r="1163" spans="1:30" ht="45" customHeight="1">
      <c r="A1163" s="11" t="s">
        <v>3530</v>
      </c>
      <c r="B1163" s="3" t="s">
        <v>3537</v>
      </c>
      <c r="C1163" s="3" t="s">
        <v>24</v>
      </c>
      <c r="D1163" s="3" t="s">
        <v>2804</v>
      </c>
      <c r="E1163" s="3" t="s">
        <v>5005</v>
      </c>
      <c r="F1163" s="4" t="s">
        <v>2662</v>
      </c>
      <c r="G1163" s="3" t="s">
        <v>2276</v>
      </c>
      <c r="H1163" s="3" t="s">
        <v>523</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2276</v>
      </c>
      <c r="Y1163" s="21">
        <v>4.5</v>
      </c>
      <c r="Z1163" s="3" t="s">
        <v>399</v>
      </c>
      <c r="AA1163" s="3" t="s">
        <v>38</v>
      </c>
      <c r="AB1163" s="3" t="s">
        <v>64</v>
      </c>
      <c r="AC1163" s="3"/>
      <c r="AD1163" s="3"/>
    </row>
    <row r="1164" spans="1:30" ht="45" customHeight="1">
      <c r="A1164" s="11" t="s">
        <v>3530</v>
      </c>
      <c r="B1164" s="3" t="s">
        <v>3538</v>
      </c>
      <c r="C1164" s="3" t="s">
        <v>24</v>
      </c>
      <c r="D1164" s="3" t="s">
        <v>25</v>
      </c>
      <c r="E1164" s="3" t="s">
        <v>5005</v>
      </c>
      <c r="F1164" s="4" t="s">
        <v>2662</v>
      </c>
      <c r="G1164" s="3" t="s">
        <v>2276</v>
      </c>
      <c r="H1164" s="3" t="s">
        <v>523</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2276</v>
      </c>
      <c r="Y1164" s="21">
        <v>4.5</v>
      </c>
      <c r="Z1164" s="3" t="s">
        <v>404</v>
      </c>
      <c r="AA1164" s="3" t="s">
        <v>68</v>
      </c>
      <c r="AB1164" s="3" t="s">
        <v>64</v>
      </c>
      <c r="AC1164" s="3"/>
      <c r="AD1164" s="3"/>
    </row>
    <row r="1165" spans="1:30" ht="45" customHeight="1">
      <c r="A1165" s="11" t="s">
        <v>3530</v>
      </c>
      <c r="B1165" s="3" t="s">
        <v>3539</v>
      </c>
      <c r="C1165" s="3" t="s">
        <v>24</v>
      </c>
      <c r="D1165" s="3" t="s">
        <v>25</v>
      </c>
      <c r="E1165" s="3" t="s">
        <v>5005</v>
      </c>
      <c r="F1165" s="4" t="s">
        <v>2662</v>
      </c>
      <c r="G1165" s="3" t="s">
        <v>2276</v>
      </c>
      <c r="H1165" s="3" t="s">
        <v>523</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2276</v>
      </c>
      <c r="Y1165" s="21">
        <v>4.5</v>
      </c>
      <c r="Z1165" s="3" t="s">
        <v>399</v>
      </c>
      <c r="AA1165" s="3" t="s">
        <v>38</v>
      </c>
      <c r="AB1165" s="3" t="s">
        <v>64</v>
      </c>
      <c r="AC1165" s="3"/>
      <c r="AD1165" s="3"/>
    </row>
    <row r="1166" spans="1:30" ht="45" customHeight="1">
      <c r="A1166" s="11" t="s">
        <v>3530</v>
      </c>
      <c r="B1166" s="3" t="s">
        <v>3540</v>
      </c>
      <c r="C1166" s="3" t="s">
        <v>24</v>
      </c>
      <c r="D1166" s="3" t="s">
        <v>26</v>
      </c>
      <c r="E1166" s="3" t="s">
        <v>5005</v>
      </c>
      <c r="F1166" s="4" t="s">
        <v>2662</v>
      </c>
      <c r="G1166" s="3" t="s">
        <v>2276</v>
      </c>
      <c r="H1166" s="3" t="s">
        <v>523</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2276</v>
      </c>
      <c r="Y1166" s="21">
        <v>4.5</v>
      </c>
      <c r="Z1166" s="3" t="s">
        <v>404</v>
      </c>
      <c r="AA1166" s="3" t="s">
        <v>68</v>
      </c>
      <c r="AB1166" s="3" t="s">
        <v>64</v>
      </c>
      <c r="AC1166" s="3"/>
      <c r="AD1166" s="3"/>
    </row>
    <row r="1167" spans="1:30" ht="45" customHeight="1">
      <c r="A1167" s="11" t="s">
        <v>3530</v>
      </c>
      <c r="B1167" s="3" t="s">
        <v>3541</v>
      </c>
      <c r="C1167" s="3" t="s">
        <v>24</v>
      </c>
      <c r="D1167" s="3" t="s">
        <v>26</v>
      </c>
      <c r="E1167" s="3" t="s">
        <v>5005</v>
      </c>
      <c r="F1167" s="4" t="s">
        <v>2662</v>
      </c>
      <c r="G1167" s="3" t="s">
        <v>2276</v>
      </c>
      <c r="H1167" s="3" t="s">
        <v>523</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2276</v>
      </c>
      <c r="Y1167" s="21">
        <v>4.5</v>
      </c>
      <c r="Z1167" s="3" t="s">
        <v>399</v>
      </c>
      <c r="AA1167" s="3" t="s">
        <v>38</v>
      </c>
      <c r="AB1167" s="3" t="s">
        <v>64</v>
      </c>
      <c r="AC1167" s="3"/>
      <c r="AD1167" s="3"/>
    </row>
    <row r="1168" spans="1:30" ht="45" customHeight="1">
      <c r="A1168" s="11" t="s">
        <v>3530</v>
      </c>
      <c r="B1168" s="3" t="s">
        <v>3542</v>
      </c>
      <c r="C1168" s="3" t="s">
        <v>24</v>
      </c>
      <c r="D1168" s="3" t="s">
        <v>2341</v>
      </c>
      <c r="E1168" s="3" t="s">
        <v>5005</v>
      </c>
      <c r="F1168" s="4" t="s">
        <v>2662</v>
      </c>
      <c r="G1168" s="3" t="s">
        <v>2276</v>
      </c>
      <c r="H1168" s="3" t="s">
        <v>523</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2276</v>
      </c>
      <c r="Y1168" s="21">
        <v>4.5</v>
      </c>
      <c r="Z1168" s="3" t="s">
        <v>404</v>
      </c>
      <c r="AA1168" s="3" t="s">
        <v>68</v>
      </c>
      <c r="AB1168" s="3" t="s">
        <v>64</v>
      </c>
      <c r="AC1168" s="3"/>
      <c r="AD1168" s="3"/>
    </row>
    <row r="1169" spans="1:30" ht="45" customHeight="1">
      <c r="A1169" s="11" t="s">
        <v>3530</v>
      </c>
      <c r="B1169" s="3" t="s">
        <v>3543</v>
      </c>
      <c r="C1169" s="3" t="s">
        <v>24</v>
      </c>
      <c r="D1169" s="3" t="s">
        <v>2341</v>
      </c>
      <c r="E1169" s="3" t="s">
        <v>5005</v>
      </c>
      <c r="F1169" s="4" t="s">
        <v>2662</v>
      </c>
      <c r="G1169" s="3" t="s">
        <v>2276</v>
      </c>
      <c r="H1169" s="3" t="s">
        <v>523</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2276</v>
      </c>
      <c r="Y1169" s="21">
        <v>4.5</v>
      </c>
      <c r="Z1169" s="3" t="s">
        <v>399</v>
      </c>
      <c r="AA1169" s="3" t="s">
        <v>38</v>
      </c>
      <c r="AB1169" s="3" t="s">
        <v>64</v>
      </c>
      <c r="AC1169" s="3"/>
      <c r="AD1169" s="3"/>
    </row>
    <row r="1170" spans="1:30" ht="45" customHeight="1">
      <c r="A1170" s="11" t="s">
        <v>3530</v>
      </c>
      <c r="B1170" s="3" t="s">
        <v>3544</v>
      </c>
      <c r="C1170" s="3" t="s">
        <v>24</v>
      </c>
      <c r="D1170" s="3" t="s">
        <v>1131</v>
      </c>
      <c r="E1170" s="3" t="s">
        <v>5005</v>
      </c>
      <c r="F1170" s="4" t="s">
        <v>2662</v>
      </c>
      <c r="G1170" s="3" t="s">
        <v>2276</v>
      </c>
      <c r="H1170" s="3" t="s">
        <v>523</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2276</v>
      </c>
      <c r="Y1170" s="21">
        <v>4.5</v>
      </c>
      <c r="Z1170" s="3" t="s">
        <v>404</v>
      </c>
      <c r="AA1170" s="3" t="s">
        <v>68</v>
      </c>
      <c r="AB1170" s="3" t="s">
        <v>64</v>
      </c>
      <c r="AC1170" s="3"/>
      <c r="AD1170" s="3"/>
    </row>
    <row r="1171" spans="1:30" ht="45" customHeight="1">
      <c r="A1171" s="11" t="s">
        <v>3530</v>
      </c>
      <c r="B1171" s="3" t="s">
        <v>3545</v>
      </c>
      <c r="C1171" s="3" t="s">
        <v>24</v>
      </c>
      <c r="D1171" s="3" t="s">
        <v>1131</v>
      </c>
      <c r="E1171" s="3" t="s">
        <v>5005</v>
      </c>
      <c r="F1171" s="4" t="s">
        <v>2662</v>
      </c>
      <c r="G1171" s="3" t="s">
        <v>2276</v>
      </c>
      <c r="H1171" s="3" t="s">
        <v>523</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2276</v>
      </c>
      <c r="Y1171" s="21">
        <v>4.5</v>
      </c>
      <c r="Z1171" s="3" t="s">
        <v>399</v>
      </c>
      <c r="AA1171" s="3" t="s">
        <v>38</v>
      </c>
      <c r="AB1171" s="3" t="s">
        <v>64</v>
      </c>
      <c r="AC1171" s="3"/>
      <c r="AD1171" s="3"/>
    </row>
    <row r="1172" spans="1:30" ht="40" customHeight="1">
      <c r="A1172" s="11" t="s">
        <v>3530</v>
      </c>
      <c r="B1172" s="3" t="s">
        <v>3546</v>
      </c>
      <c r="C1172" s="3" t="s">
        <v>24</v>
      </c>
      <c r="D1172" s="3" t="s">
        <v>1105</v>
      </c>
      <c r="E1172" s="3" t="s">
        <v>116</v>
      </c>
      <c r="F1172" s="4" t="s">
        <v>74</v>
      </c>
      <c r="G1172" s="3"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3" t="s">
        <v>2276</v>
      </c>
      <c r="Z1172" s="3" t="s">
        <v>2276</v>
      </c>
      <c r="AA1172" s="3" t="s">
        <v>2276</v>
      </c>
      <c r="AB1172" s="3" t="s">
        <v>2276</v>
      </c>
      <c r="AC1172" s="4" t="s">
        <v>3536</v>
      </c>
      <c r="AD1172" s="3"/>
    </row>
    <row r="1173" spans="1:30" ht="92.5" customHeight="1">
      <c r="A1173" s="11" t="s">
        <v>3532</v>
      </c>
      <c r="B1173" s="11" t="s">
        <v>3553</v>
      </c>
      <c r="C1173" s="3" t="s">
        <v>24</v>
      </c>
      <c r="D1173" s="3" t="s">
        <v>1242</v>
      </c>
      <c r="E1173" s="3" t="s">
        <v>5005</v>
      </c>
      <c r="F1173" s="4" t="s">
        <v>2662</v>
      </c>
      <c r="G1173" s="3"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3" t="s">
        <v>2276</v>
      </c>
      <c r="Z1173" s="3" t="s">
        <v>2276</v>
      </c>
      <c r="AA1173" s="3" t="s">
        <v>2276</v>
      </c>
      <c r="AB1173" s="3" t="s">
        <v>2276</v>
      </c>
      <c r="AC1173" s="4" t="s">
        <v>3554</v>
      </c>
      <c r="AD1173" s="3"/>
    </row>
    <row r="1174" spans="1:30" ht="72.5">
      <c r="A1174" s="11" t="s">
        <v>3532</v>
      </c>
      <c r="B1174" s="11" t="s">
        <v>3555</v>
      </c>
      <c r="C1174" s="3" t="s">
        <v>24</v>
      </c>
      <c r="D1174" s="3" t="s">
        <v>2804</v>
      </c>
      <c r="E1174" s="3" t="s">
        <v>5005</v>
      </c>
      <c r="F1174" s="4" t="s">
        <v>2662</v>
      </c>
      <c r="G1174" s="3"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3" t="s">
        <v>2276</v>
      </c>
      <c r="Z1174" s="3" t="s">
        <v>2276</v>
      </c>
      <c r="AA1174" s="3" t="s">
        <v>2276</v>
      </c>
      <c r="AB1174" s="3" t="s">
        <v>2276</v>
      </c>
      <c r="AC1174" s="4" t="s">
        <v>3554</v>
      </c>
      <c r="AD1174" s="3"/>
    </row>
    <row r="1175" spans="1:30" ht="72.5">
      <c r="A1175" s="11" t="s">
        <v>3532</v>
      </c>
      <c r="B1175" s="11" t="s">
        <v>3556</v>
      </c>
      <c r="C1175" s="3" t="s">
        <v>24</v>
      </c>
      <c r="D1175" s="3" t="s">
        <v>26</v>
      </c>
      <c r="E1175" s="3" t="s">
        <v>5005</v>
      </c>
      <c r="F1175" s="4" t="s">
        <v>2662</v>
      </c>
      <c r="G1175" s="3"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3" t="s">
        <v>2276</v>
      </c>
      <c r="Z1175" s="3" t="s">
        <v>2276</v>
      </c>
      <c r="AA1175" s="3" t="s">
        <v>2276</v>
      </c>
      <c r="AB1175" s="3" t="s">
        <v>2276</v>
      </c>
      <c r="AC1175" s="4" t="s">
        <v>3554</v>
      </c>
      <c r="AD1175" s="3"/>
    </row>
    <row r="1176" spans="1:30" ht="72.5">
      <c r="A1176" s="11" t="s">
        <v>3532</v>
      </c>
      <c r="B1176" s="11" t="s">
        <v>3557</v>
      </c>
      <c r="C1176" s="3" t="s">
        <v>24</v>
      </c>
      <c r="D1176" s="3" t="s">
        <v>25</v>
      </c>
      <c r="E1176" s="3" t="s">
        <v>5005</v>
      </c>
      <c r="F1176" s="4" t="s">
        <v>2662</v>
      </c>
      <c r="G1176" s="3"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3" t="s">
        <v>2276</v>
      </c>
      <c r="Z1176" s="3" t="s">
        <v>2276</v>
      </c>
      <c r="AA1176" s="3" t="s">
        <v>2276</v>
      </c>
      <c r="AB1176" s="3" t="s">
        <v>2276</v>
      </c>
      <c r="AC1176" s="4" t="s">
        <v>3554</v>
      </c>
      <c r="AD1176" s="3"/>
    </row>
    <row r="1177" spans="1:30" ht="72.5">
      <c r="A1177" s="11" t="s">
        <v>3532</v>
      </c>
      <c r="B1177" s="11" t="s">
        <v>3558</v>
      </c>
      <c r="C1177" s="3" t="s">
        <v>24</v>
      </c>
      <c r="D1177" s="3" t="s">
        <v>2341</v>
      </c>
      <c r="E1177" s="3" t="s">
        <v>5005</v>
      </c>
      <c r="F1177" s="4" t="s">
        <v>2662</v>
      </c>
      <c r="G1177" s="3"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3" t="s">
        <v>2276</v>
      </c>
      <c r="Z1177" s="3" t="s">
        <v>2276</v>
      </c>
      <c r="AA1177" s="3" t="s">
        <v>2276</v>
      </c>
      <c r="AB1177" s="3" t="s">
        <v>2276</v>
      </c>
      <c r="AC1177" s="4" t="s">
        <v>3554</v>
      </c>
      <c r="AD1177" s="3"/>
    </row>
    <row r="1178" spans="1:30" ht="72.5">
      <c r="A1178" s="11" t="s">
        <v>3532</v>
      </c>
      <c r="B1178" s="11" t="s">
        <v>3559</v>
      </c>
      <c r="C1178" s="3" t="s">
        <v>24</v>
      </c>
      <c r="D1178" s="3" t="s">
        <v>1131</v>
      </c>
      <c r="E1178" s="3" t="s">
        <v>5005</v>
      </c>
      <c r="F1178" s="4" t="s">
        <v>2662</v>
      </c>
      <c r="G1178" s="3"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3" t="s">
        <v>2276</v>
      </c>
      <c r="Z1178" s="3" t="s">
        <v>2276</v>
      </c>
      <c r="AA1178" s="3" t="s">
        <v>2276</v>
      </c>
      <c r="AB1178" s="3" t="s">
        <v>2276</v>
      </c>
      <c r="AC1178" s="4" t="s">
        <v>3554</v>
      </c>
      <c r="AD1178" s="3"/>
    </row>
    <row r="1179" spans="1:30" ht="29">
      <c r="A1179" s="11" t="s">
        <v>3532</v>
      </c>
      <c r="B1179" s="11" t="s">
        <v>3560</v>
      </c>
      <c r="C1179" s="3" t="s">
        <v>24</v>
      </c>
      <c r="D1179" s="3" t="s">
        <v>25</v>
      </c>
      <c r="E1179" s="3" t="s">
        <v>5005</v>
      </c>
      <c r="F1179" s="4" t="s">
        <v>2662</v>
      </c>
      <c r="G1179" s="3" t="s">
        <v>2276</v>
      </c>
      <c r="H1179" s="3" t="s">
        <v>523</v>
      </c>
      <c r="I1179" s="3">
        <v>1998</v>
      </c>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2276</v>
      </c>
      <c r="Y1179" s="3" t="s">
        <v>2276</v>
      </c>
      <c r="Z1179" s="3" t="s">
        <v>68</v>
      </c>
      <c r="AA1179" s="3" t="s">
        <v>68</v>
      </c>
      <c r="AB1179" s="3" t="s">
        <v>2276</v>
      </c>
      <c r="AC1179" s="3" t="s">
        <v>3568</v>
      </c>
      <c r="AD1179" s="3"/>
    </row>
    <row r="1180" spans="1:30" ht="38" customHeight="1">
      <c r="A1180" s="11" t="s">
        <v>3532</v>
      </c>
      <c r="B1180" s="11" t="s">
        <v>3561</v>
      </c>
      <c r="C1180" s="3" t="s">
        <v>31</v>
      </c>
      <c r="D1180" s="3" t="s">
        <v>2276</v>
      </c>
      <c r="E1180" s="3" t="s">
        <v>2652</v>
      </c>
      <c r="F1180" s="4" t="s">
        <v>2276</v>
      </c>
      <c r="G1180" s="3" t="s">
        <v>2276</v>
      </c>
      <c r="H1180" s="3" t="s">
        <v>523</v>
      </c>
      <c r="I1180" s="3">
        <v>1999</v>
      </c>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2276</v>
      </c>
      <c r="Y1180" s="3" t="s">
        <v>2276</v>
      </c>
      <c r="Z1180" s="3" t="s">
        <v>425</v>
      </c>
      <c r="AA1180" s="3" t="s">
        <v>425</v>
      </c>
      <c r="AB1180" s="3" t="s">
        <v>2276</v>
      </c>
      <c r="AC1180" s="4" t="s">
        <v>3569</v>
      </c>
      <c r="AD1180" s="3"/>
    </row>
    <row r="1181" spans="1:30" ht="37" customHeight="1">
      <c r="A1181" s="11" t="s">
        <v>3532</v>
      </c>
      <c r="B1181" s="11" t="s">
        <v>3562</v>
      </c>
      <c r="C1181" s="3" t="s">
        <v>2458</v>
      </c>
      <c r="D1181" s="3" t="s">
        <v>2994</v>
      </c>
      <c r="E1181" s="3" t="s">
        <v>5005</v>
      </c>
      <c r="F1181" s="4" t="s">
        <v>2662</v>
      </c>
      <c r="G1181" s="3" t="s">
        <v>2276</v>
      </c>
      <c r="H1181" s="3" t="s">
        <v>523</v>
      </c>
      <c r="I1181" s="3">
        <v>2000</v>
      </c>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2276</v>
      </c>
      <c r="Y1181" s="3" t="s">
        <v>2276</v>
      </c>
      <c r="Z1181" s="3" t="s">
        <v>405</v>
      </c>
      <c r="AA1181" s="3" t="s">
        <v>405</v>
      </c>
      <c r="AB1181" s="3" t="s">
        <v>2276</v>
      </c>
      <c r="AC1181" s="3" t="s">
        <v>3570</v>
      </c>
      <c r="AD1181" s="3"/>
    </row>
    <row r="1182" spans="1:30" ht="37" customHeight="1">
      <c r="A1182" s="11" t="s">
        <v>3532</v>
      </c>
      <c r="B1182" s="11" t="s">
        <v>3563</v>
      </c>
      <c r="C1182" s="3" t="s">
        <v>24</v>
      </c>
      <c r="D1182" s="3" t="s">
        <v>2276</v>
      </c>
      <c r="E1182" s="3" t="s">
        <v>5005</v>
      </c>
      <c r="F1182" s="4" t="s">
        <v>2662</v>
      </c>
      <c r="G1182" s="3" t="s">
        <v>2276</v>
      </c>
      <c r="H1182" s="3" t="s">
        <v>523</v>
      </c>
      <c r="I1182" s="3">
        <v>2000</v>
      </c>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2276</v>
      </c>
      <c r="Y1182" s="3" t="s">
        <v>2276</v>
      </c>
      <c r="Z1182" s="3" t="s">
        <v>405</v>
      </c>
      <c r="AA1182" s="3" t="s">
        <v>405</v>
      </c>
      <c r="AB1182" s="3" t="s">
        <v>2276</v>
      </c>
      <c r="AC1182" s="3" t="s">
        <v>3571</v>
      </c>
      <c r="AD1182" s="3"/>
    </row>
    <row r="1183" spans="1:30" ht="37" customHeight="1">
      <c r="A1183" s="11" t="s">
        <v>3532</v>
      </c>
      <c r="B1183" s="11" t="s">
        <v>3564</v>
      </c>
      <c r="C1183" s="3" t="s">
        <v>2458</v>
      </c>
      <c r="D1183" s="3" t="s">
        <v>2994</v>
      </c>
      <c r="E1183" s="3" t="s">
        <v>5005</v>
      </c>
      <c r="F1183" s="4" t="s">
        <v>2662</v>
      </c>
      <c r="G1183" s="3" t="s">
        <v>2276</v>
      </c>
      <c r="H1183" s="3" t="s">
        <v>523</v>
      </c>
      <c r="I1183" s="3">
        <v>2003</v>
      </c>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2276</v>
      </c>
      <c r="Y1183" s="3" t="s">
        <v>2276</v>
      </c>
      <c r="Z1183" s="3" t="s">
        <v>34</v>
      </c>
      <c r="AA1183" s="3" t="s">
        <v>34</v>
      </c>
      <c r="AB1183" s="3" t="s">
        <v>2276</v>
      </c>
      <c r="AC1183" s="3" t="s">
        <v>3570</v>
      </c>
      <c r="AD1183" s="3"/>
    </row>
    <row r="1184" spans="1:30" ht="37" customHeight="1">
      <c r="A1184" s="11" t="s">
        <v>3532</v>
      </c>
      <c r="B1184" s="11" t="s">
        <v>3565</v>
      </c>
      <c r="C1184" s="3" t="s">
        <v>31</v>
      </c>
      <c r="D1184" s="3" t="s">
        <v>2276</v>
      </c>
      <c r="E1184" s="3" t="s">
        <v>2652</v>
      </c>
      <c r="F1184" s="4" t="s">
        <v>2662</v>
      </c>
      <c r="G1184" s="3" t="s">
        <v>2276</v>
      </c>
      <c r="H1184" s="3" t="s">
        <v>523</v>
      </c>
      <c r="I1184" s="3">
        <v>2003</v>
      </c>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2276</v>
      </c>
      <c r="Y1184" s="3" t="s">
        <v>2276</v>
      </c>
      <c r="Z1184" s="3" t="s">
        <v>425</v>
      </c>
      <c r="AA1184" s="3" t="s">
        <v>425</v>
      </c>
      <c r="AB1184" s="3" t="s">
        <v>2276</v>
      </c>
      <c r="AC1184" s="3" t="s">
        <v>3572</v>
      </c>
      <c r="AD1184" s="3"/>
    </row>
    <row r="1185" spans="1:30" ht="37" customHeight="1">
      <c r="A1185" s="11" t="s">
        <v>3532</v>
      </c>
      <c r="B1185" s="11" t="s">
        <v>3566</v>
      </c>
      <c r="C1185" s="3" t="s">
        <v>2458</v>
      </c>
      <c r="D1185" s="3" t="s">
        <v>3476</v>
      </c>
      <c r="E1185" s="3" t="s">
        <v>116</v>
      </c>
      <c r="F1185" s="4" t="s">
        <v>2662</v>
      </c>
      <c r="G1185" s="3" t="s">
        <v>2276</v>
      </c>
      <c r="H1185" s="3" t="s">
        <v>523</v>
      </c>
      <c r="I1185" s="3">
        <v>2004</v>
      </c>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2276</v>
      </c>
      <c r="Y1185" s="3" t="s">
        <v>2276</v>
      </c>
      <c r="Z1185" s="3" t="s">
        <v>404</v>
      </c>
      <c r="AA1185" s="3" t="s">
        <v>404</v>
      </c>
      <c r="AB1185" s="3" t="s">
        <v>2276</v>
      </c>
      <c r="AC1185" s="3" t="s">
        <v>3476</v>
      </c>
      <c r="AD1185" s="3"/>
    </row>
    <row r="1186" spans="1:30" ht="37" customHeight="1">
      <c r="A1186" s="11" t="s">
        <v>3532</v>
      </c>
      <c r="B1186" s="11" t="s">
        <v>3567</v>
      </c>
      <c r="C1186" s="3" t="s">
        <v>2458</v>
      </c>
      <c r="D1186" s="3" t="s">
        <v>3476</v>
      </c>
      <c r="E1186" s="3" t="s">
        <v>116</v>
      </c>
      <c r="F1186" s="4" t="s">
        <v>2662</v>
      </c>
      <c r="G1186" s="3" t="s">
        <v>2276</v>
      </c>
      <c r="H1186" s="3" t="s">
        <v>523</v>
      </c>
      <c r="I1186" s="3">
        <v>2005</v>
      </c>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2276</v>
      </c>
      <c r="Y1186" s="3" t="s">
        <v>2276</v>
      </c>
      <c r="Z1186" s="3" t="s">
        <v>399</v>
      </c>
      <c r="AA1186" s="3" t="s">
        <v>399</v>
      </c>
      <c r="AB1186" s="3" t="s">
        <v>2276</v>
      </c>
      <c r="AC1186" s="3" t="s">
        <v>3476</v>
      </c>
      <c r="AD1186" s="3"/>
    </row>
    <row r="1187" spans="1:30" ht="30" customHeight="1">
      <c r="A1187" s="11" t="s">
        <v>3586</v>
      </c>
      <c r="B1187" s="3" t="s">
        <v>3599</v>
      </c>
      <c r="C1187" s="3" t="s">
        <v>24</v>
      </c>
      <c r="D1187" s="3" t="s">
        <v>27</v>
      </c>
      <c r="E1187" s="3" t="s">
        <v>130</v>
      </c>
      <c r="F1187" s="4" t="s">
        <v>161</v>
      </c>
      <c r="G1187" s="3" t="s">
        <v>2276</v>
      </c>
      <c r="H1187" s="3" t="s">
        <v>523</v>
      </c>
      <c r="I1187" s="3"/>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3" t="s">
        <v>2276</v>
      </c>
      <c r="AB1187" s="3" t="s">
        <v>2276</v>
      </c>
      <c r="AC1187" s="4" t="s">
        <v>3609</v>
      </c>
      <c r="AD1187" s="3"/>
    </row>
    <row r="1188" spans="1:30" ht="30" customHeight="1">
      <c r="A1188" s="11" t="s">
        <v>3589</v>
      </c>
      <c r="B1188" s="3" t="s">
        <v>3600</v>
      </c>
      <c r="C1188" s="3" t="s">
        <v>24</v>
      </c>
      <c r="D1188" s="3" t="s">
        <v>27</v>
      </c>
      <c r="E1188" s="3" t="s">
        <v>130</v>
      </c>
      <c r="F1188" s="4" t="s">
        <v>161</v>
      </c>
      <c r="G1188" s="3" t="s">
        <v>2276</v>
      </c>
      <c r="H1188" s="3" t="s">
        <v>523</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3" t="s">
        <v>2276</v>
      </c>
      <c r="AB1188" s="3" t="s">
        <v>2276</v>
      </c>
      <c r="AC1188" s="4" t="s">
        <v>3610</v>
      </c>
      <c r="AD1188" s="3"/>
    </row>
    <row r="1189" spans="1:30" ht="30" customHeight="1">
      <c r="A1189" s="11" t="s">
        <v>3590</v>
      </c>
      <c r="B1189" s="3" t="s">
        <v>3601</v>
      </c>
      <c r="C1189" s="3" t="s">
        <v>24</v>
      </c>
      <c r="D1189" s="3" t="s">
        <v>27</v>
      </c>
      <c r="E1189" s="3" t="s">
        <v>130</v>
      </c>
      <c r="F1189" s="4" t="s">
        <v>161</v>
      </c>
      <c r="G1189" s="3" t="s">
        <v>2276</v>
      </c>
      <c r="H1189" s="3" t="s">
        <v>523</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3" t="s">
        <v>2276</v>
      </c>
      <c r="AB1189" s="3" t="s">
        <v>2276</v>
      </c>
      <c r="AC1189" s="4" t="s">
        <v>3611</v>
      </c>
      <c r="AD1189" s="3"/>
    </row>
    <row r="1190" spans="1:30" ht="30" customHeight="1">
      <c r="A1190" s="11" t="s">
        <v>3591</v>
      </c>
      <c r="B1190" s="3" t="s">
        <v>3602</v>
      </c>
      <c r="C1190" s="3" t="s">
        <v>24</v>
      </c>
      <c r="D1190" s="3" t="s">
        <v>27</v>
      </c>
      <c r="E1190" s="3" t="s">
        <v>130</v>
      </c>
      <c r="F1190" s="4" t="s">
        <v>161</v>
      </c>
      <c r="G1190" s="3" t="s">
        <v>2276</v>
      </c>
      <c r="H1190" s="3" t="s">
        <v>523</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3" t="s">
        <v>2276</v>
      </c>
      <c r="AB1190" s="3" t="s">
        <v>2276</v>
      </c>
      <c r="AC1190" s="4" t="s">
        <v>3611</v>
      </c>
      <c r="AD1190" s="3"/>
    </row>
    <row r="1191" spans="1:30" ht="30" customHeight="1">
      <c r="A1191" s="11" t="s">
        <v>3592</v>
      </c>
      <c r="B1191" s="3" t="s">
        <v>3603</v>
      </c>
      <c r="C1191" s="3" t="s">
        <v>24</v>
      </c>
      <c r="D1191" s="3" t="s">
        <v>27</v>
      </c>
      <c r="E1191" s="3" t="s">
        <v>130</v>
      </c>
      <c r="F1191" s="4" t="s">
        <v>161</v>
      </c>
      <c r="G1191" s="3" t="s">
        <v>2276</v>
      </c>
      <c r="H1191" s="3"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3" t="s">
        <v>2276</v>
      </c>
      <c r="Z1191" s="3" t="s">
        <v>2276</v>
      </c>
      <c r="AA1191" s="3" t="s">
        <v>2276</v>
      </c>
      <c r="AB1191" s="3" t="s">
        <v>2276</v>
      </c>
      <c r="AC1191" s="3"/>
      <c r="AD1191" s="3"/>
    </row>
    <row r="1192" spans="1:30" ht="36" customHeight="1">
      <c r="A1192" s="11" t="s">
        <v>3586</v>
      </c>
      <c r="B1192" s="3" t="s">
        <v>3604</v>
      </c>
      <c r="C1192" s="3" t="s">
        <v>24</v>
      </c>
      <c r="D1192" s="3" t="s">
        <v>2659</v>
      </c>
      <c r="E1192" s="3" t="s">
        <v>130</v>
      </c>
      <c r="F1192" s="4" t="s">
        <v>28</v>
      </c>
      <c r="G1192" s="3" t="s">
        <v>2276</v>
      </c>
      <c r="H1192" s="3" t="s">
        <v>523</v>
      </c>
      <c r="I1192" s="3"/>
      <c r="J1192" s="3" t="s">
        <v>2276</v>
      </c>
      <c r="K1192" s="3" t="s">
        <v>2276</v>
      </c>
      <c r="L1192" s="3" t="s">
        <v>2276</v>
      </c>
      <c r="M1192" s="3" t="s">
        <v>2276</v>
      </c>
      <c r="N1192" s="3" t="s">
        <v>2276</v>
      </c>
      <c r="O1192" s="3" t="s">
        <v>2276</v>
      </c>
      <c r="P1192" s="3" t="s">
        <v>2276</v>
      </c>
      <c r="Q1192" s="3" t="s">
        <v>2276</v>
      </c>
      <c r="R1192" s="3" t="s">
        <v>2276</v>
      </c>
      <c r="S1192" s="3" t="s">
        <v>2276</v>
      </c>
      <c r="T1192" s="3" t="s">
        <v>2276</v>
      </c>
      <c r="U1192" s="3" t="s">
        <v>2276</v>
      </c>
      <c r="V1192" s="3" t="s">
        <v>2276</v>
      </c>
      <c r="W1192" s="3" t="s">
        <v>2276</v>
      </c>
      <c r="X1192" s="3" t="s">
        <v>2276</v>
      </c>
      <c r="Y1192" s="3" t="s">
        <v>2276</v>
      </c>
      <c r="Z1192" s="3" t="s">
        <v>2276</v>
      </c>
      <c r="AA1192" s="3" t="s">
        <v>2276</v>
      </c>
      <c r="AB1192" s="3" t="s">
        <v>2276</v>
      </c>
      <c r="AC1192" s="4" t="s">
        <v>3612</v>
      </c>
      <c r="AD1192" s="3"/>
    </row>
    <row r="1193" spans="1:30" ht="36" customHeight="1">
      <c r="A1193" s="11" t="s">
        <v>3589</v>
      </c>
      <c r="B1193" s="3" t="s">
        <v>3605</v>
      </c>
      <c r="C1193" s="3" t="s">
        <v>24</v>
      </c>
      <c r="D1193" s="3" t="s">
        <v>2659</v>
      </c>
      <c r="E1193" s="3" t="s">
        <v>130</v>
      </c>
      <c r="F1193" s="4" t="s">
        <v>28</v>
      </c>
      <c r="G1193" s="3" t="s">
        <v>2276</v>
      </c>
      <c r="H1193" s="3" t="s">
        <v>523</v>
      </c>
      <c r="I1193" s="3"/>
      <c r="J1193" s="3" t="s">
        <v>2276</v>
      </c>
      <c r="K1193" s="3" t="s">
        <v>2276</v>
      </c>
      <c r="L1193" s="3" t="s">
        <v>2276</v>
      </c>
      <c r="M1193" s="3" t="s">
        <v>2276</v>
      </c>
      <c r="N1193" s="3" t="s">
        <v>2276</v>
      </c>
      <c r="O1193" s="3" t="s">
        <v>2276</v>
      </c>
      <c r="P1193" s="3" t="s">
        <v>2276</v>
      </c>
      <c r="Q1193" s="3" t="s">
        <v>2276</v>
      </c>
      <c r="R1193" s="3" t="s">
        <v>2276</v>
      </c>
      <c r="S1193" s="3" t="s">
        <v>2276</v>
      </c>
      <c r="T1193" s="3" t="s">
        <v>2276</v>
      </c>
      <c r="U1193" s="3" t="s">
        <v>2276</v>
      </c>
      <c r="V1193" s="3" t="s">
        <v>2276</v>
      </c>
      <c r="W1193" s="3" t="s">
        <v>2276</v>
      </c>
      <c r="X1193" s="3" t="s">
        <v>2276</v>
      </c>
      <c r="Y1193" s="3" t="s">
        <v>2276</v>
      </c>
      <c r="Z1193" s="3" t="s">
        <v>2276</v>
      </c>
      <c r="AA1193" s="3" t="s">
        <v>2276</v>
      </c>
      <c r="AB1193" s="3" t="s">
        <v>2276</v>
      </c>
      <c r="AC1193" s="4" t="s">
        <v>3612</v>
      </c>
      <c r="AD1193" s="3"/>
    </row>
    <row r="1194" spans="1:30" ht="36" customHeight="1">
      <c r="A1194" s="11" t="s">
        <v>3590</v>
      </c>
      <c r="B1194" s="3" t="s">
        <v>3606</v>
      </c>
      <c r="C1194" s="3" t="s">
        <v>24</v>
      </c>
      <c r="D1194" s="3" t="s">
        <v>2659</v>
      </c>
      <c r="E1194" s="3" t="s">
        <v>130</v>
      </c>
      <c r="F1194" s="4" t="s">
        <v>28</v>
      </c>
      <c r="G1194" s="3" t="s">
        <v>2276</v>
      </c>
      <c r="H1194" s="3" t="s">
        <v>523</v>
      </c>
      <c r="I1194" s="3"/>
      <c r="J1194" s="3" t="s">
        <v>2276</v>
      </c>
      <c r="K1194" s="3" t="s">
        <v>2276</v>
      </c>
      <c r="L1194" s="3" t="s">
        <v>2276</v>
      </c>
      <c r="M1194" s="3" t="s">
        <v>2276</v>
      </c>
      <c r="N1194" s="3" t="s">
        <v>2276</v>
      </c>
      <c r="O1194" s="3" t="s">
        <v>2276</v>
      </c>
      <c r="P1194" s="3" t="s">
        <v>2276</v>
      </c>
      <c r="Q1194" s="3" t="s">
        <v>2276</v>
      </c>
      <c r="R1194" s="3" t="s">
        <v>2276</v>
      </c>
      <c r="S1194" s="3" t="s">
        <v>2276</v>
      </c>
      <c r="T1194" s="3" t="s">
        <v>2276</v>
      </c>
      <c r="U1194" s="3" t="s">
        <v>2276</v>
      </c>
      <c r="V1194" s="3" t="s">
        <v>2276</v>
      </c>
      <c r="W1194" s="3" t="s">
        <v>2276</v>
      </c>
      <c r="X1194" s="3" t="s">
        <v>2276</v>
      </c>
      <c r="Y1194" s="3" t="s">
        <v>2276</v>
      </c>
      <c r="Z1194" s="3" t="s">
        <v>2276</v>
      </c>
      <c r="AA1194" s="3" t="s">
        <v>2276</v>
      </c>
      <c r="AB1194" s="3" t="s">
        <v>2276</v>
      </c>
      <c r="AC1194" s="4" t="s">
        <v>3612</v>
      </c>
      <c r="AD1194" s="3"/>
    </row>
    <row r="1195" spans="1:30" ht="36" customHeight="1">
      <c r="A1195" s="11" t="s">
        <v>3591</v>
      </c>
      <c r="B1195" s="3" t="s">
        <v>3607</v>
      </c>
      <c r="C1195" s="3" t="s">
        <v>24</v>
      </c>
      <c r="D1195" s="3" t="s">
        <v>2659</v>
      </c>
      <c r="E1195" s="3" t="s">
        <v>130</v>
      </c>
      <c r="F1195" s="4" t="s">
        <v>28</v>
      </c>
      <c r="G1195" s="3" t="s">
        <v>2276</v>
      </c>
      <c r="H1195" s="3" t="s">
        <v>523</v>
      </c>
      <c r="I1195" s="3"/>
      <c r="J1195" s="3" t="s">
        <v>2276</v>
      </c>
      <c r="K1195" s="3" t="s">
        <v>2276</v>
      </c>
      <c r="L1195" s="3" t="s">
        <v>2276</v>
      </c>
      <c r="M1195" s="3" t="s">
        <v>2276</v>
      </c>
      <c r="N1195" s="3" t="s">
        <v>2276</v>
      </c>
      <c r="O1195" s="3" t="s">
        <v>2276</v>
      </c>
      <c r="P1195" s="3" t="s">
        <v>2276</v>
      </c>
      <c r="Q1195" s="3" t="s">
        <v>2276</v>
      </c>
      <c r="R1195" s="3" t="s">
        <v>2276</v>
      </c>
      <c r="S1195" s="3" t="s">
        <v>2276</v>
      </c>
      <c r="T1195" s="3" t="s">
        <v>2276</v>
      </c>
      <c r="U1195" s="3" t="s">
        <v>2276</v>
      </c>
      <c r="V1195" s="3" t="s">
        <v>2276</v>
      </c>
      <c r="W1195" s="3" t="s">
        <v>2276</v>
      </c>
      <c r="X1195" s="3" t="s">
        <v>2276</v>
      </c>
      <c r="Y1195" s="3" t="s">
        <v>2276</v>
      </c>
      <c r="Z1195" s="3" t="s">
        <v>2276</v>
      </c>
      <c r="AA1195" s="3" t="s">
        <v>2276</v>
      </c>
      <c r="AB1195" s="3" t="s">
        <v>2276</v>
      </c>
      <c r="AC1195" s="4" t="s">
        <v>3612</v>
      </c>
      <c r="AD1195" s="3"/>
    </row>
    <row r="1196" spans="1:30" ht="36" customHeight="1">
      <c r="A1196" s="11" t="s">
        <v>3592</v>
      </c>
      <c r="B1196" s="3" t="s">
        <v>3608</v>
      </c>
      <c r="C1196" s="3" t="s">
        <v>24</v>
      </c>
      <c r="D1196" s="3" t="s">
        <v>2659</v>
      </c>
      <c r="E1196" s="3" t="s">
        <v>130</v>
      </c>
      <c r="F1196" s="4" t="s">
        <v>28</v>
      </c>
      <c r="G1196" s="3" t="s">
        <v>2276</v>
      </c>
      <c r="H1196" s="3" t="s">
        <v>523</v>
      </c>
      <c r="I1196" s="3"/>
      <c r="J1196" s="3" t="s">
        <v>2276</v>
      </c>
      <c r="K1196" s="3" t="s">
        <v>2276</v>
      </c>
      <c r="L1196" s="3" t="s">
        <v>2276</v>
      </c>
      <c r="M1196" s="3" t="s">
        <v>2276</v>
      </c>
      <c r="N1196" s="3" t="s">
        <v>2276</v>
      </c>
      <c r="O1196" s="3" t="s">
        <v>2276</v>
      </c>
      <c r="P1196" s="3" t="s">
        <v>2276</v>
      </c>
      <c r="Q1196" s="3" t="s">
        <v>2276</v>
      </c>
      <c r="R1196" s="3" t="s">
        <v>2276</v>
      </c>
      <c r="S1196" s="3" t="s">
        <v>2276</v>
      </c>
      <c r="T1196" s="3" t="s">
        <v>2276</v>
      </c>
      <c r="U1196" s="3" t="s">
        <v>2276</v>
      </c>
      <c r="V1196" s="3" t="s">
        <v>2276</v>
      </c>
      <c r="W1196" s="3" t="s">
        <v>2276</v>
      </c>
      <c r="X1196" s="3" t="s">
        <v>2276</v>
      </c>
      <c r="Y1196" s="3" t="s">
        <v>2276</v>
      </c>
      <c r="Z1196" s="3" t="s">
        <v>2276</v>
      </c>
      <c r="AA1196" s="3" t="s">
        <v>2276</v>
      </c>
      <c r="AB1196" s="3" t="s">
        <v>2276</v>
      </c>
      <c r="AC1196" s="4" t="s">
        <v>3612</v>
      </c>
      <c r="AD1196" s="3"/>
    </row>
    <row r="1197" spans="1:30" ht="41" customHeight="1">
      <c r="A1197" s="11" t="s">
        <v>3614</v>
      </c>
      <c r="B1197" s="11" t="s">
        <v>3618</v>
      </c>
      <c r="C1197" s="3" t="s">
        <v>24</v>
      </c>
      <c r="D1197" s="3" t="s">
        <v>2804</v>
      </c>
      <c r="E1197" s="3" t="s">
        <v>5005</v>
      </c>
      <c r="F1197" s="4" t="s">
        <v>2276</v>
      </c>
      <c r="G1197" s="3"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3" t="s">
        <v>2276</v>
      </c>
      <c r="Z1197" s="3" t="s">
        <v>2276</v>
      </c>
      <c r="AA1197" s="3" t="s">
        <v>2276</v>
      </c>
      <c r="AB1197" s="3" t="s">
        <v>2276</v>
      </c>
      <c r="AC1197" s="3"/>
      <c r="AD1197" s="4" t="s">
        <v>3620</v>
      </c>
    </row>
    <row r="1198" spans="1:30" ht="43" customHeight="1">
      <c r="A1198" s="11" t="s">
        <v>3614</v>
      </c>
      <c r="B1198" s="11" t="s">
        <v>3619</v>
      </c>
      <c r="C1198" s="3" t="s">
        <v>24</v>
      </c>
      <c r="D1198" s="3" t="s">
        <v>25</v>
      </c>
      <c r="E1198" s="3" t="s">
        <v>5005</v>
      </c>
      <c r="F1198" s="4" t="s">
        <v>2276</v>
      </c>
      <c r="G1198" s="3"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3" t="s">
        <v>2276</v>
      </c>
      <c r="Z1198" s="3" t="s">
        <v>2276</v>
      </c>
      <c r="AA1198" s="3" t="s">
        <v>2276</v>
      </c>
      <c r="AB1198" s="3" t="s">
        <v>2276</v>
      </c>
      <c r="AC1198" s="3"/>
      <c r="AD1198" s="4" t="s">
        <v>3620</v>
      </c>
    </row>
    <row r="1199" spans="1:30" ht="40" customHeight="1">
      <c r="A1199" s="11" t="s">
        <v>3614</v>
      </c>
      <c r="B1199" s="11" t="s">
        <v>3622</v>
      </c>
      <c r="C1199" s="3" t="s">
        <v>24</v>
      </c>
      <c r="D1199" s="3" t="s">
        <v>2804</v>
      </c>
      <c r="E1199" s="3" t="s">
        <v>45</v>
      </c>
      <c r="F1199" s="4" t="s">
        <v>2276</v>
      </c>
      <c r="G1199" s="3"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3" t="s">
        <v>2276</v>
      </c>
      <c r="Z1199" s="3" t="s">
        <v>2276</v>
      </c>
      <c r="AA1199" s="3" t="s">
        <v>2276</v>
      </c>
      <c r="AB1199" s="3" t="s">
        <v>2276</v>
      </c>
      <c r="AC1199" s="3"/>
      <c r="AD1199" s="4" t="s">
        <v>3620</v>
      </c>
    </row>
    <row r="1200" spans="1:30" ht="41" customHeight="1">
      <c r="A1200" s="11" t="s">
        <v>3614</v>
      </c>
      <c r="B1200" s="11" t="s">
        <v>3623</v>
      </c>
      <c r="C1200" s="3" t="s">
        <v>24</v>
      </c>
      <c r="D1200" s="3" t="s">
        <v>25</v>
      </c>
      <c r="E1200" s="3" t="s">
        <v>45</v>
      </c>
      <c r="F1200" s="4" t="s">
        <v>2276</v>
      </c>
      <c r="G1200" s="3"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3" t="s">
        <v>2276</v>
      </c>
      <c r="Z1200" s="3" t="s">
        <v>2276</v>
      </c>
      <c r="AA1200" s="3" t="s">
        <v>2276</v>
      </c>
      <c r="AB1200" s="3" t="s">
        <v>2276</v>
      </c>
      <c r="AC1200" s="3"/>
      <c r="AD1200" s="4" t="s">
        <v>3620</v>
      </c>
    </row>
    <row r="1201" spans="1:30" ht="28" customHeight="1">
      <c r="A1201" s="3" t="s">
        <v>3625</v>
      </c>
      <c r="B1201" s="3" t="s">
        <v>3635</v>
      </c>
      <c r="C1201" s="3" t="s">
        <v>24</v>
      </c>
      <c r="D1201" s="3" t="s">
        <v>27</v>
      </c>
      <c r="E1201" s="3" t="s">
        <v>130</v>
      </c>
      <c r="F1201" s="4" t="s">
        <v>2276</v>
      </c>
      <c r="G1201" s="3" t="s">
        <v>2276</v>
      </c>
      <c r="H1201" s="3" t="s">
        <v>523</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t="s">
        <v>2276</v>
      </c>
      <c r="AB1201" s="3" t="s">
        <v>2276</v>
      </c>
      <c r="AC1201" s="3"/>
      <c r="AD1201" s="3"/>
    </row>
    <row r="1202" spans="1:30" ht="28" customHeight="1">
      <c r="A1202" s="3" t="s">
        <v>3626</v>
      </c>
      <c r="B1202" s="3" t="s">
        <v>3636</v>
      </c>
      <c r="C1202" s="3" t="s">
        <v>24</v>
      </c>
      <c r="D1202" s="3" t="s">
        <v>27</v>
      </c>
      <c r="E1202" s="3" t="s">
        <v>130</v>
      </c>
      <c r="F1202" s="4" t="s">
        <v>2276</v>
      </c>
      <c r="G1202" s="3" t="s">
        <v>2276</v>
      </c>
      <c r="H1202" s="3" t="s">
        <v>523</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t="s">
        <v>2276</v>
      </c>
      <c r="AB1202" s="3" t="s">
        <v>2276</v>
      </c>
      <c r="AC1202" s="3"/>
      <c r="AD1202" s="3"/>
    </row>
    <row r="1203" spans="1:30" ht="28" customHeight="1">
      <c r="A1203" s="3" t="s">
        <v>3629</v>
      </c>
      <c r="B1203" s="3" t="s">
        <v>3637</v>
      </c>
      <c r="C1203" s="3" t="s">
        <v>24</v>
      </c>
      <c r="D1203" s="3" t="s">
        <v>27</v>
      </c>
      <c r="E1203" s="3" t="s">
        <v>130</v>
      </c>
      <c r="F1203" s="4" t="s">
        <v>2276</v>
      </c>
      <c r="G1203" s="3" t="s">
        <v>2276</v>
      </c>
      <c r="H1203" s="3" t="s">
        <v>523</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t="s">
        <v>2276</v>
      </c>
      <c r="AB1203" s="3" t="s">
        <v>2276</v>
      </c>
      <c r="AC1203" s="3"/>
      <c r="AD1203" s="3"/>
    </row>
    <row r="1204" spans="1:30" ht="27" customHeight="1">
      <c r="A1204" s="3" t="s">
        <v>3630</v>
      </c>
      <c r="B1204" s="3" t="s">
        <v>3638</v>
      </c>
      <c r="C1204" s="3" t="s">
        <v>24</v>
      </c>
      <c r="D1204" s="3" t="s">
        <v>27</v>
      </c>
      <c r="E1204" s="3" t="s">
        <v>130</v>
      </c>
      <c r="F1204" s="4" t="s">
        <v>2276</v>
      </c>
      <c r="G1204" s="3" t="s">
        <v>2276</v>
      </c>
      <c r="H1204" s="3" t="s">
        <v>523</v>
      </c>
      <c r="I1204" s="3">
        <v>2017</v>
      </c>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t="s">
        <v>2276</v>
      </c>
      <c r="AB1204" s="3" t="s">
        <v>2276</v>
      </c>
      <c r="AC1204" s="3"/>
      <c r="AD1204" s="3"/>
    </row>
    <row r="1205" spans="1:30" ht="24.5" customHeight="1">
      <c r="A1205" s="3" t="s">
        <v>3625</v>
      </c>
      <c r="B1205" s="3" t="s">
        <v>3639</v>
      </c>
      <c r="C1205" s="3" t="s">
        <v>24</v>
      </c>
      <c r="D1205" s="3" t="s">
        <v>144</v>
      </c>
      <c r="E1205" s="3" t="s">
        <v>137</v>
      </c>
      <c r="F1205" s="4" t="s">
        <v>2276</v>
      </c>
      <c r="G1205" s="3" t="s">
        <v>2276</v>
      </c>
      <c r="H1205" s="3" t="s">
        <v>523</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t="s">
        <v>2276</v>
      </c>
      <c r="AB1205" s="3" t="s">
        <v>2276</v>
      </c>
      <c r="AC1205" s="3"/>
      <c r="AD1205" s="3"/>
    </row>
    <row r="1206" spans="1:30" ht="24.5" customHeight="1">
      <c r="A1206" s="3" t="s">
        <v>3626</v>
      </c>
      <c r="B1206" s="3" t="s">
        <v>3640</v>
      </c>
      <c r="C1206" s="3" t="s">
        <v>24</v>
      </c>
      <c r="D1206" s="3" t="s">
        <v>144</v>
      </c>
      <c r="E1206" s="3" t="s">
        <v>137</v>
      </c>
      <c r="F1206" s="4" t="s">
        <v>2276</v>
      </c>
      <c r="G1206" s="3" t="s">
        <v>2276</v>
      </c>
      <c r="H1206" s="3" t="s">
        <v>523</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t="s">
        <v>2276</v>
      </c>
      <c r="AB1206" s="3" t="s">
        <v>2276</v>
      </c>
      <c r="AC1206" s="3"/>
      <c r="AD1206" s="3"/>
    </row>
    <row r="1207" spans="1:30" ht="24.5" customHeight="1">
      <c r="A1207" s="3" t="s">
        <v>3629</v>
      </c>
      <c r="B1207" s="3" t="s">
        <v>3641</v>
      </c>
      <c r="C1207" s="3" t="s">
        <v>24</v>
      </c>
      <c r="D1207" s="3" t="s">
        <v>144</v>
      </c>
      <c r="E1207" s="3" t="s">
        <v>137</v>
      </c>
      <c r="F1207" s="4" t="s">
        <v>2276</v>
      </c>
      <c r="G1207" s="3" t="s">
        <v>2276</v>
      </c>
      <c r="H1207" s="3" t="s">
        <v>523</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t="s">
        <v>2276</v>
      </c>
      <c r="AB1207" s="3" t="s">
        <v>2276</v>
      </c>
      <c r="AC1207" s="3"/>
      <c r="AD1207" s="3"/>
    </row>
    <row r="1208" spans="1:30" ht="66" customHeight="1">
      <c r="A1208" s="3" t="s">
        <v>3664</v>
      </c>
      <c r="B1208" s="3" t="s">
        <v>3669</v>
      </c>
      <c r="C1208" s="3" t="s">
        <v>24</v>
      </c>
      <c r="D1208" s="3" t="s">
        <v>27</v>
      </c>
      <c r="E1208" s="4" t="s">
        <v>397</v>
      </c>
      <c r="F1208" s="4" t="s">
        <v>28</v>
      </c>
      <c r="G1208" s="3" t="s">
        <v>28</v>
      </c>
      <c r="H1208" s="3" t="s">
        <v>523</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405</v>
      </c>
      <c r="AA1208" s="3" t="s">
        <v>68</v>
      </c>
      <c r="AB1208" s="3" t="s">
        <v>64</v>
      </c>
      <c r="AC1208" s="3"/>
      <c r="AD1208" s="3"/>
    </row>
    <row r="1209" spans="1:30" ht="66" customHeight="1">
      <c r="A1209" s="3" t="s">
        <v>3664</v>
      </c>
      <c r="B1209" s="3" t="s">
        <v>3670</v>
      </c>
      <c r="C1209" s="3" t="s">
        <v>2458</v>
      </c>
      <c r="D1209" s="3" t="s">
        <v>2231</v>
      </c>
      <c r="E1209" s="4" t="s">
        <v>397</v>
      </c>
      <c r="F1209" s="4" t="s">
        <v>2276</v>
      </c>
      <c r="G1209" s="3" t="s">
        <v>2276</v>
      </c>
      <c r="H1209" s="3" t="s">
        <v>523</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405</v>
      </c>
      <c r="AA1209" s="3" t="s">
        <v>68</v>
      </c>
      <c r="AB1209" s="3" t="s">
        <v>64</v>
      </c>
      <c r="AC1209" s="3"/>
      <c r="AD1209" s="3"/>
    </row>
    <row r="1210" spans="1:30" ht="66" customHeight="1">
      <c r="A1210" s="3" t="s">
        <v>3664</v>
      </c>
      <c r="B1210" s="3" t="s">
        <v>3671</v>
      </c>
      <c r="C1210" s="3" t="s">
        <v>2458</v>
      </c>
      <c r="D1210" s="3" t="s">
        <v>2231</v>
      </c>
      <c r="E1210" s="4" t="s">
        <v>396</v>
      </c>
      <c r="F1210" s="4" t="s">
        <v>2276</v>
      </c>
      <c r="G1210" s="3" t="s">
        <v>2276</v>
      </c>
      <c r="H1210" s="3" t="s">
        <v>523</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405</v>
      </c>
      <c r="AA1210" s="3" t="s">
        <v>68</v>
      </c>
      <c r="AB1210" s="3" t="s">
        <v>64</v>
      </c>
      <c r="AC1210" s="3"/>
      <c r="AD1210" s="3"/>
    </row>
    <row r="1211" spans="1:30" ht="97" customHeight="1">
      <c r="A1211" s="3" t="s">
        <v>3664</v>
      </c>
      <c r="B1211" s="3" t="s">
        <v>3672</v>
      </c>
      <c r="C1211" s="3" t="s">
        <v>2658</v>
      </c>
      <c r="D1211" s="3" t="s">
        <v>1105</v>
      </c>
      <c r="E1211" s="4" t="s">
        <v>397</v>
      </c>
      <c r="F1211" s="4" t="s">
        <v>2276</v>
      </c>
      <c r="G1211" s="3" t="s">
        <v>2276</v>
      </c>
      <c r="H1211" s="3" t="s">
        <v>523</v>
      </c>
      <c r="I1211" s="3">
        <v>2009</v>
      </c>
      <c r="J1211" s="3" t="s">
        <v>2276</v>
      </c>
      <c r="K1211" s="3" t="s">
        <v>2276</v>
      </c>
      <c r="L1211" s="3" t="s">
        <v>2276</v>
      </c>
      <c r="M1211" s="3" t="s">
        <v>2276</v>
      </c>
      <c r="N1211" s="3" t="s">
        <v>2276</v>
      </c>
      <c r="O1211" s="3" t="s">
        <v>2276</v>
      </c>
      <c r="P1211" s="3" t="s">
        <v>2276</v>
      </c>
      <c r="Q1211" s="3" t="s">
        <v>2276</v>
      </c>
      <c r="R1211" s="3" t="s">
        <v>2276</v>
      </c>
      <c r="S1211" s="3" t="s">
        <v>2276</v>
      </c>
      <c r="T1211" s="3" t="s">
        <v>2276</v>
      </c>
      <c r="U1211" s="3" t="s">
        <v>2276</v>
      </c>
      <c r="V1211" s="3" t="s">
        <v>2276</v>
      </c>
      <c r="W1211" s="3" t="s">
        <v>2276</v>
      </c>
      <c r="X1211" s="3" t="s">
        <v>2276</v>
      </c>
      <c r="Y1211" s="3" t="s">
        <v>2276</v>
      </c>
      <c r="Z1211" s="3" t="s">
        <v>405</v>
      </c>
      <c r="AA1211" s="3" t="s">
        <v>68</v>
      </c>
      <c r="AB1211" s="3" t="s">
        <v>64</v>
      </c>
      <c r="AC1211" s="4" t="s">
        <v>3692</v>
      </c>
      <c r="AD1211" s="4" t="s">
        <v>3690</v>
      </c>
    </row>
    <row r="1212" spans="1:30" ht="97" customHeight="1">
      <c r="A1212" s="3" t="s">
        <v>3664</v>
      </c>
      <c r="B1212" s="3" t="s">
        <v>3674</v>
      </c>
      <c r="C1212" s="3" t="s">
        <v>2658</v>
      </c>
      <c r="D1212" s="3" t="s">
        <v>2231</v>
      </c>
      <c r="E1212" s="4" t="s">
        <v>396</v>
      </c>
      <c r="F1212" s="4" t="s">
        <v>2276</v>
      </c>
      <c r="G1212" s="3" t="s">
        <v>2276</v>
      </c>
      <c r="H1212" s="3" t="s">
        <v>523</v>
      </c>
      <c r="I1212" s="3">
        <v>2009</v>
      </c>
      <c r="J1212" s="3" t="s">
        <v>2276</v>
      </c>
      <c r="K1212" s="3" t="s">
        <v>2276</v>
      </c>
      <c r="L1212" s="3" t="s">
        <v>2276</v>
      </c>
      <c r="M1212" s="3" t="s">
        <v>2276</v>
      </c>
      <c r="N1212" s="3" t="s">
        <v>2276</v>
      </c>
      <c r="O1212" s="3" t="s">
        <v>2276</v>
      </c>
      <c r="P1212" s="3" t="s">
        <v>2276</v>
      </c>
      <c r="Q1212" s="3" t="s">
        <v>2276</v>
      </c>
      <c r="R1212" s="3" t="s">
        <v>2276</v>
      </c>
      <c r="S1212" s="3" t="s">
        <v>2276</v>
      </c>
      <c r="T1212" s="3" t="s">
        <v>2276</v>
      </c>
      <c r="U1212" s="3" t="s">
        <v>2276</v>
      </c>
      <c r="V1212" s="3" t="s">
        <v>2276</v>
      </c>
      <c r="W1212" s="3" t="s">
        <v>2276</v>
      </c>
      <c r="X1212" s="3" t="s">
        <v>2276</v>
      </c>
      <c r="Y1212" s="3" t="s">
        <v>2276</v>
      </c>
      <c r="Z1212" s="3" t="s">
        <v>405</v>
      </c>
      <c r="AA1212" s="3" t="s">
        <v>68</v>
      </c>
      <c r="AB1212" s="3" t="s">
        <v>64</v>
      </c>
      <c r="AC1212" s="4" t="s">
        <v>3689</v>
      </c>
      <c r="AD1212" s="4" t="s">
        <v>3691</v>
      </c>
    </row>
    <row r="1213" spans="1:30" ht="97" customHeight="1">
      <c r="A1213" s="3" t="s">
        <v>3664</v>
      </c>
      <c r="B1213" s="3" t="s">
        <v>3676</v>
      </c>
      <c r="C1213" s="3" t="s">
        <v>2658</v>
      </c>
      <c r="D1213" s="3" t="s">
        <v>1105</v>
      </c>
      <c r="E1213" s="4" t="s">
        <v>397</v>
      </c>
      <c r="F1213" s="4" t="s">
        <v>2276</v>
      </c>
      <c r="G1213" s="3" t="s">
        <v>2276</v>
      </c>
      <c r="H1213" s="3" t="s">
        <v>523</v>
      </c>
      <c r="I1213" s="3">
        <v>2010</v>
      </c>
      <c r="J1213" s="3" t="s">
        <v>2276</v>
      </c>
      <c r="K1213" s="3" t="s">
        <v>2276</v>
      </c>
      <c r="L1213" s="3" t="s">
        <v>2276</v>
      </c>
      <c r="M1213" s="3" t="s">
        <v>2276</v>
      </c>
      <c r="N1213" s="3" t="s">
        <v>2276</v>
      </c>
      <c r="O1213" s="3" t="s">
        <v>2276</v>
      </c>
      <c r="P1213" s="3" t="s">
        <v>2276</v>
      </c>
      <c r="Q1213" s="3" t="s">
        <v>2276</v>
      </c>
      <c r="R1213" s="3" t="s">
        <v>2276</v>
      </c>
      <c r="S1213" s="3" t="s">
        <v>2276</v>
      </c>
      <c r="T1213" s="3" t="s">
        <v>2276</v>
      </c>
      <c r="U1213" s="3" t="s">
        <v>2276</v>
      </c>
      <c r="V1213" s="3" t="s">
        <v>2276</v>
      </c>
      <c r="W1213" s="3" t="s">
        <v>2276</v>
      </c>
      <c r="X1213" s="3" t="s">
        <v>2276</v>
      </c>
      <c r="Y1213" s="3" t="s">
        <v>2276</v>
      </c>
      <c r="Z1213" s="3" t="s">
        <v>405</v>
      </c>
      <c r="AA1213" s="3" t="s">
        <v>68</v>
      </c>
      <c r="AB1213" s="3" t="s">
        <v>64</v>
      </c>
      <c r="AC1213" s="4" t="s">
        <v>3692</v>
      </c>
      <c r="AD1213" s="4" t="s">
        <v>3690</v>
      </c>
    </row>
    <row r="1214" spans="1:30" ht="97" customHeight="1">
      <c r="A1214" s="3" t="s">
        <v>3664</v>
      </c>
      <c r="B1214" s="3" t="s">
        <v>3677</v>
      </c>
      <c r="C1214" s="3" t="s">
        <v>2658</v>
      </c>
      <c r="D1214" s="3" t="s">
        <v>2231</v>
      </c>
      <c r="E1214" s="4" t="s">
        <v>396</v>
      </c>
      <c r="F1214" s="4" t="s">
        <v>2276</v>
      </c>
      <c r="G1214" s="3" t="s">
        <v>2276</v>
      </c>
      <c r="H1214" s="3" t="s">
        <v>523</v>
      </c>
      <c r="I1214" s="3">
        <v>2010</v>
      </c>
      <c r="J1214" s="3" t="s">
        <v>2276</v>
      </c>
      <c r="K1214" s="3" t="s">
        <v>2276</v>
      </c>
      <c r="L1214" s="3" t="s">
        <v>2276</v>
      </c>
      <c r="M1214" s="3" t="s">
        <v>2276</v>
      </c>
      <c r="N1214" s="3" t="s">
        <v>2276</v>
      </c>
      <c r="O1214" s="3" t="s">
        <v>2276</v>
      </c>
      <c r="P1214" s="3" t="s">
        <v>2276</v>
      </c>
      <c r="Q1214" s="3" t="s">
        <v>2276</v>
      </c>
      <c r="R1214" s="3" t="s">
        <v>2276</v>
      </c>
      <c r="S1214" s="3" t="s">
        <v>2276</v>
      </c>
      <c r="T1214" s="3" t="s">
        <v>2276</v>
      </c>
      <c r="U1214" s="3" t="s">
        <v>2276</v>
      </c>
      <c r="V1214" s="3" t="s">
        <v>2276</v>
      </c>
      <c r="W1214" s="3" t="s">
        <v>2276</v>
      </c>
      <c r="X1214" s="3" t="s">
        <v>2276</v>
      </c>
      <c r="Y1214" s="3" t="s">
        <v>2276</v>
      </c>
      <c r="Z1214" s="3" t="s">
        <v>405</v>
      </c>
      <c r="AA1214" s="3" t="s">
        <v>68</v>
      </c>
      <c r="AB1214" s="3" t="s">
        <v>64</v>
      </c>
      <c r="AC1214" s="4" t="s">
        <v>3689</v>
      </c>
      <c r="AD1214" s="4" t="s">
        <v>3691</v>
      </c>
    </row>
    <row r="1215" spans="1:30" ht="97" customHeight="1">
      <c r="A1215" s="3" t="s">
        <v>3664</v>
      </c>
      <c r="B1215" s="3" t="s">
        <v>3678</v>
      </c>
      <c r="C1215" s="3" t="s">
        <v>2658</v>
      </c>
      <c r="D1215" s="3" t="s">
        <v>1105</v>
      </c>
      <c r="E1215" s="4" t="s">
        <v>397</v>
      </c>
      <c r="F1215" s="4" t="s">
        <v>2276</v>
      </c>
      <c r="G1215" s="3" t="s">
        <v>2276</v>
      </c>
      <c r="H1215" s="3" t="s">
        <v>523</v>
      </c>
      <c r="I1215" s="3">
        <v>2011</v>
      </c>
      <c r="J1215" s="3" t="s">
        <v>2276</v>
      </c>
      <c r="K1215" s="3" t="s">
        <v>2276</v>
      </c>
      <c r="L1215" s="3" t="s">
        <v>2276</v>
      </c>
      <c r="M1215" s="3" t="s">
        <v>2276</v>
      </c>
      <c r="N1215" s="3" t="s">
        <v>2276</v>
      </c>
      <c r="O1215" s="3" t="s">
        <v>2276</v>
      </c>
      <c r="P1215" s="3" t="s">
        <v>2276</v>
      </c>
      <c r="Q1215" s="3" t="s">
        <v>2276</v>
      </c>
      <c r="R1215" s="3" t="s">
        <v>2276</v>
      </c>
      <c r="S1215" s="3" t="s">
        <v>2276</v>
      </c>
      <c r="T1215" s="3" t="s">
        <v>2276</v>
      </c>
      <c r="U1215" s="3" t="s">
        <v>2276</v>
      </c>
      <c r="V1215" s="3" t="s">
        <v>2276</v>
      </c>
      <c r="W1215" s="3" t="s">
        <v>2276</v>
      </c>
      <c r="X1215" s="3" t="s">
        <v>2276</v>
      </c>
      <c r="Y1215" s="3" t="s">
        <v>2276</v>
      </c>
      <c r="Z1215" s="3" t="s">
        <v>405</v>
      </c>
      <c r="AA1215" s="3" t="s">
        <v>68</v>
      </c>
      <c r="AB1215" s="3" t="s">
        <v>64</v>
      </c>
      <c r="AC1215" s="4" t="s">
        <v>3692</v>
      </c>
      <c r="AD1215" s="4" t="s">
        <v>3690</v>
      </c>
    </row>
    <row r="1216" spans="1:30" ht="97" customHeight="1">
      <c r="A1216" s="3" t="s">
        <v>3664</v>
      </c>
      <c r="B1216" s="3" t="s">
        <v>3679</v>
      </c>
      <c r="C1216" s="3" t="s">
        <v>2658</v>
      </c>
      <c r="D1216" s="3" t="s">
        <v>2231</v>
      </c>
      <c r="E1216" s="4" t="s">
        <v>396</v>
      </c>
      <c r="F1216" s="4" t="s">
        <v>2276</v>
      </c>
      <c r="G1216" s="3" t="s">
        <v>2276</v>
      </c>
      <c r="H1216" s="3" t="s">
        <v>523</v>
      </c>
      <c r="I1216" s="3">
        <v>2011</v>
      </c>
      <c r="J1216" s="3" t="s">
        <v>2276</v>
      </c>
      <c r="K1216" s="3" t="s">
        <v>2276</v>
      </c>
      <c r="L1216" s="3" t="s">
        <v>2276</v>
      </c>
      <c r="M1216" s="3" t="s">
        <v>2276</v>
      </c>
      <c r="N1216" s="3" t="s">
        <v>2276</v>
      </c>
      <c r="O1216" s="3" t="s">
        <v>2276</v>
      </c>
      <c r="P1216" s="3" t="s">
        <v>2276</v>
      </c>
      <c r="Q1216" s="3" t="s">
        <v>2276</v>
      </c>
      <c r="R1216" s="3" t="s">
        <v>2276</v>
      </c>
      <c r="S1216" s="3" t="s">
        <v>2276</v>
      </c>
      <c r="T1216" s="3" t="s">
        <v>2276</v>
      </c>
      <c r="U1216" s="3" t="s">
        <v>2276</v>
      </c>
      <c r="V1216" s="3" t="s">
        <v>2276</v>
      </c>
      <c r="W1216" s="3" t="s">
        <v>2276</v>
      </c>
      <c r="X1216" s="3" t="s">
        <v>2276</v>
      </c>
      <c r="Y1216" s="3" t="s">
        <v>2276</v>
      </c>
      <c r="Z1216" s="3" t="s">
        <v>405</v>
      </c>
      <c r="AA1216" s="3" t="s">
        <v>68</v>
      </c>
      <c r="AB1216" s="3" t="s">
        <v>64</v>
      </c>
      <c r="AC1216" s="4" t="s">
        <v>3689</v>
      </c>
      <c r="AD1216" s="4" t="s">
        <v>3691</v>
      </c>
    </row>
    <row r="1217" spans="1:30" ht="97" customHeight="1">
      <c r="A1217" s="3" t="s">
        <v>3664</v>
      </c>
      <c r="B1217" s="3" t="s">
        <v>3682</v>
      </c>
      <c r="C1217" s="3" t="s">
        <v>2658</v>
      </c>
      <c r="D1217" s="3" t="s">
        <v>1105</v>
      </c>
      <c r="E1217" s="4" t="s">
        <v>397</v>
      </c>
      <c r="F1217" s="4" t="s">
        <v>2276</v>
      </c>
      <c r="G1217" s="3" t="s">
        <v>2276</v>
      </c>
      <c r="H1217" s="3" t="s">
        <v>523</v>
      </c>
      <c r="I1217" s="3">
        <v>2012</v>
      </c>
      <c r="J1217" s="3" t="s">
        <v>2276</v>
      </c>
      <c r="K1217" s="3" t="s">
        <v>2276</v>
      </c>
      <c r="L1217" s="3" t="s">
        <v>2276</v>
      </c>
      <c r="M1217" s="3" t="s">
        <v>2276</v>
      </c>
      <c r="N1217" s="3" t="s">
        <v>2276</v>
      </c>
      <c r="O1217" s="3" t="s">
        <v>2276</v>
      </c>
      <c r="P1217" s="3" t="s">
        <v>2276</v>
      </c>
      <c r="Q1217" s="3" t="s">
        <v>2276</v>
      </c>
      <c r="R1217" s="3" t="s">
        <v>2276</v>
      </c>
      <c r="S1217" s="3" t="s">
        <v>2276</v>
      </c>
      <c r="T1217" s="3" t="s">
        <v>2276</v>
      </c>
      <c r="U1217" s="3" t="s">
        <v>2276</v>
      </c>
      <c r="V1217" s="3" t="s">
        <v>2276</v>
      </c>
      <c r="W1217" s="3" t="s">
        <v>2276</v>
      </c>
      <c r="X1217" s="3" t="s">
        <v>2276</v>
      </c>
      <c r="Y1217" s="3" t="s">
        <v>2276</v>
      </c>
      <c r="Z1217" s="3" t="s">
        <v>405</v>
      </c>
      <c r="AA1217" s="3" t="s">
        <v>68</v>
      </c>
      <c r="AB1217" s="3" t="s">
        <v>64</v>
      </c>
      <c r="AC1217" s="4" t="s">
        <v>3692</v>
      </c>
      <c r="AD1217" s="4" t="s">
        <v>3690</v>
      </c>
    </row>
    <row r="1218" spans="1:30" ht="97" customHeight="1">
      <c r="A1218" s="3" t="s">
        <v>3664</v>
      </c>
      <c r="B1218" s="3" t="s">
        <v>3683</v>
      </c>
      <c r="C1218" s="3" t="s">
        <v>2658</v>
      </c>
      <c r="D1218" s="3" t="s">
        <v>2231</v>
      </c>
      <c r="E1218" s="4" t="s">
        <v>396</v>
      </c>
      <c r="F1218" s="4" t="s">
        <v>2276</v>
      </c>
      <c r="G1218" s="3" t="s">
        <v>2276</v>
      </c>
      <c r="H1218" s="3" t="s">
        <v>523</v>
      </c>
      <c r="I1218" s="3">
        <v>2012</v>
      </c>
      <c r="J1218" s="3" t="s">
        <v>2276</v>
      </c>
      <c r="K1218" s="3" t="s">
        <v>2276</v>
      </c>
      <c r="L1218" s="3" t="s">
        <v>2276</v>
      </c>
      <c r="M1218" s="3" t="s">
        <v>2276</v>
      </c>
      <c r="N1218" s="3" t="s">
        <v>2276</v>
      </c>
      <c r="O1218" s="3" t="s">
        <v>2276</v>
      </c>
      <c r="P1218" s="3" t="s">
        <v>2276</v>
      </c>
      <c r="Q1218" s="3" t="s">
        <v>2276</v>
      </c>
      <c r="R1218" s="3" t="s">
        <v>2276</v>
      </c>
      <c r="S1218" s="3" t="s">
        <v>2276</v>
      </c>
      <c r="T1218" s="3" t="s">
        <v>2276</v>
      </c>
      <c r="U1218" s="3" t="s">
        <v>2276</v>
      </c>
      <c r="V1218" s="3" t="s">
        <v>2276</v>
      </c>
      <c r="W1218" s="3" t="s">
        <v>2276</v>
      </c>
      <c r="X1218" s="3" t="s">
        <v>2276</v>
      </c>
      <c r="Y1218" s="3" t="s">
        <v>2276</v>
      </c>
      <c r="Z1218" s="3" t="s">
        <v>405</v>
      </c>
      <c r="AA1218" s="3" t="s">
        <v>68</v>
      </c>
      <c r="AB1218" s="3" t="s">
        <v>64</v>
      </c>
      <c r="AC1218" s="4" t="s">
        <v>3689</v>
      </c>
      <c r="AD1218" s="4" t="s">
        <v>3691</v>
      </c>
    </row>
    <row r="1219" spans="1:30" ht="89.5" customHeight="1">
      <c r="A1219" s="3" t="s">
        <v>3664</v>
      </c>
      <c r="B1219" s="3" t="s">
        <v>3684</v>
      </c>
      <c r="C1219" s="3" t="s">
        <v>24</v>
      </c>
      <c r="D1219" s="3" t="s">
        <v>2346</v>
      </c>
      <c r="E1219" s="3" t="s">
        <v>2276</v>
      </c>
      <c r="F1219" s="4" t="s">
        <v>2663</v>
      </c>
      <c r="G1219" s="3" t="s">
        <v>2276</v>
      </c>
      <c r="H1219" s="3" t="s">
        <v>523</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34</v>
      </c>
      <c r="AA1219" s="3" t="s">
        <v>35</v>
      </c>
      <c r="AB1219" s="3" t="s">
        <v>64</v>
      </c>
      <c r="AC1219" s="4" t="s">
        <v>3675</v>
      </c>
      <c r="AD1219" s="3"/>
    </row>
    <row r="1220" spans="1:30" ht="89.5" customHeight="1">
      <c r="A1220" s="3" t="s">
        <v>3664</v>
      </c>
      <c r="B1220" s="3" t="s">
        <v>3685</v>
      </c>
      <c r="C1220" s="3" t="s">
        <v>24</v>
      </c>
      <c r="D1220" s="3" t="s">
        <v>25</v>
      </c>
      <c r="E1220" s="3" t="s">
        <v>45</v>
      </c>
      <c r="F1220" s="4" t="s">
        <v>29</v>
      </c>
      <c r="G1220" s="3" t="s">
        <v>2276</v>
      </c>
      <c r="H1220" s="3" t="s">
        <v>523</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34</v>
      </c>
      <c r="AA1220" s="3" t="s">
        <v>35</v>
      </c>
      <c r="AB1220" s="3" t="s">
        <v>64</v>
      </c>
      <c r="AC1220" s="3"/>
      <c r="AD1220" s="3"/>
    </row>
    <row r="1221" spans="1:30" ht="89.5" customHeight="1">
      <c r="A1221" s="3" t="s">
        <v>3664</v>
      </c>
      <c r="B1221" s="3" t="s">
        <v>3686</v>
      </c>
      <c r="C1221" s="3" t="s">
        <v>24</v>
      </c>
      <c r="D1221" s="3" t="s">
        <v>1242</v>
      </c>
      <c r="E1221" s="3" t="s">
        <v>2276</v>
      </c>
      <c r="F1221" s="4" t="s">
        <v>2276</v>
      </c>
      <c r="G1221" s="3" t="s">
        <v>2276</v>
      </c>
      <c r="H1221" s="3" t="s">
        <v>523</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34</v>
      </c>
      <c r="AA1221" s="3" t="s">
        <v>35</v>
      </c>
      <c r="AB1221" s="3" t="s">
        <v>64</v>
      </c>
      <c r="AC1221" s="3"/>
      <c r="AD1221" s="3"/>
    </row>
    <row r="1222" spans="1:30" ht="89.5" customHeight="1">
      <c r="A1222" s="3" t="s">
        <v>3664</v>
      </c>
      <c r="B1222" s="3" t="s">
        <v>3687</v>
      </c>
      <c r="C1222" s="3" t="s">
        <v>2458</v>
      </c>
      <c r="D1222" s="3" t="s">
        <v>2994</v>
      </c>
      <c r="E1222" s="3" t="s">
        <v>2652</v>
      </c>
      <c r="F1222" s="4" t="s">
        <v>2276</v>
      </c>
      <c r="G1222" s="3" t="s">
        <v>2276</v>
      </c>
      <c r="H1222" s="3" t="s">
        <v>523</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34</v>
      </c>
      <c r="AA1222" s="3" t="s">
        <v>35</v>
      </c>
      <c r="AB1222" s="3" t="s">
        <v>64</v>
      </c>
      <c r="AC1222" s="3" t="s">
        <v>3680</v>
      </c>
      <c r="AD1222" s="3"/>
    </row>
    <row r="1223" spans="1:30" ht="89.5" customHeight="1">
      <c r="A1223" s="3" t="s">
        <v>3664</v>
      </c>
      <c r="B1223" s="3" t="s">
        <v>3688</v>
      </c>
      <c r="C1223" s="3" t="s">
        <v>31</v>
      </c>
      <c r="D1223" s="3" t="s">
        <v>2276</v>
      </c>
      <c r="E1223" s="3" t="s">
        <v>2653</v>
      </c>
      <c r="F1223" s="4" t="s">
        <v>2276</v>
      </c>
      <c r="G1223" s="3" t="s">
        <v>2276</v>
      </c>
      <c r="H1223" s="3" t="s">
        <v>523</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34</v>
      </c>
      <c r="AA1223" s="3" t="s">
        <v>35</v>
      </c>
      <c r="AB1223" s="3" t="s">
        <v>64</v>
      </c>
      <c r="AC1223" s="4" t="s">
        <v>3681</v>
      </c>
      <c r="AD1223" s="3"/>
    </row>
    <row r="1224" spans="1:30" ht="109.5" customHeight="1">
      <c r="A1224" s="3" t="s">
        <v>3666</v>
      </c>
      <c r="B1224" s="3" t="s">
        <v>3667</v>
      </c>
      <c r="C1224" s="3" t="s">
        <v>24</v>
      </c>
      <c r="D1224" s="3" t="s">
        <v>27</v>
      </c>
      <c r="E1224" s="3"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3" t="s">
        <v>2276</v>
      </c>
      <c r="Z1224" s="3" t="s">
        <v>2276</v>
      </c>
      <c r="AA1224" s="3" t="s">
        <v>2276</v>
      </c>
      <c r="AB1224" s="3" t="s">
        <v>2276</v>
      </c>
      <c r="AC1224" s="4" t="s">
        <v>3668</v>
      </c>
      <c r="AD1224" s="3"/>
    </row>
    <row r="1225" spans="1:30" ht="42.5" customHeight="1">
      <c r="A1225" s="11" t="s">
        <v>3700</v>
      </c>
      <c r="B1225" s="11" t="s">
        <v>3711</v>
      </c>
      <c r="C1225" s="3" t="s">
        <v>1105</v>
      </c>
      <c r="D1225" s="3" t="s">
        <v>1105</v>
      </c>
      <c r="E1225" s="3"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3" t="s">
        <v>2276</v>
      </c>
      <c r="Z1225" s="3" t="s">
        <v>2276</v>
      </c>
      <c r="AA1225" s="3" t="s">
        <v>2276</v>
      </c>
      <c r="AB1225" s="3" t="s">
        <v>2276</v>
      </c>
      <c r="AC1225" s="4" t="s">
        <v>3707</v>
      </c>
      <c r="AD1225" s="3"/>
    </row>
    <row r="1226" spans="1:30" ht="42.5" customHeight="1">
      <c r="A1226" s="11" t="s">
        <v>3700</v>
      </c>
      <c r="B1226" s="11" t="s">
        <v>3709</v>
      </c>
      <c r="C1226" s="3" t="s">
        <v>1105</v>
      </c>
      <c r="D1226" s="3" t="s">
        <v>1105</v>
      </c>
      <c r="E1226" s="3" t="s">
        <v>1105</v>
      </c>
      <c r="F1226" s="4" t="s">
        <v>2276</v>
      </c>
      <c r="G1226" s="3" t="s">
        <v>55</v>
      </c>
      <c r="H1226" s="3" t="s">
        <v>523</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3" t="s">
        <v>2276</v>
      </c>
      <c r="AB1226" s="3" t="s">
        <v>2276</v>
      </c>
      <c r="AC1226" s="4" t="s">
        <v>3708</v>
      </c>
      <c r="AD1226" s="3"/>
    </row>
    <row r="1227" spans="1:30" ht="41" customHeight="1">
      <c r="A1227" s="11" t="s">
        <v>3700</v>
      </c>
      <c r="B1227" s="11" t="s">
        <v>3712</v>
      </c>
      <c r="C1227" s="3" t="s">
        <v>1105</v>
      </c>
      <c r="D1227" s="3" t="s">
        <v>2276</v>
      </c>
      <c r="E1227" s="3" t="s">
        <v>1105</v>
      </c>
      <c r="F1227" s="4" t="s">
        <v>2276</v>
      </c>
      <c r="G1227" s="3"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3" t="s">
        <v>2276</v>
      </c>
      <c r="Z1227" s="3" t="s">
        <v>2276</v>
      </c>
      <c r="AA1227" s="3" t="s">
        <v>2276</v>
      </c>
      <c r="AB1227" s="3" t="s">
        <v>2276</v>
      </c>
      <c r="AC1227" s="4" t="s">
        <v>3707</v>
      </c>
      <c r="AD1227" s="3"/>
    </row>
    <row r="1228" spans="1:30" ht="42.5" customHeight="1">
      <c r="A1228" s="11" t="s">
        <v>3701</v>
      </c>
      <c r="B1228" s="11" t="s">
        <v>3710</v>
      </c>
      <c r="C1228" s="3" t="s">
        <v>1105</v>
      </c>
      <c r="D1228" s="3" t="s">
        <v>2276</v>
      </c>
      <c r="E1228" s="3" t="s">
        <v>1105</v>
      </c>
      <c r="F1228" s="4" t="s">
        <v>2276</v>
      </c>
      <c r="G1228" s="3" t="s">
        <v>2276</v>
      </c>
      <c r="H1228" s="3" t="s">
        <v>523</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3" t="s">
        <v>2276</v>
      </c>
      <c r="AB1228" s="3" t="s">
        <v>2276</v>
      </c>
      <c r="AC1228" s="4" t="s">
        <v>3708</v>
      </c>
      <c r="AD1228" s="3"/>
    </row>
    <row r="1229" spans="1:30" ht="32" customHeight="1">
      <c r="A1229" s="11" t="s">
        <v>3716</v>
      </c>
      <c r="B1229" s="11" t="s">
        <v>3720</v>
      </c>
      <c r="C1229" s="3" t="s">
        <v>24</v>
      </c>
      <c r="D1229" s="3" t="s">
        <v>1242</v>
      </c>
      <c r="E1229" s="3" t="s">
        <v>116</v>
      </c>
      <c r="F1229" s="4" t="s">
        <v>2662</v>
      </c>
      <c r="G1229" s="3" t="s">
        <v>2276</v>
      </c>
      <c r="H1229" s="3" t="s">
        <v>523</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38</v>
      </c>
      <c r="AA1229" s="3" t="s">
        <v>34</v>
      </c>
      <c r="AB1229" s="3"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38</v>
      </c>
      <c r="AA1230" s="3" t="s">
        <v>68</v>
      </c>
      <c r="AB1230" s="3"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38</v>
      </c>
      <c r="AA1231" s="3" t="s">
        <v>68</v>
      </c>
      <c r="AB1231" s="3"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405</v>
      </c>
      <c r="AA1232" s="3" t="s">
        <v>68</v>
      </c>
      <c r="AB1232" s="3"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38</v>
      </c>
      <c r="AA1233" s="3" t="s">
        <v>68</v>
      </c>
      <c r="AB1233" s="3"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86</v>
      </c>
      <c r="AA1234" s="3" t="s">
        <v>425</v>
      </c>
      <c r="AB1234" s="3"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34</v>
      </c>
      <c r="AA1235" s="3" t="s">
        <v>425</v>
      </c>
      <c r="AB1235" s="3"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38</v>
      </c>
      <c r="AA1236" s="3" t="s">
        <v>68</v>
      </c>
      <c r="AB1236" s="3"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38</v>
      </c>
      <c r="AA1237" s="3" t="s">
        <v>68</v>
      </c>
      <c r="AB1237" s="3"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2276</v>
      </c>
      <c r="W1238" s="3" t="s">
        <v>2276</v>
      </c>
      <c r="X1238" s="3" t="s">
        <v>2276</v>
      </c>
      <c r="Y1238" s="3" t="s">
        <v>2276</v>
      </c>
      <c r="Z1238" s="3" t="s">
        <v>38</v>
      </c>
      <c r="AA1238" s="3" t="s">
        <v>68</v>
      </c>
      <c r="AB1238" s="3"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2276</v>
      </c>
      <c r="W1239" s="3" t="s">
        <v>2276</v>
      </c>
      <c r="X1239" s="3" t="s">
        <v>2276</v>
      </c>
      <c r="Y1239" s="3" t="s">
        <v>2276</v>
      </c>
      <c r="Z1239" s="3" t="s">
        <v>38</v>
      </c>
      <c r="AA1239" s="3" t="s">
        <v>68</v>
      </c>
      <c r="AB1239" s="3"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3" t="s">
        <v>2276</v>
      </c>
      <c r="N1240" s="3" t="s">
        <v>2276</v>
      </c>
      <c r="O1240" s="3" t="s">
        <v>2276</v>
      </c>
      <c r="P1240" s="3" t="s">
        <v>2276</v>
      </c>
      <c r="Q1240" s="3" t="s">
        <v>2276</v>
      </c>
      <c r="R1240" s="3" t="s">
        <v>2276</v>
      </c>
      <c r="S1240" s="3" t="s">
        <v>2276</v>
      </c>
      <c r="T1240" s="3" t="s">
        <v>2276</v>
      </c>
      <c r="U1240" s="3" t="s">
        <v>2276</v>
      </c>
      <c r="V1240" s="3" t="s">
        <v>2276</v>
      </c>
      <c r="W1240" s="3" t="s">
        <v>2276</v>
      </c>
      <c r="X1240" s="3" t="s">
        <v>2276</v>
      </c>
      <c r="Y1240" s="3" t="s">
        <v>2276</v>
      </c>
      <c r="Z1240" s="3" t="s">
        <v>68</v>
      </c>
      <c r="AA1240" s="3" t="s">
        <v>188</v>
      </c>
      <c r="AB1240" s="3"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3" t="s">
        <v>2276</v>
      </c>
      <c r="N1241" s="3" t="s">
        <v>2276</v>
      </c>
      <c r="O1241" s="3" t="s">
        <v>2276</v>
      </c>
      <c r="P1241" s="3" t="s">
        <v>2276</v>
      </c>
      <c r="Q1241" s="3" t="s">
        <v>2276</v>
      </c>
      <c r="R1241" s="3" t="s">
        <v>2276</v>
      </c>
      <c r="S1241" s="3" t="s">
        <v>2276</v>
      </c>
      <c r="T1241" s="3" t="s">
        <v>2276</v>
      </c>
      <c r="U1241" s="3" t="s">
        <v>2276</v>
      </c>
      <c r="V1241" s="3" t="s">
        <v>2276</v>
      </c>
      <c r="W1241" s="3" t="s">
        <v>2276</v>
      </c>
      <c r="X1241" s="3" t="s">
        <v>2276</v>
      </c>
      <c r="Y1241" s="3"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3" t="s">
        <v>2276</v>
      </c>
      <c r="N1242" s="3" t="s">
        <v>2276</v>
      </c>
      <c r="O1242" s="3" t="s">
        <v>2276</v>
      </c>
      <c r="P1242" s="3" t="s">
        <v>2276</v>
      </c>
      <c r="Q1242" s="3" t="s">
        <v>2276</v>
      </c>
      <c r="R1242" s="3" t="s">
        <v>2276</v>
      </c>
      <c r="S1242" s="3" t="s">
        <v>2276</v>
      </c>
      <c r="T1242" s="3" t="s">
        <v>2276</v>
      </c>
      <c r="U1242" s="3" t="s">
        <v>2276</v>
      </c>
      <c r="V1242" s="3" t="s">
        <v>2276</v>
      </c>
      <c r="W1242" s="3" t="s">
        <v>2276</v>
      </c>
      <c r="X1242" s="3" t="s">
        <v>2276</v>
      </c>
      <c r="Y1242" s="1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3" t="s">
        <v>2276</v>
      </c>
      <c r="Z1243" s="3" t="s">
        <v>2276</v>
      </c>
      <c r="AA1243" s="3" t="s">
        <v>2276</v>
      </c>
      <c r="AB1243" s="3"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3" t="s">
        <v>2276</v>
      </c>
      <c r="Z1244" s="3" t="s">
        <v>2276</v>
      </c>
      <c r="AA1244" s="3" t="s">
        <v>2276</v>
      </c>
      <c r="AB1244" s="3"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3" t="s">
        <v>2276</v>
      </c>
      <c r="AA1245" s="3" t="s">
        <v>2276</v>
      </c>
      <c r="AB1245" s="3"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3" t="s">
        <v>2276</v>
      </c>
      <c r="AA1246" s="3" t="s">
        <v>2276</v>
      </c>
      <c r="AB1246" s="3"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3" t="s">
        <v>2276</v>
      </c>
      <c r="AA1247" s="3" t="s">
        <v>2276</v>
      </c>
      <c r="AB1247" s="3"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3" t="s">
        <v>2276</v>
      </c>
      <c r="AA1248" s="3" t="s">
        <v>2276</v>
      </c>
      <c r="AB1248" s="3"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3" t="s">
        <v>2276</v>
      </c>
      <c r="AA1249" s="3" t="s">
        <v>2276</v>
      </c>
      <c r="AB1249" s="3"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3" t="s">
        <v>2276</v>
      </c>
      <c r="AA1250" s="3" t="s">
        <v>2276</v>
      </c>
      <c r="AB1250" s="3"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t="s">
        <v>2276</v>
      </c>
      <c r="AB1251" s="3" t="s">
        <v>2276</v>
      </c>
      <c r="AC1251" s="3"/>
      <c r="AD1251" s="3"/>
    </row>
    <row r="1252" spans="1:30" ht="47" customHeight="1">
      <c r="A1252" s="11" t="s">
        <v>3758</v>
      </c>
      <c r="B1252" s="11" t="s">
        <v>3766</v>
      </c>
      <c r="C1252" s="3" t="s">
        <v>24</v>
      </c>
      <c r="D1252" s="3" t="s">
        <v>27</v>
      </c>
      <c r="E1252" s="3" t="s">
        <v>130</v>
      </c>
      <c r="F1252" s="4" t="s">
        <v>161</v>
      </c>
      <c r="G1252" s="3" t="s">
        <v>2276</v>
      </c>
      <c r="H1252" s="3" t="s">
        <v>523</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t="s">
        <v>2276</v>
      </c>
      <c r="AB1252" s="3" t="s">
        <v>2276</v>
      </c>
      <c r="AC1252" s="3"/>
      <c r="AD1252" s="3"/>
    </row>
    <row r="1253" spans="1:30" ht="51" customHeight="1">
      <c r="A1253" s="11" t="s">
        <v>3769</v>
      </c>
      <c r="B1253" s="11" t="s">
        <v>3774</v>
      </c>
      <c r="C1253" s="3" t="s">
        <v>24</v>
      </c>
      <c r="D1253" s="3" t="s">
        <v>25</v>
      </c>
      <c r="E1253" s="3" t="s">
        <v>45</v>
      </c>
      <c r="F1253" s="4" t="s">
        <v>29</v>
      </c>
      <c r="G1253" s="3" t="s">
        <v>2276</v>
      </c>
      <c r="H1253" s="3" t="s">
        <v>523</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2276</v>
      </c>
      <c r="X1253" s="3" t="s">
        <v>2276</v>
      </c>
      <c r="Y1253" s="3" t="s">
        <v>2276</v>
      </c>
      <c r="Z1253" s="3" t="s">
        <v>2276</v>
      </c>
      <c r="AA1253" s="3" t="s">
        <v>2276</v>
      </c>
      <c r="AB1253" s="3" t="s">
        <v>2276</v>
      </c>
      <c r="AC1253" s="4"/>
      <c r="AD1253" s="4" t="s">
        <v>3777</v>
      </c>
    </row>
    <row r="1254" spans="1:30" ht="42" customHeight="1">
      <c r="A1254" s="11" t="s">
        <v>3769</v>
      </c>
      <c r="B1254" s="11" t="s">
        <v>3775</v>
      </c>
      <c r="C1254" s="3" t="s">
        <v>24</v>
      </c>
      <c r="D1254" s="3" t="s">
        <v>1245</v>
      </c>
      <c r="E1254" s="3" t="s">
        <v>116</v>
      </c>
      <c r="F1254" s="4" t="s">
        <v>55</v>
      </c>
      <c r="G1254" s="3" t="s">
        <v>2276</v>
      </c>
      <c r="H1254" s="3" t="s">
        <v>523</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3" t="s">
        <v>2276</v>
      </c>
      <c r="AB1254" s="3" t="s">
        <v>2276</v>
      </c>
      <c r="AC1254" s="4" t="s">
        <v>3778</v>
      </c>
      <c r="AD1254" s="3"/>
    </row>
    <row r="1255" spans="1:30" ht="55.5" customHeight="1">
      <c r="A1255" s="11" t="s">
        <v>3769</v>
      </c>
      <c r="B1255" s="11" t="s">
        <v>3776</v>
      </c>
      <c r="C1255" s="3" t="s">
        <v>24</v>
      </c>
      <c r="D1255" s="3" t="s">
        <v>144</v>
      </c>
      <c r="E1255" s="3" t="s">
        <v>137</v>
      </c>
      <c r="F1255" s="4" t="s">
        <v>55</v>
      </c>
      <c r="G1255" s="3" t="s">
        <v>2276</v>
      </c>
      <c r="H1255" s="3" t="s">
        <v>523</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3" t="s">
        <v>2276</v>
      </c>
      <c r="AB1255" s="3" t="s">
        <v>2276</v>
      </c>
      <c r="AC1255" s="4" t="s">
        <v>3779</v>
      </c>
      <c r="AD1255" s="3"/>
    </row>
    <row r="1256" spans="1:30" ht="40.5" customHeight="1">
      <c r="A1256" s="11" t="s">
        <v>3783</v>
      </c>
      <c r="B1256" s="11" t="s">
        <v>3786</v>
      </c>
      <c r="C1256" s="3" t="s">
        <v>24</v>
      </c>
      <c r="D1256" s="3" t="s">
        <v>25</v>
      </c>
      <c r="E1256" s="3" t="s">
        <v>45</v>
      </c>
      <c r="F1256" s="4" t="s">
        <v>29</v>
      </c>
      <c r="G1256" s="3" t="s">
        <v>2276</v>
      </c>
      <c r="H1256" s="3" t="s">
        <v>523</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2276</v>
      </c>
      <c r="Y1256" s="3" t="s">
        <v>2276</v>
      </c>
      <c r="Z1256" s="3" t="s">
        <v>399</v>
      </c>
      <c r="AA1256" s="3" t="s">
        <v>127</v>
      </c>
      <c r="AB1256" s="3" t="s">
        <v>2312</v>
      </c>
      <c r="AC1256" s="4" t="s">
        <v>3787</v>
      </c>
      <c r="AD1256" s="3"/>
    </row>
    <row r="1257" spans="1:30" ht="40" customHeight="1">
      <c r="A1257" s="11" t="s">
        <v>3783</v>
      </c>
      <c r="B1257" s="11" t="s">
        <v>3788</v>
      </c>
      <c r="C1257" s="3" t="s">
        <v>24</v>
      </c>
      <c r="D1257" s="3" t="s">
        <v>27</v>
      </c>
      <c r="E1257" s="3" t="s">
        <v>130</v>
      </c>
      <c r="F1257" s="4" t="s">
        <v>2276</v>
      </c>
      <c r="G1257" s="3" t="s">
        <v>2276</v>
      </c>
      <c r="H1257" s="3" t="s">
        <v>523</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3" t="s">
        <v>2276</v>
      </c>
      <c r="AB1257" s="3" t="s">
        <v>2276</v>
      </c>
      <c r="AC1257" s="4"/>
      <c r="AD1257" s="3"/>
    </row>
    <row r="1258" spans="1:30" ht="40" customHeight="1">
      <c r="A1258" s="11" t="s">
        <v>3783</v>
      </c>
      <c r="B1258" s="11" t="s">
        <v>3789</v>
      </c>
      <c r="C1258" s="3" t="s">
        <v>24</v>
      </c>
      <c r="D1258" s="3" t="s">
        <v>1242</v>
      </c>
      <c r="E1258" s="3" t="s">
        <v>1105</v>
      </c>
      <c r="F1258" s="4" t="s">
        <v>55</v>
      </c>
      <c r="G1258" s="3" t="s">
        <v>2276</v>
      </c>
      <c r="H1258" s="3" t="s">
        <v>523</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3" t="s">
        <v>2276</v>
      </c>
      <c r="AB1258" s="3" t="s">
        <v>2276</v>
      </c>
      <c r="AC1258" s="4"/>
      <c r="AD1258" s="3"/>
    </row>
    <row r="1259" spans="1:30" ht="43" customHeight="1">
      <c r="A1259" s="11" t="s">
        <v>3783</v>
      </c>
      <c r="B1259" s="11" t="s">
        <v>3790</v>
      </c>
      <c r="C1259" s="3" t="s">
        <v>24</v>
      </c>
      <c r="D1259" s="3" t="s">
        <v>26</v>
      </c>
      <c r="E1259" s="3" t="s">
        <v>45</v>
      </c>
      <c r="F1259" s="4" t="s">
        <v>29</v>
      </c>
      <c r="G1259" s="3" t="s">
        <v>2276</v>
      </c>
      <c r="H1259" s="3" t="s">
        <v>523</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2276</v>
      </c>
      <c r="Y1259" s="3" t="s">
        <v>2276</v>
      </c>
      <c r="Z1259" s="3" t="s">
        <v>34</v>
      </c>
      <c r="AA1259" s="3" t="s">
        <v>405</v>
      </c>
      <c r="AB1259" s="3" t="s">
        <v>64</v>
      </c>
      <c r="AC1259" s="4" t="s">
        <v>3791</v>
      </c>
      <c r="AD1259" s="3"/>
    </row>
    <row r="1260" spans="1:30" ht="38" customHeight="1">
      <c r="A1260" s="11" t="s">
        <v>3783</v>
      </c>
      <c r="B1260" s="11" t="s">
        <v>3793</v>
      </c>
      <c r="C1260" s="3" t="s">
        <v>24</v>
      </c>
      <c r="D1260" s="3" t="s">
        <v>1245</v>
      </c>
      <c r="E1260" s="3" t="s">
        <v>116</v>
      </c>
      <c r="F1260" s="4" t="s">
        <v>55</v>
      </c>
      <c r="G1260" s="3" t="s">
        <v>2276</v>
      </c>
      <c r="H1260" s="3" t="s">
        <v>523</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3" t="s">
        <v>2276</v>
      </c>
      <c r="AB1260" s="3" t="s">
        <v>2276</v>
      </c>
      <c r="AC1260" s="4" t="s">
        <v>3778</v>
      </c>
      <c r="AD1260" s="3"/>
    </row>
    <row r="1261" spans="1:30" ht="54.5" customHeight="1">
      <c r="A1261" s="11" t="s">
        <v>3783</v>
      </c>
      <c r="B1261" s="11" t="s">
        <v>3794</v>
      </c>
      <c r="C1261" s="3" t="s">
        <v>24</v>
      </c>
      <c r="D1261" s="3" t="s">
        <v>144</v>
      </c>
      <c r="E1261" s="3" t="s">
        <v>137</v>
      </c>
      <c r="F1261" s="4" t="s">
        <v>55</v>
      </c>
      <c r="G1261" s="3" t="s">
        <v>2276</v>
      </c>
      <c r="H1261" s="3" t="s">
        <v>523</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3" t="s">
        <v>2276</v>
      </c>
      <c r="AB1261" s="3" t="s">
        <v>2276</v>
      </c>
      <c r="AC1261" s="4" t="s">
        <v>3779</v>
      </c>
      <c r="AD1261" s="3"/>
    </row>
    <row r="1262" spans="1:30" ht="73" customHeight="1">
      <c r="A1262" s="11" t="s">
        <v>3797</v>
      </c>
      <c r="B1262" s="11" t="s">
        <v>3801</v>
      </c>
      <c r="C1262" s="3" t="s">
        <v>24</v>
      </c>
      <c r="D1262" s="3" t="s">
        <v>1242</v>
      </c>
      <c r="E1262" s="3" t="s">
        <v>1105</v>
      </c>
      <c r="F1262" s="4" t="s">
        <v>2662</v>
      </c>
      <c r="G1262" s="3" t="s">
        <v>2276</v>
      </c>
      <c r="H1262" s="3" t="s">
        <v>523</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2276</v>
      </c>
      <c r="X1262" s="3" t="s">
        <v>2276</v>
      </c>
      <c r="Y1262" s="3" t="s">
        <v>2276</v>
      </c>
      <c r="Z1262" s="3" t="s">
        <v>68</v>
      </c>
      <c r="AA1262" s="3" t="s">
        <v>35</v>
      </c>
      <c r="AB1262" s="3" t="s">
        <v>64</v>
      </c>
      <c r="AC1262" s="4" t="s">
        <v>3814</v>
      </c>
      <c r="AD1262" s="3"/>
    </row>
    <row r="1263" spans="1:30" ht="67.5" customHeight="1">
      <c r="A1263" s="11" t="s">
        <v>3797</v>
      </c>
      <c r="B1263" s="11" t="s">
        <v>3802</v>
      </c>
      <c r="C1263" s="3" t="s">
        <v>24</v>
      </c>
      <c r="D1263" s="3" t="s">
        <v>27</v>
      </c>
      <c r="E1263" s="3" t="s">
        <v>130</v>
      </c>
      <c r="F1263" s="4" t="s">
        <v>161</v>
      </c>
      <c r="G1263" s="3" t="s">
        <v>2276</v>
      </c>
      <c r="H1263" s="3" t="s">
        <v>523</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2276</v>
      </c>
      <c r="Y1263" s="3"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3" t="s">
        <v>2276</v>
      </c>
      <c r="H1264" s="3" t="s">
        <v>523</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2276</v>
      </c>
      <c r="X1264" s="3" t="s">
        <v>2276</v>
      </c>
      <c r="Y1264" s="3" t="s">
        <v>2276</v>
      </c>
      <c r="Z1264" s="3" t="s">
        <v>38</v>
      </c>
      <c r="AA1264" s="3" t="s">
        <v>86</v>
      </c>
      <c r="AB1264" s="3" t="s">
        <v>64</v>
      </c>
      <c r="AC1264" s="4" t="s">
        <v>3813</v>
      </c>
      <c r="AD1264" s="3"/>
    </row>
    <row r="1265" spans="1:30" ht="46.5" customHeight="1">
      <c r="A1265" s="19" t="s">
        <v>3797</v>
      </c>
      <c r="B1265" s="11" t="s">
        <v>3805</v>
      </c>
      <c r="C1265" s="4" t="s">
        <v>24</v>
      </c>
      <c r="D1265" s="4" t="s">
        <v>25</v>
      </c>
      <c r="E1265" s="4" t="s">
        <v>45</v>
      </c>
      <c r="F1265" s="4" t="s">
        <v>2662</v>
      </c>
      <c r="G1265" s="3" t="s">
        <v>2276</v>
      </c>
      <c r="H1265" s="3" t="s">
        <v>523</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t="s">
        <v>2276</v>
      </c>
      <c r="AB1265" s="3" t="s">
        <v>2276</v>
      </c>
      <c r="AC1265" s="3"/>
      <c r="AD1265" s="3"/>
    </row>
    <row r="1266" spans="1:30" ht="47.5" customHeight="1">
      <c r="A1266" s="19" t="s">
        <v>3797</v>
      </c>
      <c r="B1266" s="11" t="s">
        <v>3806</v>
      </c>
      <c r="C1266" s="4" t="s">
        <v>24</v>
      </c>
      <c r="D1266" s="4" t="s">
        <v>1245</v>
      </c>
      <c r="E1266" s="4" t="s">
        <v>116</v>
      </c>
      <c r="F1266" s="4" t="s">
        <v>2662</v>
      </c>
      <c r="G1266" s="3" t="s">
        <v>2276</v>
      </c>
      <c r="H1266" s="3" t="s">
        <v>523</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t="s">
        <v>2276</v>
      </c>
      <c r="AB1266" s="3" t="s">
        <v>2276</v>
      </c>
      <c r="AC1266" s="3"/>
      <c r="AD1266" s="3"/>
    </row>
    <row r="1267" spans="1:30" ht="41.5" customHeight="1">
      <c r="A1267" s="19" t="s">
        <v>3797</v>
      </c>
      <c r="B1267" s="11" t="s">
        <v>3809</v>
      </c>
      <c r="C1267" s="3" t="s">
        <v>2658</v>
      </c>
      <c r="D1267" s="3" t="s">
        <v>2276</v>
      </c>
      <c r="E1267" s="3" t="s">
        <v>2276</v>
      </c>
      <c r="F1267" s="4" t="s">
        <v>74</v>
      </c>
      <c r="G1267" s="3" t="s">
        <v>74</v>
      </c>
      <c r="H1267" s="3" t="s">
        <v>523</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2276</v>
      </c>
      <c r="Y1267" s="3" t="s">
        <v>2276</v>
      </c>
      <c r="Z1267" s="3" t="s">
        <v>68</v>
      </c>
      <c r="AA1267" s="3" t="s">
        <v>38</v>
      </c>
      <c r="AB1267" s="3" t="s">
        <v>76</v>
      </c>
      <c r="AC1267" s="3"/>
      <c r="AD1267" s="4" t="s">
        <v>3807</v>
      </c>
    </row>
    <row r="1268" spans="1:30" ht="37" customHeight="1">
      <c r="A1268" s="19" t="s">
        <v>3816</v>
      </c>
      <c r="B1268" s="11" t="s">
        <v>3818</v>
      </c>
      <c r="C1268" s="3" t="s">
        <v>24</v>
      </c>
      <c r="D1268" s="3" t="s">
        <v>1242</v>
      </c>
      <c r="E1268" s="3" t="s">
        <v>1105</v>
      </c>
      <c r="F1268" s="4" t="s">
        <v>2662</v>
      </c>
      <c r="G1268" s="3" t="s">
        <v>2276</v>
      </c>
      <c r="H1268" s="3" t="s">
        <v>523</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2276</v>
      </c>
      <c r="W1268" s="3" t="s">
        <v>2276</v>
      </c>
      <c r="X1268" s="3" t="s">
        <v>2276</v>
      </c>
      <c r="Y1268" s="3" t="s">
        <v>2276</v>
      </c>
      <c r="Z1268" s="3" t="s">
        <v>68</v>
      </c>
      <c r="AA1268" s="3" t="s">
        <v>127</v>
      </c>
      <c r="AB1268" s="3" t="s">
        <v>64</v>
      </c>
      <c r="AC1268" s="3"/>
      <c r="AD1268" s="3"/>
    </row>
    <row r="1269" spans="1:30" ht="37" customHeight="1">
      <c r="A1269" s="19" t="s">
        <v>3816</v>
      </c>
      <c r="B1269" s="11" t="s">
        <v>3819</v>
      </c>
      <c r="C1269" s="4" t="s">
        <v>24</v>
      </c>
      <c r="D1269" s="4" t="s">
        <v>25</v>
      </c>
      <c r="E1269" s="4" t="s">
        <v>45</v>
      </c>
      <c r="F1269" s="4" t="s">
        <v>2662</v>
      </c>
      <c r="G1269" s="3" t="s">
        <v>2276</v>
      </c>
      <c r="H1269" s="3" t="s">
        <v>523</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2276</v>
      </c>
      <c r="W1269" s="3" t="s">
        <v>2276</v>
      </c>
      <c r="X1269" s="3" t="s">
        <v>2276</v>
      </c>
      <c r="Y1269" s="3" t="s">
        <v>2276</v>
      </c>
      <c r="Z1269" s="3" t="s">
        <v>68</v>
      </c>
      <c r="AA1269" s="3" t="s">
        <v>127</v>
      </c>
      <c r="AB1269" s="3" t="s">
        <v>64</v>
      </c>
      <c r="AC1269" s="3"/>
      <c r="AD1269" s="3"/>
    </row>
    <row r="1270" spans="1:30" ht="37" customHeight="1">
      <c r="A1270" s="19" t="s">
        <v>3816</v>
      </c>
      <c r="B1270" s="11" t="s">
        <v>3820</v>
      </c>
      <c r="C1270" s="4" t="s">
        <v>24</v>
      </c>
      <c r="D1270" s="4" t="s">
        <v>26</v>
      </c>
      <c r="E1270" s="4" t="s">
        <v>1105</v>
      </c>
      <c r="F1270" s="4" t="s">
        <v>2662</v>
      </c>
      <c r="G1270" s="3" t="s">
        <v>2276</v>
      </c>
      <c r="H1270" s="3" t="s">
        <v>523</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2276</v>
      </c>
      <c r="W1270" s="3" t="s">
        <v>2276</v>
      </c>
      <c r="X1270" s="3" t="s">
        <v>2276</v>
      </c>
      <c r="Y1270" s="3" t="s">
        <v>2276</v>
      </c>
      <c r="Z1270" s="3" t="s">
        <v>68</v>
      </c>
      <c r="AA1270" s="3" t="s">
        <v>127</v>
      </c>
      <c r="AB1270" s="3" t="s">
        <v>64</v>
      </c>
      <c r="AC1270" s="3"/>
      <c r="AD1270" s="3"/>
    </row>
    <row r="1271" spans="1:30" ht="37" customHeight="1">
      <c r="A1271" s="19" t="s">
        <v>3816</v>
      </c>
      <c r="B1271" s="11" t="s">
        <v>3821</v>
      </c>
      <c r="C1271" s="4" t="s">
        <v>24</v>
      </c>
      <c r="D1271" s="4" t="s">
        <v>1245</v>
      </c>
      <c r="E1271" s="4" t="s">
        <v>116</v>
      </c>
      <c r="F1271" s="4" t="s">
        <v>2662</v>
      </c>
      <c r="G1271" s="3" t="s">
        <v>2276</v>
      </c>
      <c r="H1271" s="3" t="s">
        <v>523</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2276</v>
      </c>
      <c r="W1271" s="3" t="s">
        <v>2276</v>
      </c>
      <c r="X1271" s="3" t="s">
        <v>2276</v>
      </c>
      <c r="Y1271" s="3" t="s">
        <v>2276</v>
      </c>
      <c r="Z1271" s="3" t="s">
        <v>68</v>
      </c>
      <c r="AA1271" s="3" t="s">
        <v>127</v>
      </c>
      <c r="AB1271" s="3" t="s">
        <v>64</v>
      </c>
      <c r="AC1271" s="3"/>
      <c r="AD1271" s="3"/>
    </row>
    <row r="1272" spans="1:30" ht="32.5" customHeight="1">
      <c r="A1272" s="19" t="s">
        <v>3816</v>
      </c>
      <c r="B1272" s="11" t="s">
        <v>3822</v>
      </c>
      <c r="C1272" s="3" t="s">
        <v>24</v>
      </c>
      <c r="D1272" s="3" t="s">
        <v>27</v>
      </c>
      <c r="E1272" s="3" t="s">
        <v>130</v>
      </c>
      <c r="F1272" s="4" t="s">
        <v>161</v>
      </c>
      <c r="G1272" s="3" t="s">
        <v>2276</v>
      </c>
      <c r="H1272" s="3" t="s">
        <v>523</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2276</v>
      </c>
      <c r="W1272" s="3" t="s">
        <v>2276</v>
      </c>
      <c r="X1272" s="3" t="s">
        <v>2276</v>
      </c>
      <c r="Y1272" s="3" t="s">
        <v>2276</v>
      </c>
      <c r="Z1272" s="3" t="s">
        <v>127</v>
      </c>
      <c r="AA1272" s="3" t="s">
        <v>399</v>
      </c>
      <c r="AB1272" s="3" t="s">
        <v>64</v>
      </c>
      <c r="AC1272" s="3"/>
      <c r="AD1272" s="3"/>
    </row>
    <row r="1273" spans="1:30" ht="33.5" customHeight="1">
      <c r="A1273" s="19" t="s">
        <v>3816</v>
      </c>
      <c r="B1273" s="11" t="s">
        <v>3823</v>
      </c>
      <c r="C1273" s="4" t="s">
        <v>24</v>
      </c>
      <c r="D1273" s="4" t="s">
        <v>1242</v>
      </c>
      <c r="E1273" s="4" t="s">
        <v>130</v>
      </c>
      <c r="F1273" s="4" t="s">
        <v>161</v>
      </c>
      <c r="G1273" s="3" t="s">
        <v>2276</v>
      </c>
      <c r="H1273" s="3" t="s">
        <v>523</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2276</v>
      </c>
      <c r="W1273" s="3" t="s">
        <v>2276</v>
      </c>
      <c r="X1273" s="3" t="s">
        <v>2276</v>
      </c>
      <c r="Y1273" s="3" t="s">
        <v>2276</v>
      </c>
      <c r="Z1273" s="3" t="s">
        <v>127</v>
      </c>
      <c r="AA1273" s="3" t="s">
        <v>399</v>
      </c>
      <c r="AB1273" s="3" t="s">
        <v>64</v>
      </c>
      <c r="AC1273" s="3"/>
      <c r="AD1273" s="3"/>
    </row>
    <row r="1274" spans="1:30" ht="38" customHeight="1">
      <c r="A1274" s="19" t="s">
        <v>3816</v>
      </c>
      <c r="B1274" s="11" t="s">
        <v>3824</v>
      </c>
      <c r="C1274" s="3" t="s">
        <v>24</v>
      </c>
      <c r="D1274" s="3" t="s">
        <v>61</v>
      </c>
      <c r="E1274" s="3" t="s">
        <v>116</v>
      </c>
      <c r="F1274" s="4" t="s">
        <v>74</v>
      </c>
      <c r="G1274" s="3" t="s">
        <v>74</v>
      </c>
      <c r="H1274" s="3" t="s">
        <v>523</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2276</v>
      </c>
      <c r="W1274" s="3" t="s">
        <v>2276</v>
      </c>
      <c r="X1274" s="3" t="s">
        <v>2276</v>
      </c>
      <c r="Y1274" s="3" t="s">
        <v>2276</v>
      </c>
      <c r="Z1274" s="3" t="s">
        <v>399</v>
      </c>
      <c r="AA1274" s="3" t="s">
        <v>38</v>
      </c>
      <c r="AB1274" s="3" t="s">
        <v>64</v>
      </c>
      <c r="AC1274" s="3"/>
      <c r="AD1274" s="3"/>
    </row>
    <row r="1275" spans="1:30" ht="42" customHeight="1">
      <c r="A1275" s="19" t="s">
        <v>3816</v>
      </c>
      <c r="B1275" s="11" t="s">
        <v>3826</v>
      </c>
      <c r="C1275" s="3" t="s">
        <v>31</v>
      </c>
      <c r="D1275" s="3" t="s">
        <v>2276</v>
      </c>
      <c r="E1275" s="3" t="s">
        <v>1105</v>
      </c>
      <c r="F1275" s="4" t="s">
        <v>2276</v>
      </c>
      <c r="G1275" s="3" t="s">
        <v>74</v>
      </c>
      <c r="H1275" s="3" t="s">
        <v>523</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2276</v>
      </c>
      <c r="W1275" s="3" t="s">
        <v>2276</v>
      </c>
      <c r="X1275" s="3" t="s">
        <v>2276</v>
      </c>
      <c r="Y1275" s="3" t="s">
        <v>2276</v>
      </c>
      <c r="Z1275" s="3" t="s">
        <v>399</v>
      </c>
      <c r="AA1275" s="3" t="s">
        <v>38</v>
      </c>
      <c r="AB1275" s="3" t="s">
        <v>64</v>
      </c>
      <c r="AC1275" s="3"/>
      <c r="AD1275" s="3"/>
    </row>
    <row r="1276" spans="1:30" ht="41" customHeight="1">
      <c r="A1276" s="19" t="s">
        <v>3816</v>
      </c>
      <c r="B1276" s="11" t="s">
        <v>3827</v>
      </c>
      <c r="C1276" s="3" t="s">
        <v>24</v>
      </c>
      <c r="D1276" s="3" t="s">
        <v>27</v>
      </c>
      <c r="E1276" s="3" t="s">
        <v>130</v>
      </c>
      <c r="F1276" s="4" t="s">
        <v>74</v>
      </c>
      <c r="G1276" s="3" t="s">
        <v>2276</v>
      </c>
      <c r="H1276" s="3" t="s">
        <v>523</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2276</v>
      </c>
      <c r="W1276" s="3" t="s">
        <v>2276</v>
      </c>
      <c r="X1276" s="3" t="s">
        <v>2276</v>
      </c>
      <c r="Y1276" s="3" t="s">
        <v>2276</v>
      </c>
      <c r="Z1276" s="3" t="s">
        <v>188</v>
      </c>
      <c r="AA1276" s="3" t="s">
        <v>38</v>
      </c>
      <c r="AB1276" s="3" t="s">
        <v>64</v>
      </c>
      <c r="AC1276" s="3"/>
      <c r="AD1276" s="3"/>
    </row>
    <row r="1277" spans="1:30" ht="43.5" customHeight="1">
      <c r="A1277" s="19" t="s">
        <v>3832</v>
      </c>
      <c r="B1277" s="11" t="s">
        <v>3838</v>
      </c>
      <c r="C1277" s="3" t="s">
        <v>24</v>
      </c>
      <c r="D1277" s="3" t="s">
        <v>3476</v>
      </c>
      <c r="E1277" s="3"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3" t="s">
        <v>2276</v>
      </c>
      <c r="AA1277" s="3" t="s">
        <v>2276</v>
      </c>
      <c r="AB1277" s="3" t="s">
        <v>2276</v>
      </c>
      <c r="AC1277" s="3"/>
      <c r="AD1277" s="3"/>
    </row>
    <row r="1278" spans="1:30" ht="63.5" customHeight="1">
      <c r="A1278" s="19" t="s">
        <v>3841</v>
      </c>
      <c r="B1278" s="11" t="s">
        <v>3845</v>
      </c>
      <c r="C1278" s="3" t="s">
        <v>24</v>
      </c>
      <c r="D1278" s="3" t="s">
        <v>2804</v>
      </c>
      <c r="E1278" s="3" t="s">
        <v>5005</v>
      </c>
      <c r="F1278" s="4" t="s">
        <v>2662</v>
      </c>
      <c r="G1278" s="4" t="s">
        <v>2662</v>
      </c>
      <c r="H1278" s="3" t="s">
        <v>523</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2276</v>
      </c>
      <c r="X1278" s="3" t="s">
        <v>2276</v>
      </c>
      <c r="Y1278" s="3" t="s">
        <v>2276</v>
      </c>
      <c r="Z1278" s="3" t="s">
        <v>2276</v>
      </c>
      <c r="AA1278" s="3" t="s">
        <v>2276</v>
      </c>
      <c r="AB1278" s="3"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3" t="s">
        <v>2276</v>
      </c>
      <c r="AA1279" s="3" t="s">
        <v>2276</v>
      </c>
      <c r="AB1279" s="3"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3" t="s">
        <v>2276</v>
      </c>
      <c r="Z1280" s="3" t="s">
        <v>2276</v>
      </c>
      <c r="AA1280" s="3" t="s">
        <v>2276</v>
      </c>
      <c r="AB1280" s="3" t="s">
        <v>2276</v>
      </c>
      <c r="AC1280" s="24" t="s">
        <v>3858</v>
      </c>
      <c r="AD1280" s="24" t="s">
        <v>3899</v>
      </c>
    </row>
    <row r="1281" spans="1:30" ht="52.5" customHeight="1">
      <c r="A1281" s="19" t="s">
        <v>3861</v>
      </c>
      <c r="B1281" s="11" t="s">
        <v>3865</v>
      </c>
      <c r="C1281" s="3" t="s">
        <v>1105</v>
      </c>
      <c r="D1281" s="3" t="s">
        <v>1105</v>
      </c>
      <c r="E1281" s="3" t="s">
        <v>116</v>
      </c>
      <c r="F1281" s="4" t="s">
        <v>2276</v>
      </c>
      <c r="G1281" s="3" t="s">
        <v>2276</v>
      </c>
      <c r="H1281" s="3" t="s">
        <v>523</v>
      </c>
      <c r="I1281" s="3">
        <v>1992</v>
      </c>
      <c r="J1281" s="3" t="s">
        <v>2276</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2276</v>
      </c>
      <c r="Y1281" s="3" t="s">
        <v>2276</v>
      </c>
      <c r="Z1281" s="3" t="s">
        <v>399</v>
      </c>
      <c r="AA1281" s="3" t="s">
        <v>86</v>
      </c>
      <c r="AB1281" s="3"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3" t="s">
        <v>2276</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2276</v>
      </c>
      <c r="Y1282" s="3" t="s">
        <v>2276</v>
      </c>
      <c r="Z1282" s="3" t="s">
        <v>399</v>
      </c>
      <c r="AA1282" s="3" t="s">
        <v>86</v>
      </c>
      <c r="AB1282" s="3" t="s">
        <v>2276</v>
      </c>
      <c r="AC1282" s="4" t="s">
        <v>3866</v>
      </c>
      <c r="AD1282" s="4" t="s">
        <v>3878</v>
      </c>
    </row>
    <row r="1283" spans="1:30" ht="52.5" customHeight="1">
      <c r="A1283" s="19" t="s">
        <v>3861</v>
      </c>
      <c r="B1283" s="11" t="s">
        <v>3868</v>
      </c>
      <c r="C1283" s="3" t="s">
        <v>1105</v>
      </c>
      <c r="D1283" s="3" t="s">
        <v>1105</v>
      </c>
      <c r="E1283" s="3" t="s">
        <v>116</v>
      </c>
      <c r="F1283" s="4" t="s">
        <v>2276</v>
      </c>
      <c r="G1283" s="3" t="s">
        <v>2276</v>
      </c>
      <c r="H1283" s="3" t="s">
        <v>523</v>
      </c>
      <c r="I1283" s="3">
        <v>1994</v>
      </c>
      <c r="J1283" s="3" t="s">
        <v>2276</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2276</v>
      </c>
      <c r="Y1283" s="3" t="s">
        <v>2276</v>
      </c>
      <c r="Z1283" s="3" t="s">
        <v>399</v>
      </c>
      <c r="AA1283" s="3" t="s">
        <v>86</v>
      </c>
      <c r="AB1283" s="3"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3" t="s">
        <v>2276</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2276</v>
      </c>
      <c r="Y1284" s="3" t="s">
        <v>2276</v>
      </c>
      <c r="Z1284" s="3" t="s">
        <v>399</v>
      </c>
      <c r="AA1284" s="3" t="s">
        <v>86</v>
      </c>
      <c r="AB1284" s="3" t="s">
        <v>2276</v>
      </c>
      <c r="AC1284" s="4" t="s">
        <v>3866</v>
      </c>
      <c r="AD1284" s="4" t="s">
        <v>3878</v>
      </c>
    </row>
    <row r="1285" spans="1:30" ht="52.5" customHeight="1">
      <c r="A1285" s="19" t="s">
        <v>3861</v>
      </c>
      <c r="B1285" s="11" t="s">
        <v>3870</v>
      </c>
      <c r="C1285" s="3" t="s">
        <v>1105</v>
      </c>
      <c r="D1285" s="3" t="s">
        <v>1105</v>
      </c>
      <c r="E1285" s="3" t="s">
        <v>116</v>
      </c>
      <c r="F1285" s="4" t="s">
        <v>2276</v>
      </c>
      <c r="G1285" s="3" t="s">
        <v>2276</v>
      </c>
      <c r="H1285" s="3" t="s">
        <v>523</v>
      </c>
      <c r="I1285" s="3">
        <v>1996</v>
      </c>
      <c r="J1285" s="3" t="s">
        <v>2276</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2276</v>
      </c>
      <c r="Y1285" s="3" t="s">
        <v>2276</v>
      </c>
      <c r="Z1285" s="3" t="s">
        <v>399</v>
      </c>
      <c r="AA1285" s="3" t="s">
        <v>86</v>
      </c>
      <c r="AB1285" s="3" t="s">
        <v>2276</v>
      </c>
      <c r="AC1285" s="4" t="s">
        <v>3866</v>
      </c>
      <c r="AD1285" s="4" t="s">
        <v>3878</v>
      </c>
    </row>
    <row r="1286" spans="1:30" ht="52.5" customHeight="1">
      <c r="A1286" s="19" t="s">
        <v>3861</v>
      </c>
      <c r="B1286" s="11" t="s">
        <v>3871</v>
      </c>
      <c r="C1286" s="3" t="s">
        <v>1105</v>
      </c>
      <c r="D1286" s="3" t="s">
        <v>1105</v>
      </c>
      <c r="E1286" s="3" t="s">
        <v>116</v>
      </c>
      <c r="F1286" s="4" t="s">
        <v>2276</v>
      </c>
      <c r="G1286" s="3" t="s">
        <v>2276</v>
      </c>
      <c r="H1286" s="3" t="s">
        <v>523</v>
      </c>
      <c r="I1286" s="3">
        <v>1997</v>
      </c>
      <c r="J1286" s="3" t="s">
        <v>2276</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2276</v>
      </c>
      <c r="Y1286" s="3" t="s">
        <v>2276</v>
      </c>
      <c r="Z1286" s="3" t="s">
        <v>399</v>
      </c>
      <c r="AA1286" s="3" t="s">
        <v>86</v>
      </c>
      <c r="AB1286" s="3"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3" t="s">
        <v>2276</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2276</v>
      </c>
      <c r="Y1287" s="3" t="s">
        <v>2276</v>
      </c>
      <c r="Z1287" s="3" t="s">
        <v>399</v>
      </c>
      <c r="AA1287" s="3" t="s">
        <v>86</v>
      </c>
      <c r="AB1287" s="3"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3" t="s">
        <v>2276</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2276</v>
      </c>
      <c r="Y1288" s="3" t="s">
        <v>2276</v>
      </c>
      <c r="Z1288" s="3" t="s">
        <v>399</v>
      </c>
      <c r="AA1288" s="3" t="s">
        <v>86</v>
      </c>
      <c r="AB1288" s="3" t="s">
        <v>2276</v>
      </c>
      <c r="AC1288" s="4" t="s">
        <v>3866</v>
      </c>
      <c r="AD1288" s="4" t="s">
        <v>3878</v>
      </c>
    </row>
    <row r="1289" spans="1:30" ht="52.5" customHeight="1">
      <c r="A1289" s="19" t="s">
        <v>3861</v>
      </c>
      <c r="B1289" s="11" t="s">
        <v>3874</v>
      </c>
      <c r="C1289" s="3" t="s">
        <v>1105</v>
      </c>
      <c r="D1289" s="3" t="s">
        <v>1105</v>
      </c>
      <c r="E1289" s="3" t="s">
        <v>116</v>
      </c>
      <c r="F1289" s="4" t="s">
        <v>2276</v>
      </c>
      <c r="G1289" s="3" t="s">
        <v>2276</v>
      </c>
      <c r="H1289" s="3" t="s">
        <v>523</v>
      </c>
      <c r="I1289" s="3">
        <v>2000</v>
      </c>
      <c r="J1289" s="3" t="s">
        <v>2276</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2276</v>
      </c>
      <c r="Y1289" s="3" t="s">
        <v>2276</v>
      </c>
      <c r="Z1289" s="3" t="s">
        <v>399</v>
      </c>
      <c r="AA1289" s="3" t="s">
        <v>86</v>
      </c>
      <c r="AB1289" s="3"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3" t="s">
        <v>2276</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2276</v>
      </c>
      <c r="Y1290" s="3" t="s">
        <v>2276</v>
      </c>
      <c r="Z1290" s="3" t="s">
        <v>399</v>
      </c>
      <c r="AA1290" s="3" t="s">
        <v>86</v>
      </c>
      <c r="AB1290" s="3" t="s">
        <v>2276</v>
      </c>
      <c r="AC1290" s="4" t="s">
        <v>3866</v>
      </c>
      <c r="AD1290" s="4" t="s">
        <v>3878</v>
      </c>
    </row>
    <row r="1291" spans="1:30" ht="52.5" customHeight="1">
      <c r="A1291" s="19" t="s">
        <v>3861</v>
      </c>
      <c r="B1291" s="11" t="s">
        <v>3876</v>
      </c>
      <c r="C1291" s="3" t="s">
        <v>1105</v>
      </c>
      <c r="D1291" s="3" t="s">
        <v>1105</v>
      </c>
      <c r="E1291" s="3" t="s">
        <v>116</v>
      </c>
      <c r="F1291" s="4" t="s">
        <v>2276</v>
      </c>
      <c r="G1291" s="3" t="s">
        <v>2276</v>
      </c>
      <c r="H1291" s="3" t="s">
        <v>523</v>
      </c>
      <c r="I1291" s="3">
        <v>2002</v>
      </c>
      <c r="J1291" s="3" t="s">
        <v>2276</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2276</v>
      </c>
      <c r="Y1291" s="3" t="s">
        <v>2276</v>
      </c>
      <c r="Z1291" s="3" t="s">
        <v>399</v>
      </c>
      <c r="AA1291" s="3" t="s">
        <v>86</v>
      </c>
      <c r="AB1291" s="3"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3" t="s">
        <v>2276</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2276</v>
      </c>
      <c r="Y1292" s="3" t="s">
        <v>2276</v>
      </c>
      <c r="Z1292" s="3" t="s">
        <v>399</v>
      </c>
      <c r="AA1292" s="3" t="s">
        <v>86</v>
      </c>
      <c r="AB1292" s="3" t="s">
        <v>2276</v>
      </c>
      <c r="AC1292" s="4" t="s">
        <v>3866</v>
      </c>
      <c r="AD1292" s="4" t="s">
        <v>3878</v>
      </c>
    </row>
    <row r="1293" spans="1:30" ht="41.5" customHeight="1">
      <c r="A1293" s="19" t="s">
        <v>3861</v>
      </c>
      <c r="B1293" s="11" t="s">
        <v>3879</v>
      </c>
      <c r="C1293" s="3" t="s">
        <v>24</v>
      </c>
      <c r="D1293" s="3" t="s">
        <v>1245</v>
      </c>
      <c r="E1293" s="3" t="s">
        <v>116</v>
      </c>
      <c r="F1293" s="4" t="s">
        <v>2662</v>
      </c>
      <c r="G1293" s="4" t="s">
        <v>2662</v>
      </c>
      <c r="H1293" s="3" t="s">
        <v>523</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3" t="s">
        <v>2276</v>
      </c>
      <c r="AB1293" s="3" t="s">
        <v>2276</v>
      </c>
      <c r="AC1293" s="4" t="s">
        <v>3886</v>
      </c>
      <c r="AD1293" s="3"/>
    </row>
    <row r="1294" spans="1:30" ht="39" customHeight="1">
      <c r="A1294" s="19" t="s">
        <v>3861</v>
      </c>
      <c r="B1294" s="11" t="s">
        <v>3880</v>
      </c>
      <c r="C1294" s="3" t="s">
        <v>24</v>
      </c>
      <c r="D1294" s="3" t="s">
        <v>2305</v>
      </c>
      <c r="E1294" s="3" t="s">
        <v>116</v>
      </c>
      <c r="F1294" s="4" t="s">
        <v>2662</v>
      </c>
      <c r="G1294" s="4" t="s">
        <v>2662</v>
      </c>
      <c r="H1294" s="3" t="s">
        <v>523</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t="s">
        <v>2276</v>
      </c>
      <c r="AB1294" s="3" t="s">
        <v>2276</v>
      </c>
      <c r="AC1294" s="3"/>
      <c r="AD1294" s="3"/>
    </row>
    <row r="1295" spans="1:30" ht="33.5" customHeight="1">
      <c r="A1295" s="19" t="s">
        <v>3861</v>
      </c>
      <c r="B1295" s="11" t="s">
        <v>3881</v>
      </c>
      <c r="C1295" s="3" t="s">
        <v>24</v>
      </c>
      <c r="D1295" s="3" t="s">
        <v>2341</v>
      </c>
      <c r="E1295" s="3" t="s">
        <v>116</v>
      </c>
      <c r="F1295" s="4" t="s">
        <v>2662</v>
      </c>
      <c r="G1295" s="4" t="s">
        <v>2662</v>
      </c>
      <c r="H1295" s="3" t="s">
        <v>523</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t="s">
        <v>2276</v>
      </c>
      <c r="AB1295" s="3"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t="s">
        <v>2276</v>
      </c>
      <c r="AB1296" s="3" t="s">
        <v>2276</v>
      </c>
      <c r="AC1296" s="3"/>
      <c r="AD1296" s="3"/>
    </row>
    <row r="1297" spans="1:30" ht="37" customHeight="1">
      <c r="A1297" s="19" t="s">
        <v>3861</v>
      </c>
      <c r="B1297" s="11" t="s">
        <v>3883</v>
      </c>
      <c r="C1297" s="3" t="s">
        <v>24</v>
      </c>
      <c r="D1297" s="3" t="s">
        <v>1242</v>
      </c>
      <c r="E1297" s="3" t="s">
        <v>116</v>
      </c>
      <c r="F1297" s="4" t="s">
        <v>2662</v>
      </c>
      <c r="G1297" s="4" t="s">
        <v>2662</v>
      </c>
      <c r="H1297" s="3" t="s">
        <v>523</v>
      </c>
      <c r="I1297" s="3"/>
      <c r="J1297" s="3" t="s">
        <v>2276</v>
      </c>
      <c r="K1297" s="3" t="s">
        <v>2276</v>
      </c>
      <c r="L1297" s="72">
        <v>0.04</v>
      </c>
      <c r="M1297" s="72">
        <v>0.25</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t="s">
        <v>2276</v>
      </c>
      <c r="AB1297" s="3"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t="s">
        <v>2276</v>
      </c>
      <c r="AB1298" s="3" t="s">
        <v>2276</v>
      </c>
      <c r="AC1298" s="3"/>
      <c r="AD1298" s="3"/>
    </row>
    <row r="1299" spans="1:30" ht="42" customHeight="1">
      <c r="A1299" s="19" t="s">
        <v>3861</v>
      </c>
      <c r="B1299" s="11" t="s">
        <v>3884</v>
      </c>
      <c r="C1299" s="3" t="s">
        <v>2458</v>
      </c>
      <c r="D1299" s="3" t="s">
        <v>2276</v>
      </c>
      <c r="E1299" s="3" t="s">
        <v>116</v>
      </c>
      <c r="F1299" s="4" t="s">
        <v>2662</v>
      </c>
      <c r="G1299" s="3" t="s">
        <v>74</v>
      </c>
      <c r="H1299" s="3" t="s">
        <v>523</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t="s">
        <v>2276</v>
      </c>
      <c r="AB1299" s="3"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2276</v>
      </c>
      <c r="Y1300" s="3" t="s">
        <v>2276</v>
      </c>
      <c r="Z1300" s="3" t="s">
        <v>188</v>
      </c>
      <c r="AA1300" s="3" t="s">
        <v>38</v>
      </c>
      <c r="AB1300" s="3"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2276</v>
      </c>
      <c r="Y1301" s="3" t="s">
        <v>2276</v>
      </c>
      <c r="Z1301" s="3" t="s">
        <v>188</v>
      </c>
      <c r="AA1301" s="3" t="s">
        <v>38</v>
      </c>
      <c r="AB1301" s="3"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2276</v>
      </c>
      <c r="Y1302" s="3" t="s">
        <v>2276</v>
      </c>
      <c r="Z1302" s="3" t="s">
        <v>35</v>
      </c>
      <c r="AA1302" s="3" t="s">
        <v>34</v>
      </c>
      <c r="AB1302" s="3"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2276</v>
      </c>
      <c r="Y1303" s="3" t="s">
        <v>2276</v>
      </c>
      <c r="Z1303" s="3" t="s">
        <v>35</v>
      </c>
      <c r="AA1303" s="3" t="s">
        <v>34</v>
      </c>
      <c r="AB1303" s="3" t="s">
        <v>2276</v>
      </c>
      <c r="AC1303" s="3"/>
      <c r="AD1303" s="4" t="s">
        <v>3915</v>
      </c>
    </row>
    <row r="1304" spans="1:30" ht="38" customHeight="1">
      <c r="A1304" s="19" t="s">
        <v>3909</v>
      </c>
      <c r="B1304" s="19" t="s">
        <v>3917</v>
      </c>
      <c r="C1304" s="3" t="s">
        <v>24</v>
      </c>
      <c r="D1304" s="3" t="s">
        <v>26</v>
      </c>
      <c r="E1304" s="3" t="s">
        <v>5005</v>
      </c>
      <c r="F1304" s="4" t="s">
        <v>2276</v>
      </c>
      <c r="G1304" s="3" t="s">
        <v>2276</v>
      </c>
      <c r="H1304" s="3" t="s">
        <v>523</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2276</v>
      </c>
      <c r="Y1304" s="3" t="s">
        <v>2276</v>
      </c>
      <c r="Z1304" s="3" t="s">
        <v>35</v>
      </c>
      <c r="AA1304" s="3" t="s">
        <v>34</v>
      </c>
      <c r="AB1304" s="3" t="s">
        <v>2276</v>
      </c>
      <c r="AC1304" s="3"/>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2276</v>
      </c>
      <c r="Y1305" s="3" t="s">
        <v>2276</v>
      </c>
      <c r="Z1305" s="3" t="s">
        <v>35</v>
      </c>
      <c r="AA1305" s="3" t="s">
        <v>34</v>
      </c>
      <c r="AB1305" s="3" t="s">
        <v>2276</v>
      </c>
      <c r="AC1305" s="3"/>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2276</v>
      </c>
      <c r="Y1306" s="3" t="s">
        <v>2276</v>
      </c>
      <c r="Z1306" s="3" t="s">
        <v>35</v>
      </c>
      <c r="AA1306" s="3" t="s">
        <v>34</v>
      </c>
      <c r="AB1306" s="3" t="s">
        <v>2276</v>
      </c>
      <c r="AC1306" s="3"/>
      <c r="AD1306" s="4" t="s">
        <v>3915</v>
      </c>
    </row>
    <row r="1307" spans="1:30" ht="41" customHeight="1">
      <c r="A1307" s="19" t="s">
        <v>3911</v>
      </c>
      <c r="B1307" s="19" t="s">
        <v>3920</v>
      </c>
      <c r="C1307" s="3" t="s">
        <v>24</v>
      </c>
      <c r="D1307" s="3" t="s">
        <v>26</v>
      </c>
      <c r="E1307" s="3" t="s">
        <v>5005</v>
      </c>
      <c r="F1307" s="4" t="s">
        <v>2276</v>
      </c>
      <c r="G1307" s="3" t="s">
        <v>2276</v>
      </c>
      <c r="H1307" s="3" t="s">
        <v>523</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2276</v>
      </c>
      <c r="Y1307" s="3" t="s">
        <v>2276</v>
      </c>
      <c r="Z1307" s="3" t="s">
        <v>35</v>
      </c>
      <c r="AA1307" s="3" t="s">
        <v>34</v>
      </c>
      <c r="AB1307" s="3" t="s">
        <v>2276</v>
      </c>
      <c r="AC1307" s="3"/>
      <c r="AD1307" s="4" t="s">
        <v>3915</v>
      </c>
    </row>
    <row r="1308" spans="1:30" ht="46" customHeight="1">
      <c r="A1308" s="19" t="s">
        <v>3922</v>
      </c>
      <c r="B1308" s="19" t="s">
        <v>3956</v>
      </c>
      <c r="C1308" s="3" t="s">
        <v>24</v>
      </c>
      <c r="D1308" s="3" t="s">
        <v>25</v>
      </c>
      <c r="E1308" s="3" t="s">
        <v>5005</v>
      </c>
      <c r="F1308" s="4" t="s">
        <v>2662</v>
      </c>
      <c r="G1308" s="3" t="s">
        <v>2276</v>
      </c>
      <c r="H1308" s="3" t="s">
        <v>523</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3" t="s">
        <v>2276</v>
      </c>
      <c r="AB1308" s="3" t="s">
        <v>2276</v>
      </c>
      <c r="AC1308" s="4" t="s">
        <v>4383</v>
      </c>
      <c r="AD1308" s="4" t="s">
        <v>3960</v>
      </c>
    </row>
    <row r="1309" spans="1:30" ht="46" customHeight="1">
      <c r="A1309" s="19" t="s">
        <v>3923</v>
      </c>
      <c r="B1309" s="19" t="s">
        <v>3957</v>
      </c>
      <c r="C1309" s="3" t="s">
        <v>24</v>
      </c>
      <c r="D1309" s="3" t="s">
        <v>25</v>
      </c>
      <c r="E1309" s="3" t="s">
        <v>5005</v>
      </c>
      <c r="F1309" s="4" t="s">
        <v>2662</v>
      </c>
      <c r="G1309" s="3" t="s">
        <v>2276</v>
      </c>
      <c r="H1309" s="3" t="s">
        <v>523</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3" t="s">
        <v>2276</v>
      </c>
      <c r="AB1309" s="3" t="s">
        <v>2276</v>
      </c>
      <c r="AC1309" s="4" t="s">
        <v>4383</v>
      </c>
      <c r="AD1309" s="4" t="s">
        <v>3960</v>
      </c>
    </row>
    <row r="1310" spans="1:30" ht="46" customHeight="1">
      <c r="A1310" s="19" t="s">
        <v>3925</v>
      </c>
      <c r="B1310" s="19" t="s">
        <v>3958</v>
      </c>
      <c r="C1310" s="3" t="s">
        <v>24</v>
      </c>
      <c r="D1310" s="3" t="s">
        <v>25</v>
      </c>
      <c r="E1310" s="3" t="s">
        <v>5005</v>
      </c>
      <c r="F1310" s="4" t="s">
        <v>2662</v>
      </c>
      <c r="G1310" s="3" t="s">
        <v>2276</v>
      </c>
      <c r="H1310" s="3" t="s">
        <v>523</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3" t="s">
        <v>2276</v>
      </c>
      <c r="AB1310" s="3" t="s">
        <v>2276</v>
      </c>
      <c r="AC1310" s="4" t="s">
        <v>4383</v>
      </c>
      <c r="AD1310" s="4" t="s">
        <v>3960</v>
      </c>
    </row>
    <row r="1311" spans="1:30" ht="46" customHeight="1">
      <c r="A1311" s="19" t="s">
        <v>3926</v>
      </c>
      <c r="B1311" s="19" t="s">
        <v>3959</v>
      </c>
      <c r="C1311" s="3" t="s">
        <v>24</v>
      </c>
      <c r="D1311" s="3" t="s">
        <v>25</v>
      </c>
      <c r="E1311" s="3" t="s">
        <v>5005</v>
      </c>
      <c r="F1311" s="4" t="s">
        <v>2662</v>
      </c>
      <c r="G1311" s="3" t="s">
        <v>2276</v>
      </c>
      <c r="H1311" s="3" t="s">
        <v>523</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3" t="s">
        <v>2276</v>
      </c>
      <c r="AB1311" s="3" t="s">
        <v>2276</v>
      </c>
      <c r="AC1311" s="4" t="s">
        <v>4383</v>
      </c>
      <c r="AD1311" s="4" t="s">
        <v>3960</v>
      </c>
    </row>
    <row r="1312" spans="1:30" ht="46" customHeight="1">
      <c r="A1312" s="11" t="s">
        <v>3930</v>
      </c>
      <c r="B1312" s="11" t="s">
        <v>3947</v>
      </c>
      <c r="C1312" s="3" t="s">
        <v>24</v>
      </c>
      <c r="D1312" s="3" t="s">
        <v>25</v>
      </c>
      <c r="E1312" s="3" t="s">
        <v>5005</v>
      </c>
      <c r="F1312" s="4" t="s">
        <v>2662</v>
      </c>
      <c r="G1312" s="3" t="s">
        <v>2276</v>
      </c>
      <c r="H1312" s="3" t="s">
        <v>523</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3" t="s">
        <v>2276</v>
      </c>
      <c r="AB1312" s="3" t="s">
        <v>2276</v>
      </c>
      <c r="AC1312" s="4" t="s">
        <v>4384</v>
      </c>
      <c r="AD1312" s="4" t="s">
        <v>3960</v>
      </c>
    </row>
    <row r="1313" spans="1:30" ht="46" customHeight="1">
      <c r="A1313" s="11" t="s">
        <v>3931</v>
      </c>
      <c r="B1313" s="11" t="s">
        <v>3948</v>
      </c>
      <c r="C1313" s="3" t="s">
        <v>24</v>
      </c>
      <c r="D1313" s="3" t="s">
        <v>25</v>
      </c>
      <c r="E1313" s="3" t="s">
        <v>5005</v>
      </c>
      <c r="F1313" s="4" t="s">
        <v>2662</v>
      </c>
      <c r="G1313" s="3" t="s">
        <v>2276</v>
      </c>
      <c r="H1313" s="3" t="s">
        <v>523</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3" t="s">
        <v>2276</v>
      </c>
      <c r="AB1313" s="3" t="s">
        <v>2276</v>
      </c>
      <c r="AC1313" s="4" t="s">
        <v>4384</v>
      </c>
      <c r="AD1313" s="4" t="s">
        <v>3960</v>
      </c>
    </row>
    <row r="1314" spans="1:30" ht="46" customHeight="1">
      <c r="A1314" s="11" t="s">
        <v>3932</v>
      </c>
      <c r="B1314" s="11" t="s">
        <v>3949</v>
      </c>
      <c r="C1314" s="3" t="s">
        <v>24</v>
      </c>
      <c r="D1314" s="3" t="s">
        <v>25</v>
      </c>
      <c r="E1314" s="3" t="s">
        <v>5005</v>
      </c>
      <c r="F1314" s="4" t="s">
        <v>2662</v>
      </c>
      <c r="G1314" s="3" t="s">
        <v>2276</v>
      </c>
      <c r="H1314" s="3" t="s">
        <v>523</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3" t="s">
        <v>2276</v>
      </c>
      <c r="AB1314" s="3"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3" t="s">
        <v>2276</v>
      </c>
      <c r="AB1315" s="3" t="s">
        <v>2276</v>
      </c>
      <c r="AC1315" s="4" t="s">
        <v>4383</v>
      </c>
      <c r="AD1315" s="4" t="s">
        <v>3960</v>
      </c>
    </row>
    <row r="1316" spans="1:30" ht="46" customHeight="1">
      <c r="A1316" s="19" t="s">
        <v>3923</v>
      </c>
      <c r="B1316" s="19" t="s">
        <v>3962</v>
      </c>
      <c r="C1316" s="3" t="s">
        <v>2458</v>
      </c>
      <c r="D1316" s="3" t="s">
        <v>25</v>
      </c>
      <c r="E1316" s="3" t="s">
        <v>5005</v>
      </c>
      <c r="F1316" s="4" t="s">
        <v>2662</v>
      </c>
      <c r="G1316" s="3" t="s">
        <v>2276</v>
      </c>
      <c r="H1316" s="3" t="s">
        <v>523</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3" t="s">
        <v>2276</v>
      </c>
      <c r="AB1316" s="3" t="s">
        <v>2276</v>
      </c>
      <c r="AC1316" s="4" t="s">
        <v>4383</v>
      </c>
      <c r="AD1316" s="4" t="s">
        <v>3960</v>
      </c>
    </row>
    <row r="1317" spans="1:30" ht="46" customHeight="1">
      <c r="A1317" s="19" t="s">
        <v>3925</v>
      </c>
      <c r="B1317" s="19" t="s">
        <v>3963</v>
      </c>
      <c r="C1317" s="3" t="s">
        <v>2458</v>
      </c>
      <c r="D1317" s="3" t="s">
        <v>25</v>
      </c>
      <c r="E1317" s="3" t="s">
        <v>5005</v>
      </c>
      <c r="F1317" s="4" t="s">
        <v>2662</v>
      </c>
      <c r="G1317" s="3" t="s">
        <v>2276</v>
      </c>
      <c r="H1317" s="3" t="s">
        <v>523</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3" t="s">
        <v>2276</v>
      </c>
      <c r="AB1317" s="3" t="s">
        <v>2276</v>
      </c>
      <c r="AC1317" s="4" t="s">
        <v>4383</v>
      </c>
      <c r="AD1317" s="4" t="s">
        <v>3960</v>
      </c>
    </row>
    <row r="1318" spans="1:30" ht="46" customHeight="1">
      <c r="A1318" s="19" t="s">
        <v>3926</v>
      </c>
      <c r="B1318" s="19" t="s">
        <v>3964</v>
      </c>
      <c r="C1318" s="3" t="s">
        <v>2458</v>
      </c>
      <c r="D1318" s="3" t="s">
        <v>25</v>
      </c>
      <c r="E1318" s="3" t="s">
        <v>5005</v>
      </c>
      <c r="F1318" s="4" t="s">
        <v>2662</v>
      </c>
      <c r="G1318" s="3" t="s">
        <v>2276</v>
      </c>
      <c r="H1318" s="3" t="s">
        <v>523</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3" t="s">
        <v>2276</v>
      </c>
      <c r="AB1318" s="3" t="s">
        <v>2276</v>
      </c>
      <c r="AC1318" s="4" t="s">
        <v>4386</v>
      </c>
      <c r="AD1318" s="4" t="s">
        <v>3960</v>
      </c>
    </row>
    <row r="1319" spans="1:30" ht="46" customHeight="1">
      <c r="A1319" s="11" t="s">
        <v>3930</v>
      </c>
      <c r="B1319" s="11" t="s">
        <v>3950</v>
      </c>
      <c r="C1319" s="3" t="s">
        <v>2458</v>
      </c>
      <c r="D1319" s="3" t="s">
        <v>25</v>
      </c>
      <c r="E1319" s="3" t="s">
        <v>5005</v>
      </c>
      <c r="F1319" s="4" t="s">
        <v>2662</v>
      </c>
      <c r="G1319" s="3" t="s">
        <v>2276</v>
      </c>
      <c r="H1319" s="3" t="s">
        <v>523</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3" t="s">
        <v>2276</v>
      </c>
      <c r="AB1319" s="3" t="s">
        <v>2276</v>
      </c>
      <c r="AC1319" s="4" t="s">
        <v>4384</v>
      </c>
      <c r="AD1319" s="4" t="s">
        <v>3960</v>
      </c>
    </row>
    <row r="1320" spans="1:30" ht="46" customHeight="1">
      <c r="A1320" s="11" t="s">
        <v>3931</v>
      </c>
      <c r="B1320" s="11" t="s">
        <v>3951</v>
      </c>
      <c r="C1320" s="3" t="s">
        <v>2458</v>
      </c>
      <c r="D1320" s="3" t="s">
        <v>25</v>
      </c>
      <c r="E1320" s="3" t="s">
        <v>5005</v>
      </c>
      <c r="F1320" s="4" t="s">
        <v>2662</v>
      </c>
      <c r="G1320" s="3" t="s">
        <v>2276</v>
      </c>
      <c r="H1320" s="3" t="s">
        <v>523</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3" t="s">
        <v>2276</v>
      </c>
      <c r="AB1320" s="3"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3" t="s">
        <v>2276</v>
      </c>
      <c r="AB1321" s="3"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2276</v>
      </c>
      <c r="AB1322" s="3" t="s">
        <v>2276</v>
      </c>
      <c r="AC1322" s="3" t="s">
        <v>3979</v>
      </c>
      <c r="AD1322" s="3"/>
    </row>
    <row r="1323" spans="1:30" ht="37" customHeight="1">
      <c r="A1323" s="11" t="s">
        <v>3967</v>
      </c>
      <c r="B1323" s="11" t="s">
        <v>3977</v>
      </c>
      <c r="C1323" s="3" t="s">
        <v>24</v>
      </c>
      <c r="D1323" s="3" t="s">
        <v>26</v>
      </c>
      <c r="E1323" s="3" t="s">
        <v>45</v>
      </c>
      <c r="F1323" s="4" t="s">
        <v>2662</v>
      </c>
      <c r="G1323" s="3" t="s">
        <v>2276</v>
      </c>
      <c r="H1323" s="3" t="s">
        <v>523</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2276</v>
      </c>
      <c r="AB1323" s="3" t="s">
        <v>2276</v>
      </c>
      <c r="AC1323" s="3" t="s">
        <v>3979</v>
      </c>
      <c r="AD1323" s="3"/>
    </row>
    <row r="1324" spans="1:30" ht="32" customHeight="1">
      <c r="A1324" s="11" t="s">
        <v>3967</v>
      </c>
      <c r="B1324" s="11" t="s">
        <v>3981</v>
      </c>
      <c r="C1324" s="3" t="s">
        <v>24</v>
      </c>
      <c r="D1324" s="3" t="s">
        <v>26</v>
      </c>
      <c r="E1324" s="3" t="s">
        <v>5005</v>
      </c>
      <c r="F1324" s="4" t="s">
        <v>74</v>
      </c>
      <c r="G1324" s="3" t="s">
        <v>2276</v>
      </c>
      <c r="H1324" s="3" t="s">
        <v>523</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2276</v>
      </c>
      <c r="AB1324" s="3" t="s">
        <v>2276</v>
      </c>
      <c r="AC1324" s="3" t="s">
        <v>3979</v>
      </c>
      <c r="AD1324" s="3"/>
    </row>
    <row r="1325" spans="1:30" ht="31" customHeight="1">
      <c r="A1325" s="11" t="s">
        <v>3967</v>
      </c>
      <c r="B1325" s="11" t="s">
        <v>3982</v>
      </c>
      <c r="C1325" s="3" t="s">
        <v>24</v>
      </c>
      <c r="D1325" s="3" t="s">
        <v>26</v>
      </c>
      <c r="E1325" s="3" t="s">
        <v>45</v>
      </c>
      <c r="F1325" s="4" t="s">
        <v>74</v>
      </c>
      <c r="G1325" s="3" t="s">
        <v>2276</v>
      </c>
      <c r="H1325" s="3" t="s">
        <v>523</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2276</v>
      </c>
      <c r="AB1325" s="3" t="s">
        <v>2276</v>
      </c>
      <c r="AC1325" s="3" t="s">
        <v>3979</v>
      </c>
      <c r="AD1325" s="3"/>
    </row>
    <row r="1326" spans="1:30" ht="37" customHeight="1">
      <c r="A1326" s="11" t="s">
        <v>3972</v>
      </c>
      <c r="B1326" s="11" t="s">
        <v>3976</v>
      </c>
      <c r="C1326" s="3" t="s">
        <v>24</v>
      </c>
      <c r="D1326" s="3" t="s">
        <v>26</v>
      </c>
      <c r="E1326" s="3" t="s">
        <v>5005</v>
      </c>
      <c r="F1326" s="4" t="s">
        <v>2662</v>
      </c>
      <c r="G1326" s="3"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3" t="s">
        <v>2276</v>
      </c>
      <c r="Z1326" s="3" t="s">
        <v>2276</v>
      </c>
      <c r="AA1326" s="3" t="s">
        <v>2276</v>
      </c>
      <c r="AB1326" s="3" t="s">
        <v>2276</v>
      </c>
      <c r="AC1326" s="4" t="s">
        <v>3980</v>
      </c>
      <c r="AD1326" s="3"/>
    </row>
    <row r="1327" spans="1:30" ht="37" customHeight="1">
      <c r="A1327" s="11" t="s">
        <v>3972</v>
      </c>
      <c r="B1327" s="11" t="s">
        <v>3978</v>
      </c>
      <c r="C1327" s="3" t="s">
        <v>24</v>
      </c>
      <c r="D1327" s="3" t="s">
        <v>26</v>
      </c>
      <c r="E1327" s="3" t="s">
        <v>45</v>
      </c>
      <c r="F1327" s="4" t="s">
        <v>2662</v>
      </c>
      <c r="G1327" s="3"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3" t="s">
        <v>2276</v>
      </c>
      <c r="Z1327" s="3" t="s">
        <v>2276</v>
      </c>
      <c r="AA1327" s="3" t="s">
        <v>2276</v>
      </c>
      <c r="AB1327" s="3" t="s">
        <v>2276</v>
      </c>
      <c r="AC1327" s="4" t="s">
        <v>3980</v>
      </c>
      <c r="AD1327" s="3"/>
    </row>
    <row r="1328" spans="1:30" ht="37" customHeight="1">
      <c r="A1328" s="11" t="s">
        <v>3972</v>
      </c>
      <c r="B1328" s="11" t="s">
        <v>3983</v>
      </c>
      <c r="C1328" s="3" t="s">
        <v>24</v>
      </c>
      <c r="D1328" s="3" t="s">
        <v>26</v>
      </c>
      <c r="E1328" s="3" t="s">
        <v>5005</v>
      </c>
      <c r="F1328" s="4" t="s">
        <v>74</v>
      </c>
      <c r="G1328" s="3"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3" t="s">
        <v>2276</v>
      </c>
      <c r="Z1328" s="3" t="s">
        <v>2276</v>
      </c>
      <c r="AA1328" s="3" t="s">
        <v>2276</v>
      </c>
      <c r="AB1328" s="3" t="s">
        <v>2276</v>
      </c>
      <c r="AC1328" s="4" t="s">
        <v>3980</v>
      </c>
      <c r="AD1328" s="3"/>
    </row>
    <row r="1329" spans="1:30" ht="37" customHeight="1">
      <c r="A1329" s="11" t="s">
        <v>3972</v>
      </c>
      <c r="B1329" s="11" t="s">
        <v>3984</v>
      </c>
      <c r="C1329" s="3" t="s">
        <v>24</v>
      </c>
      <c r="D1329" s="3" t="s">
        <v>26</v>
      </c>
      <c r="E1329" s="3" t="s">
        <v>45</v>
      </c>
      <c r="F1329" s="4" t="s">
        <v>74</v>
      </c>
      <c r="G1329" s="3"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3" t="s">
        <v>2276</v>
      </c>
      <c r="Z1329" s="3" t="s">
        <v>2276</v>
      </c>
      <c r="AA1329" s="3" t="s">
        <v>2276</v>
      </c>
      <c r="AB1329" s="3" t="s">
        <v>2276</v>
      </c>
      <c r="AC1329" s="4" t="s">
        <v>3980</v>
      </c>
      <c r="AD1329" s="3"/>
    </row>
    <row r="1330" spans="1:30" ht="35.5" customHeight="1">
      <c r="A1330" s="11" t="s">
        <v>3972</v>
      </c>
      <c r="B1330" s="11" t="s">
        <v>3985</v>
      </c>
      <c r="C1330" s="3" t="s">
        <v>24</v>
      </c>
      <c r="D1330" s="3" t="s">
        <v>3476</v>
      </c>
      <c r="E1330" s="3" t="s">
        <v>116</v>
      </c>
      <c r="F1330" s="4" t="s">
        <v>2662</v>
      </c>
      <c r="G1330" s="3" t="s">
        <v>2276</v>
      </c>
      <c r="H1330" s="3" t="s">
        <v>523</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t="s">
        <v>2276</v>
      </c>
      <c r="AB1330" s="3" t="s">
        <v>2276</v>
      </c>
      <c r="AC1330" s="3"/>
      <c r="AD1330" s="3"/>
    </row>
    <row r="1331" spans="1:30" ht="47.5" customHeight="1">
      <c r="A1331" s="11" t="s">
        <v>3989</v>
      </c>
      <c r="B1331" s="11" t="s">
        <v>3997</v>
      </c>
      <c r="C1331" s="3" t="s">
        <v>24</v>
      </c>
      <c r="D1331" s="3" t="s">
        <v>25</v>
      </c>
      <c r="E1331" s="3" t="s">
        <v>5005</v>
      </c>
      <c r="F1331" s="4" t="s">
        <v>29</v>
      </c>
      <c r="G1331" s="3" t="s">
        <v>2276</v>
      </c>
      <c r="H1331" s="3" t="s">
        <v>523</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3" t="s">
        <v>2276</v>
      </c>
      <c r="AB1331" s="3" t="s">
        <v>2276</v>
      </c>
      <c r="AC1331" s="3" t="s">
        <v>4010</v>
      </c>
      <c r="AD1331" s="3"/>
    </row>
    <row r="1332" spans="1:30" ht="46" customHeight="1">
      <c r="A1332" s="11" t="s">
        <v>3989</v>
      </c>
      <c r="B1332" s="11" t="s">
        <v>4001</v>
      </c>
      <c r="C1332" s="3" t="s">
        <v>24</v>
      </c>
      <c r="D1332" s="3" t="s">
        <v>2804</v>
      </c>
      <c r="E1332" s="3" t="s">
        <v>5005</v>
      </c>
      <c r="F1332" s="4" t="s">
        <v>2662</v>
      </c>
      <c r="G1332" s="3" t="s">
        <v>2276</v>
      </c>
      <c r="H1332" s="3" t="s">
        <v>523</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3" t="s">
        <v>2276</v>
      </c>
      <c r="AB1332" s="3" t="s">
        <v>2276</v>
      </c>
      <c r="AC1332" s="3" t="s">
        <v>4011</v>
      </c>
      <c r="AD1332" s="3"/>
    </row>
    <row r="1333" spans="1:30" ht="53.5" customHeight="1">
      <c r="A1333" s="11" t="s">
        <v>3990</v>
      </c>
      <c r="B1333" s="11" t="s">
        <v>4004</v>
      </c>
      <c r="C1333" s="3" t="s">
        <v>24</v>
      </c>
      <c r="D1333" s="3" t="s">
        <v>25</v>
      </c>
      <c r="E1333" s="4" t="s">
        <v>3854</v>
      </c>
      <c r="F1333" s="4" t="s">
        <v>29</v>
      </c>
      <c r="G1333" s="3" t="s">
        <v>2276</v>
      </c>
      <c r="H1333" s="3" t="s">
        <v>523</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3" t="s">
        <v>2276</v>
      </c>
      <c r="AB1333" s="3" t="s">
        <v>2276</v>
      </c>
      <c r="AC1333" s="3" t="s">
        <v>4010</v>
      </c>
      <c r="AD1333" s="3"/>
    </row>
    <row r="1334" spans="1:30" ht="55.5" customHeight="1">
      <c r="A1334" s="11" t="s">
        <v>3990</v>
      </c>
      <c r="B1334" s="11" t="s">
        <v>4005</v>
      </c>
      <c r="C1334" s="3" t="s">
        <v>24</v>
      </c>
      <c r="D1334" s="3" t="s">
        <v>2804</v>
      </c>
      <c r="E1334" s="4" t="s">
        <v>3854</v>
      </c>
      <c r="F1334" s="4" t="s">
        <v>2662</v>
      </c>
      <c r="G1334" s="3" t="s">
        <v>2276</v>
      </c>
      <c r="H1334" s="3" t="s">
        <v>523</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3" t="s">
        <v>2276</v>
      </c>
      <c r="AB1334" s="3" t="s">
        <v>2276</v>
      </c>
      <c r="AC1334" s="3" t="s">
        <v>4011</v>
      </c>
      <c r="AD1334" s="3"/>
    </row>
    <row r="1335" spans="1:30" ht="49.5" customHeight="1">
      <c r="A1335" s="11" t="s">
        <v>3990</v>
      </c>
      <c r="B1335" s="11" t="s">
        <v>3998</v>
      </c>
      <c r="C1335" s="3" t="s">
        <v>24</v>
      </c>
      <c r="D1335" s="3" t="s">
        <v>25</v>
      </c>
      <c r="E1335" s="3" t="s">
        <v>5005</v>
      </c>
      <c r="F1335" s="4" t="s">
        <v>29</v>
      </c>
      <c r="G1335" s="3" t="s">
        <v>2276</v>
      </c>
      <c r="H1335" s="3" t="s">
        <v>523</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3" t="s">
        <v>2276</v>
      </c>
      <c r="AB1335" s="3" t="s">
        <v>2276</v>
      </c>
      <c r="AC1335" s="3" t="s">
        <v>4012</v>
      </c>
      <c r="AD1335" s="3"/>
    </row>
    <row r="1336" spans="1:30" ht="53" customHeight="1">
      <c r="A1336" s="11" t="s">
        <v>3990</v>
      </c>
      <c r="B1336" s="11" t="s">
        <v>4002</v>
      </c>
      <c r="C1336" s="3" t="s">
        <v>24</v>
      </c>
      <c r="D1336" s="3" t="s">
        <v>2804</v>
      </c>
      <c r="E1336" s="3" t="s">
        <v>5005</v>
      </c>
      <c r="F1336" s="4" t="s">
        <v>2662</v>
      </c>
      <c r="G1336" s="3" t="s">
        <v>2276</v>
      </c>
      <c r="H1336" s="3" t="s">
        <v>523</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3" t="s">
        <v>2276</v>
      </c>
      <c r="AB1336" s="3" t="s">
        <v>2276</v>
      </c>
      <c r="AC1336" s="3" t="s">
        <v>4014</v>
      </c>
      <c r="AD1336" s="3"/>
    </row>
    <row r="1337" spans="1:30" ht="50.5" customHeight="1">
      <c r="A1337" s="11" t="s">
        <v>3990</v>
      </c>
      <c r="B1337" s="11" t="s">
        <v>4006</v>
      </c>
      <c r="C1337" s="3" t="s">
        <v>24</v>
      </c>
      <c r="D1337" s="3" t="s">
        <v>25</v>
      </c>
      <c r="E1337" s="4" t="s">
        <v>3854</v>
      </c>
      <c r="F1337" s="4" t="s">
        <v>29</v>
      </c>
      <c r="G1337" s="3" t="s">
        <v>2276</v>
      </c>
      <c r="H1337" s="3" t="s">
        <v>523</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3" t="s">
        <v>2276</v>
      </c>
      <c r="AB1337" s="3" t="s">
        <v>2276</v>
      </c>
      <c r="AC1337" s="3" t="s">
        <v>4012</v>
      </c>
      <c r="AD1337" s="3"/>
    </row>
    <row r="1338" spans="1:30" ht="47" customHeight="1">
      <c r="A1338" s="11" t="s">
        <v>3990</v>
      </c>
      <c r="B1338" s="11" t="s">
        <v>4007</v>
      </c>
      <c r="C1338" s="3" t="s">
        <v>24</v>
      </c>
      <c r="D1338" s="3" t="s">
        <v>2804</v>
      </c>
      <c r="E1338" s="4" t="s">
        <v>3854</v>
      </c>
      <c r="F1338" s="4" t="s">
        <v>2662</v>
      </c>
      <c r="G1338" s="3" t="s">
        <v>2276</v>
      </c>
      <c r="H1338" s="3" t="s">
        <v>523</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3" t="s">
        <v>2276</v>
      </c>
      <c r="AB1338" s="3" t="s">
        <v>2276</v>
      </c>
      <c r="AC1338" s="3" t="s">
        <v>4014</v>
      </c>
      <c r="AD1338" s="3"/>
    </row>
    <row r="1339" spans="1:30" ht="50" customHeight="1">
      <c r="A1339" s="11" t="s">
        <v>3995</v>
      </c>
      <c r="B1339" s="11" t="s">
        <v>3999</v>
      </c>
      <c r="C1339" s="3" t="s">
        <v>24</v>
      </c>
      <c r="D1339" s="3" t="s">
        <v>25</v>
      </c>
      <c r="E1339" s="3" t="s">
        <v>5005</v>
      </c>
      <c r="F1339" s="4" t="s">
        <v>29</v>
      </c>
      <c r="G1339" s="3" t="s">
        <v>2276</v>
      </c>
      <c r="H1339" s="3" t="s">
        <v>523</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3" t="s">
        <v>2276</v>
      </c>
      <c r="AB1339" s="3" t="s">
        <v>2276</v>
      </c>
      <c r="AC1339" s="3" t="s">
        <v>4013</v>
      </c>
      <c r="AD1339" s="3"/>
    </row>
    <row r="1340" spans="1:30" ht="51.5" customHeight="1">
      <c r="A1340" s="11" t="s">
        <v>3995</v>
      </c>
      <c r="B1340" s="11" t="s">
        <v>4003</v>
      </c>
      <c r="C1340" s="3" t="s">
        <v>24</v>
      </c>
      <c r="D1340" s="3" t="s">
        <v>2804</v>
      </c>
      <c r="E1340" s="3" t="s">
        <v>5005</v>
      </c>
      <c r="F1340" s="4" t="s">
        <v>2662</v>
      </c>
      <c r="G1340" s="3" t="s">
        <v>2276</v>
      </c>
      <c r="H1340" s="3" t="s">
        <v>523</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3" t="s">
        <v>2276</v>
      </c>
      <c r="AB1340" s="3" t="s">
        <v>2276</v>
      </c>
      <c r="AC1340" s="3" t="s">
        <v>4014</v>
      </c>
      <c r="AD1340" s="3"/>
    </row>
    <row r="1341" spans="1:30" ht="52.5" customHeight="1">
      <c r="A1341" s="11" t="s">
        <v>3995</v>
      </c>
      <c r="B1341" s="11" t="s">
        <v>4008</v>
      </c>
      <c r="C1341" s="3" t="s">
        <v>24</v>
      </c>
      <c r="D1341" s="3" t="s">
        <v>25</v>
      </c>
      <c r="E1341" s="4" t="s">
        <v>3854</v>
      </c>
      <c r="F1341" s="4" t="s">
        <v>29</v>
      </c>
      <c r="G1341" s="3" t="s">
        <v>2276</v>
      </c>
      <c r="H1341" s="3" t="s">
        <v>523</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3" t="s">
        <v>2276</v>
      </c>
      <c r="AB1341" s="3" t="s">
        <v>2276</v>
      </c>
      <c r="AC1341" s="3" t="s">
        <v>4013</v>
      </c>
      <c r="AD1341" s="3"/>
    </row>
    <row r="1342" spans="1:30" ht="47.5" customHeight="1">
      <c r="A1342" s="11" t="s">
        <v>3995</v>
      </c>
      <c r="B1342" s="11" t="s">
        <v>4009</v>
      </c>
      <c r="C1342" s="3" t="s">
        <v>24</v>
      </c>
      <c r="D1342" s="3" t="s">
        <v>2804</v>
      </c>
      <c r="E1342" s="4" t="s">
        <v>3854</v>
      </c>
      <c r="F1342" s="4" t="s">
        <v>2662</v>
      </c>
      <c r="G1342" s="3" t="s">
        <v>2276</v>
      </c>
      <c r="H1342" s="3" t="s">
        <v>523</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3" t="s">
        <v>2276</v>
      </c>
      <c r="AB1342" s="3" t="s">
        <v>2276</v>
      </c>
      <c r="AC1342" s="3" t="s">
        <v>4014</v>
      </c>
      <c r="AD1342" s="3"/>
    </row>
    <row r="1343" spans="1:30" ht="30" customHeight="1">
      <c r="A1343" s="11" t="s">
        <v>4015</v>
      </c>
      <c r="B1343" s="11" t="s">
        <v>4020</v>
      </c>
      <c r="C1343" s="3" t="s">
        <v>24</v>
      </c>
      <c r="D1343" s="3" t="s">
        <v>2804</v>
      </c>
      <c r="E1343" s="3" t="s">
        <v>5005</v>
      </c>
      <c r="F1343" s="4" t="s">
        <v>2662</v>
      </c>
      <c r="G1343" s="3" t="s">
        <v>2276</v>
      </c>
      <c r="H1343" s="3" t="s">
        <v>523</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2276</v>
      </c>
      <c r="Y1343" s="3" t="s">
        <v>2276</v>
      </c>
      <c r="Z1343" s="3" t="s">
        <v>35</v>
      </c>
      <c r="AA1343" s="3" t="s">
        <v>38</v>
      </c>
      <c r="AB1343" s="3" t="s">
        <v>2276</v>
      </c>
      <c r="AC1343" s="3"/>
      <c r="AD1343" s="3"/>
    </row>
    <row r="1344" spans="1:30" ht="33.5" customHeight="1">
      <c r="A1344" s="11" t="s">
        <v>4015</v>
      </c>
      <c r="B1344" s="11" t="s">
        <v>4021</v>
      </c>
      <c r="C1344" s="3" t="s">
        <v>24</v>
      </c>
      <c r="D1344" s="3" t="s">
        <v>25</v>
      </c>
      <c r="E1344" s="3" t="s">
        <v>5005</v>
      </c>
      <c r="F1344" s="4" t="s">
        <v>29</v>
      </c>
      <c r="G1344" s="3" t="s">
        <v>2276</v>
      </c>
      <c r="H1344" s="3" t="s">
        <v>523</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2276</v>
      </c>
      <c r="Y1344" s="3" t="s">
        <v>2276</v>
      </c>
      <c r="Z1344" s="3" t="s">
        <v>35</v>
      </c>
      <c r="AA1344" s="3" t="s">
        <v>38</v>
      </c>
      <c r="AB1344" s="3" t="s">
        <v>2276</v>
      </c>
      <c r="AC1344" s="3"/>
      <c r="AD1344" s="3"/>
    </row>
    <row r="1345" spans="1:30" ht="30" customHeight="1">
      <c r="A1345" s="11" t="s">
        <v>4015</v>
      </c>
      <c r="B1345" s="11" t="s">
        <v>4022</v>
      </c>
      <c r="C1345" s="3" t="s">
        <v>2458</v>
      </c>
      <c r="D1345" s="3" t="s">
        <v>2276</v>
      </c>
      <c r="E1345" s="3" t="s">
        <v>5005</v>
      </c>
      <c r="F1345" s="4" t="s">
        <v>2276</v>
      </c>
      <c r="G1345" s="3" t="s">
        <v>74</v>
      </c>
      <c r="H1345" s="3" t="s">
        <v>523</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2276</v>
      </c>
      <c r="Y1345" s="3" t="s">
        <v>2276</v>
      </c>
      <c r="Z1345" s="3" t="s">
        <v>35</v>
      </c>
      <c r="AA1345" s="3" t="s">
        <v>38</v>
      </c>
      <c r="AB1345" s="3" t="s">
        <v>2276</v>
      </c>
      <c r="AC1345" s="3"/>
      <c r="AD1345" s="3"/>
    </row>
    <row r="1346" spans="1:30" ht="44.5" customHeight="1">
      <c r="A1346" s="11" t="s">
        <v>4015</v>
      </c>
      <c r="B1346" s="11" t="s">
        <v>4023</v>
      </c>
      <c r="C1346" s="3" t="s">
        <v>24</v>
      </c>
      <c r="D1346" s="3" t="s">
        <v>2804</v>
      </c>
      <c r="E1346" s="3" t="s">
        <v>45</v>
      </c>
      <c r="F1346" s="4" t="s">
        <v>2662</v>
      </c>
      <c r="G1346" s="3" t="s">
        <v>2276</v>
      </c>
      <c r="H1346" s="3" t="s">
        <v>523</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t="s">
        <v>2276</v>
      </c>
      <c r="AB1346" s="3" t="s">
        <v>2276</v>
      </c>
      <c r="AC1346" s="3"/>
      <c r="AD1346" s="3"/>
    </row>
    <row r="1347" spans="1:30" ht="36.5" customHeight="1">
      <c r="A1347" s="11" t="s">
        <v>4015</v>
      </c>
      <c r="B1347" s="11" t="s">
        <v>4024</v>
      </c>
      <c r="C1347" s="3" t="s">
        <v>24</v>
      </c>
      <c r="D1347" s="3" t="s">
        <v>25</v>
      </c>
      <c r="E1347" s="3" t="s">
        <v>45</v>
      </c>
      <c r="F1347" s="4" t="s">
        <v>29</v>
      </c>
      <c r="G1347" s="3" t="s">
        <v>2276</v>
      </c>
      <c r="H1347" s="3" t="s">
        <v>523</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t="s">
        <v>2276</v>
      </c>
      <c r="AB1347" s="3" t="s">
        <v>2276</v>
      </c>
      <c r="AC1347" s="3"/>
      <c r="AD1347" s="3"/>
    </row>
    <row r="1348" spans="1:30" ht="33.5" customHeight="1">
      <c r="A1348" s="11" t="s">
        <v>4015</v>
      </c>
      <c r="B1348" s="11" t="s">
        <v>4025</v>
      </c>
      <c r="C1348" s="3" t="s">
        <v>24</v>
      </c>
      <c r="D1348" s="3" t="s">
        <v>2276</v>
      </c>
      <c r="E1348" s="3" t="s">
        <v>45</v>
      </c>
      <c r="F1348" s="4" t="s">
        <v>74</v>
      </c>
      <c r="G1348" s="3" t="s">
        <v>74</v>
      </c>
      <c r="H1348" s="3" t="s">
        <v>523</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t="s">
        <v>2276</v>
      </c>
      <c r="AB1348" s="3" t="s">
        <v>2276</v>
      </c>
      <c r="AC1348" s="3"/>
      <c r="AD1348" s="3"/>
    </row>
    <row r="1349" spans="1:30" ht="33" customHeight="1">
      <c r="A1349" s="11" t="s">
        <v>4015</v>
      </c>
      <c r="B1349" s="11" t="s">
        <v>4026</v>
      </c>
      <c r="C1349" s="3" t="s">
        <v>24</v>
      </c>
      <c r="D1349" s="3" t="s">
        <v>143</v>
      </c>
      <c r="E1349" s="4" t="s">
        <v>397</v>
      </c>
      <c r="F1349" s="4" t="s">
        <v>74</v>
      </c>
      <c r="G1349" s="3" t="s">
        <v>74</v>
      </c>
      <c r="H1349" s="3" t="s">
        <v>523</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t="s">
        <v>2276</v>
      </c>
      <c r="AB1349" s="3" t="s">
        <v>2276</v>
      </c>
      <c r="AC1349" s="3"/>
      <c r="AD1349" s="3"/>
    </row>
    <row r="1350" spans="1:30" ht="56.5" customHeight="1">
      <c r="A1350" s="11" t="s">
        <v>4028</v>
      </c>
      <c r="B1350" s="11" t="s">
        <v>4039</v>
      </c>
      <c r="C1350" s="3" t="s">
        <v>24</v>
      </c>
      <c r="D1350" s="3" t="s">
        <v>2804</v>
      </c>
      <c r="E1350" s="3" t="s">
        <v>5005</v>
      </c>
      <c r="F1350" s="4" t="s">
        <v>55</v>
      </c>
      <c r="G1350" s="3" t="s">
        <v>2276</v>
      </c>
      <c r="H1350" s="3"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3" t="s">
        <v>2276</v>
      </c>
      <c r="Z1350" s="3" t="s">
        <v>2276</v>
      </c>
      <c r="AA1350" s="3" t="s">
        <v>2276</v>
      </c>
      <c r="AB1350" s="3" t="s">
        <v>2276</v>
      </c>
      <c r="AC1350" s="4" t="s">
        <v>4047</v>
      </c>
      <c r="AD1350" s="3"/>
    </row>
    <row r="1351" spans="1:30" ht="56.5" customHeight="1">
      <c r="A1351" s="11" t="s">
        <v>4029</v>
      </c>
      <c r="B1351" s="11" t="s">
        <v>4040</v>
      </c>
      <c r="C1351" s="3" t="s">
        <v>24</v>
      </c>
      <c r="D1351" s="3" t="s">
        <v>2804</v>
      </c>
      <c r="E1351" s="3" t="s">
        <v>5005</v>
      </c>
      <c r="F1351" s="4" t="s">
        <v>55</v>
      </c>
      <c r="G1351" s="3" t="s">
        <v>2276</v>
      </c>
      <c r="H1351" s="3"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3" t="s">
        <v>2276</v>
      </c>
      <c r="Z1351" s="3" t="s">
        <v>2276</v>
      </c>
      <c r="AA1351" s="3" t="s">
        <v>2276</v>
      </c>
      <c r="AB1351" s="3" t="s">
        <v>2276</v>
      </c>
      <c r="AC1351" s="4" t="s">
        <v>4047</v>
      </c>
      <c r="AD1351" s="3"/>
    </row>
    <row r="1352" spans="1:30" ht="56.5" customHeight="1">
      <c r="A1352" s="11" t="s">
        <v>4030</v>
      </c>
      <c r="B1352" s="11" t="s">
        <v>4041</v>
      </c>
      <c r="C1352" s="3" t="s">
        <v>24</v>
      </c>
      <c r="D1352" s="3" t="s">
        <v>2804</v>
      </c>
      <c r="E1352" s="3" t="s">
        <v>5005</v>
      </c>
      <c r="F1352" s="4" t="s">
        <v>55</v>
      </c>
      <c r="G1352" s="3" t="s">
        <v>2276</v>
      </c>
      <c r="H1352" s="3"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3" t="s">
        <v>2276</v>
      </c>
      <c r="Z1352" s="3" t="s">
        <v>2276</v>
      </c>
      <c r="AA1352" s="3" t="s">
        <v>2276</v>
      </c>
      <c r="AB1352" s="3" t="s">
        <v>2276</v>
      </c>
      <c r="AC1352" s="4" t="s">
        <v>4047</v>
      </c>
      <c r="AD1352" s="3"/>
    </row>
    <row r="1353" spans="1:30" ht="56.5" customHeight="1">
      <c r="A1353" s="11" t="s">
        <v>4031</v>
      </c>
      <c r="B1353" s="11" t="s">
        <v>4042</v>
      </c>
      <c r="C1353" s="3" t="s">
        <v>24</v>
      </c>
      <c r="D1353" s="3" t="s">
        <v>2804</v>
      </c>
      <c r="E1353" s="3" t="s">
        <v>5005</v>
      </c>
      <c r="F1353" s="4" t="s">
        <v>55</v>
      </c>
      <c r="G1353" s="3" t="s">
        <v>2276</v>
      </c>
      <c r="H1353" s="3"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3" t="s">
        <v>2276</v>
      </c>
      <c r="Z1353" s="3" t="s">
        <v>2276</v>
      </c>
      <c r="AA1353" s="3" t="s">
        <v>2276</v>
      </c>
      <c r="AB1353" s="3" t="s">
        <v>2276</v>
      </c>
      <c r="AC1353" s="4" t="s">
        <v>4047</v>
      </c>
      <c r="AD1353" s="3"/>
    </row>
    <row r="1354" spans="1:30" ht="56.5" customHeight="1">
      <c r="A1354" s="11" t="s">
        <v>4028</v>
      </c>
      <c r="B1354" s="11" t="s">
        <v>4043</v>
      </c>
      <c r="C1354" s="3" t="s">
        <v>24</v>
      </c>
      <c r="D1354" s="3" t="s">
        <v>2804</v>
      </c>
      <c r="E1354" s="3" t="s">
        <v>5005</v>
      </c>
      <c r="F1354" s="4" t="s">
        <v>2662</v>
      </c>
      <c r="G1354" s="3" t="s">
        <v>2276</v>
      </c>
      <c r="H1354" s="3"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3" t="s">
        <v>2276</v>
      </c>
      <c r="Z1354" s="3" t="s">
        <v>2276</v>
      </c>
      <c r="AA1354" s="3" t="s">
        <v>2276</v>
      </c>
      <c r="AB1354" s="3" t="s">
        <v>2276</v>
      </c>
      <c r="AC1354" s="4" t="s">
        <v>4047</v>
      </c>
      <c r="AD1354" s="3"/>
    </row>
    <row r="1355" spans="1:30" ht="56.5" customHeight="1">
      <c r="A1355" s="11" t="s">
        <v>4029</v>
      </c>
      <c r="B1355" s="11" t="s">
        <v>4044</v>
      </c>
      <c r="C1355" s="3" t="s">
        <v>24</v>
      </c>
      <c r="D1355" s="3" t="s">
        <v>2804</v>
      </c>
      <c r="E1355" s="3" t="s">
        <v>5005</v>
      </c>
      <c r="F1355" s="4" t="s">
        <v>2662</v>
      </c>
      <c r="G1355" s="3" t="s">
        <v>2276</v>
      </c>
      <c r="H1355" s="3"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3" t="s">
        <v>2276</v>
      </c>
      <c r="Z1355" s="3" t="s">
        <v>2276</v>
      </c>
      <c r="AA1355" s="3" t="s">
        <v>2276</v>
      </c>
      <c r="AB1355" s="3" t="s">
        <v>2276</v>
      </c>
      <c r="AC1355" s="4" t="s">
        <v>4047</v>
      </c>
      <c r="AD1355" s="3"/>
    </row>
    <row r="1356" spans="1:30" ht="56.5" customHeight="1">
      <c r="A1356" s="11" t="s">
        <v>4030</v>
      </c>
      <c r="B1356" s="11" t="s">
        <v>4045</v>
      </c>
      <c r="C1356" s="3" t="s">
        <v>24</v>
      </c>
      <c r="D1356" s="3" t="s">
        <v>2804</v>
      </c>
      <c r="E1356" s="3" t="s">
        <v>5005</v>
      </c>
      <c r="F1356" s="4" t="s">
        <v>2662</v>
      </c>
      <c r="G1356" s="3" t="s">
        <v>2276</v>
      </c>
      <c r="H1356" s="3"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3" t="s">
        <v>2276</v>
      </c>
      <c r="Z1356" s="3" t="s">
        <v>2276</v>
      </c>
      <c r="AA1356" s="3" t="s">
        <v>2276</v>
      </c>
      <c r="AB1356" s="3" t="s">
        <v>2276</v>
      </c>
      <c r="AC1356" s="4" t="s">
        <v>4047</v>
      </c>
      <c r="AD1356" s="3"/>
    </row>
    <row r="1357" spans="1:30" ht="56.5" customHeight="1">
      <c r="A1357" s="11" t="s">
        <v>4031</v>
      </c>
      <c r="B1357" s="11" t="s">
        <v>4046</v>
      </c>
      <c r="C1357" s="3" t="s">
        <v>24</v>
      </c>
      <c r="D1357" s="3" t="s">
        <v>2804</v>
      </c>
      <c r="E1357" s="3" t="s">
        <v>5005</v>
      </c>
      <c r="F1357" s="4" t="s">
        <v>2662</v>
      </c>
      <c r="G1357" s="3"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3" t="s">
        <v>2276</v>
      </c>
      <c r="Z1357" s="3" t="s">
        <v>2276</v>
      </c>
      <c r="AA1357" s="3" t="s">
        <v>2276</v>
      </c>
      <c r="AB1357" s="3" t="s">
        <v>2276</v>
      </c>
      <c r="AC1357" s="4" t="s">
        <v>4047</v>
      </c>
      <c r="AD1357" s="3"/>
    </row>
    <row r="1358" spans="1:30" ht="29.5" customHeight="1">
      <c r="A1358" s="11" t="s">
        <v>4048</v>
      </c>
      <c r="B1358" s="3" t="s">
        <v>4049</v>
      </c>
      <c r="C1358" s="3" t="s">
        <v>2658</v>
      </c>
      <c r="D1358" s="3" t="s">
        <v>2276</v>
      </c>
      <c r="E1358" s="3" t="s">
        <v>2276</v>
      </c>
      <c r="F1358" s="4" t="s">
        <v>2276</v>
      </c>
      <c r="G1358" s="4" t="s">
        <v>74</v>
      </c>
      <c r="H1358" s="4" t="s">
        <v>523</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3" t="s">
        <v>2276</v>
      </c>
      <c r="AB1358" s="3" t="s">
        <v>2276</v>
      </c>
      <c r="AC1358" s="3" t="s">
        <v>4071</v>
      </c>
      <c r="AD1358" s="3"/>
    </row>
    <row r="1359" spans="1:30" ht="29.5" customHeight="1">
      <c r="A1359" s="11" t="s">
        <v>4063</v>
      </c>
      <c r="B1359" s="3" t="s">
        <v>4066</v>
      </c>
      <c r="C1359" s="3" t="s">
        <v>2658</v>
      </c>
      <c r="D1359" s="3" t="s">
        <v>2276</v>
      </c>
      <c r="E1359" s="3" t="s">
        <v>2276</v>
      </c>
      <c r="F1359" s="4" t="s">
        <v>2276</v>
      </c>
      <c r="G1359" s="4" t="s">
        <v>74</v>
      </c>
      <c r="H1359" s="4" t="s">
        <v>523</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3" t="s">
        <v>2276</v>
      </c>
      <c r="AB1359" s="3" t="s">
        <v>2276</v>
      </c>
      <c r="AC1359" s="3" t="s">
        <v>4071</v>
      </c>
      <c r="AD1359" s="3"/>
    </row>
    <row r="1360" spans="1:30" ht="29.5" customHeight="1">
      <c r="A1360" s="11" t="s">
        <v>4048</v>
      </c>
      <c r="B1360" s="3" t="s">
        <v>4067</v>
      </c>
      <c r="C1360" s="3" t="s">
        <v>2658</v>
      </c>
      <c r="D1360" s="3" t="s">
        <v>2276</v>
      </c>
      <c r="E1360" s="3" t="s">
        <v>2276</v>
      </c>
      <c r="F1360" s="4" t="s">
        <v>2276</v>
      </c>
      <c r="G1360" s="4" t="s">
        <v>28</v>
      </c>
      <c r="H1360" s="4" t="s">
        <v>523</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3" t="s">
        <v>2276</v>
      </c>
      <c r="AB1360" s="3" t="s">
        <v>2276</v>
      </c>
      <c r="AC1360" s="3" t="s">
        <v>4071</v>
      </c>
      <c r="AD1360" s="3"/>
    </row>
    <row r="1361" spans="1:30" ht="29.5" customHeight="1">
      <c r="A1361" s="11" t="s">
        <v>4063</v>
      </c>
      <c r="B1361" s="3" t="s">
        <v>4068</v>
      </c>
      <c r="C1361" s="3" t="s">
        <v>2658</v>
      </c>
      <c r="D1361" s="3" t="s">
        <v>2276</v>
      </c>
      <c r="E1361" s="3" t="s">
        <v>2276</v>
      </c>
      <c r="F1361" s="4" t="s">
        <v>2276</v>
      </c>
      <c r="G1361" s="4" t="s">
        <v>28</v>
      </c>
      <c r="H1361" s="4" t="s">
        <v>523</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3" t="s">
        <v>2276</v>
      </c>
      <c r="AB1361" s="3" t="s">
        <v>2276</v>
      </c>
      <c r="AC1361" s="3" t="s">
        <v>4071</v>
      </c>
      <c r="AD1361" s="3"/>
    </row>
    <row r="1362" spans="1:30" ht="29.5" customHeight="1">
      <c r="A1362" s="11" t="s">
        <v>4048</v>
      </c>
      <c r="B1362" s="3" t="s">
        <v>4069</v>
      </c>
      <c r="C1362" s="3" t="s">
        <v>2658</v>
      </c>
      <c r="D1362" s="3" t="s">
        <v>2276</v>
      </c>
      <c r="E1362" s="3" t="s">
        <v>2276</v>
      </c>
      <c r="F1362" s="4" t="s">
        <v>2276</v>
      </c>
      <c r="G1362" s="4" t="s">
        <v>2662</v>
      </c>
      <c r="H1362" s="4" t="s">
        <v>523</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3" t="s">
        <v>2276</v>
      </c>
      <c r="AB1362" s="3" t="s">
        <v>2276</v>
      </c>
      <c r="AC1362" s="3" t="s">
        <v>4071</v>
      </c>
      <c r="AD1362" s="3"/>
    </row>
    <row r="1363" spans="1:30" ht="29.5" customHeight="1">
      <c r="A1363" s="11" t="s">
        <v>4063</v>
      </c>
      <c r="B1363" s="3" t="s">
        <v>4070</v>
      </c>
      <c r="C1363" s="3" t="s">
        <v>2658</v>
      </c>
      <c r="D1363" s="3" t="s">
        <v>2276</v>
      </c>
      <c r="E1363" s="3" t="s">
        <v>2276</v>
      </c>
      <c r="F1363" s="4" t="s">
        <v>2276</v>
      </c>
      <c r="G1363" s="4" t="s">
        <v>2662</v>
      </c>
      <c r="H1363" s="4" t="s">
        <v>523</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3" t="s">
        <v>2276</v>
      </c>
      <c r="AB1363" s="3"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3" t="s">
        <v>2276</v>
      </c>
      <c r="Z1364" s="3" t="s">
        <v>2276</v>
      </c>
      <c r="AA1364" s="3" t="s">
        <v>2276</v>
      </c>
      <c r="AB1364" s="3"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3" t="s">
        <v>2276</v>
      </c>
      <c r="Z1365" s="3" t="s">
        <v>2276</v>
      </c>
      <c r="AA1365" s="3" t="s">
        <v>2276</v>
      </c>
      <c r="AB1365" s="3"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3" t="s">
        <v>2276</v>
      </c>
      <c r="Z1366" s="3" t="s">
        <v>2276</v>
      </c>
      <c r="AA1366" s="3" t="s">
        <v>2276</v>
      </c>
      <c r="AB1366" s="3"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3" t="s">
        <v>2276</v>
      </c>
      <c r="K1367" s="3" t="s">
        <v>2276</v>
      </c>
      <c r="L1367" s="3" t="s">
        <v>2276</v>
      </c>
      <c r="M1367" s="3" t="s">
        <v>2276</v>
      </c>
      <c r="N1367" s="3" t="s">
        <v>2276</v>
      </c>
      <c r="O1367" s="3" t="s">
        <v>2276</v>
      </c>
      <c r="P1367" s="3" t="s">
        <v>2276</v>
      </c>
      <c r="Q1367" s="3" t="s">
        <v>2276</v>
      </c>
      <c r="R1367" s="3" t="s">
        <v>2276</v>
      </c>
      <c r="S1367" s="3" t="s">
        <v>2276</v>
      </c>
      <c r="T1367" s="3" t="s">
        <v>2276</v>
      </c>
      <c r="U1367" s="3" t="s">
        <v>2276</v>
      </c>
      <c r="V1367" s="3" t="s">
        <v>2276</v>
      </c>
      <c r="W1367" s="3" t="s">
        <v>2276</v>
      </c>
      <c r="X1367" s="3" t="s">
        <v>2276</v>
      </c>
      <c r="Y1367" s="21">
        <v>18</v>
      </c>
      <c r="Z1367" s="3" t="s">
        <v>189</v>
      </c>
      <c r="AA1367" s="3" t="s">
        <v>34</v>
      </c>
      <c r="AB1367" s="3"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2276</v>
      </c>
      <c r="U1368" s="3" t="s">
        <v>2276</v>
      </c>
      <c r="V1368" s="3" t="s">
        <v>2276</v>
      </c>
      <c r="W1368" s="3" t="s">
        <v>2276</v>
      </c>
      <c r="X1368" s="3" t="s">
        <v>2276</v>
      </c>
      <c r="Y1368" s="3" t="s">
        <v>2276</v>
      </c>
      <c r="Z1368" s="3" t="s">
        <v>189</v>
      </c>
      <c r="AA1368" s="3" t="s">
        <v>34</v>
      </c>
      <c r="AB1368" s="3"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2276</v>
      </c>
      <c r="U1369" s="3" t="s">
        <v>2276</v>
      </c>
      <c r="V1369" s="3" t="s">
        <v>2276</v>
      </c>
      <c r="W1369" s="3" t="s">
        <v>2276</v>
      </c>
      <c r="X1369" s="3" t="s">
        <v>2276</v>
      </c>
      <c r="Y1369" s="3" t="s">
        <v>2276</v>
      </c>
      <c r="Z1369" s="3" t="s">
        <v>189</v>
      </c>
      <c r="AA1369" s="3" t="s">
        <v>34</v>
      </c>
      <c r="AB1369" s="3"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2276</v>
      </c>
      <c r="U1370" s="3" t="s">
        <v>2276</v>
      </c>
      <c r="V1370" s="3" t="s">
        <v>2276</v>
      </c>
      <c r="W1370" s="3" t="s">
        <v>2276</v>
      </c>
      <c r="X1370" s="3" t="s">
        <v>2276</v>
      </c>
      <c r="Y1370" s="3" t="s">
        <v>2276</v>
      </c>
      <c r="Z1370" s="3" t="s">
        <v>189</v>
      </c>
      <c r="AA1370" s="3" t="s">
        <v>34</v>
      </c>
      <c r="AB1370" s="3"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2276</v>
      </c>
      <c r="U1371" s="3" t="s">
        <v>2276</v>
      </c>
      <c r="V1371" s="3" t="s">
        <v>2276</v>
      </c>
      <c r="W1371" s="3" t="s">
        <v>2276</v>
      </c>
      <c r="X1371" s="3" t="s">
        <v>2276</v>
      </c>
      <c r="Y1371" s="3" t="s">
        <v>2276</v>
      </c>
      <c r="Z1371" s="3" t="s">
        <v>189</v>
      </c>
      <c r="AA1371" s="3" t="s">
        <v>34</v>
      </c>
      <c r="AB1371" s="3"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3" t="s">
        <v>2276</v>
      </c>
      <c r="Z1372" s="3" t="s">
        <v>189</v>
      </c>
      <c r="AA1372" s="3" t="s">
        <v>34</v>
      </c>
      <c r="AB1372" s="3" t="s">
        <v>2276</v>
      </c>
      <c r="AC1372" s="4" t="s">
        <v>4099</v>
      </c>
      <c r="AD1372" s="3"/>
    </row>
    <row r="1373" spans="1:30" ht="39" customHeight="1">
      <c r="A1373" s="11" t="s">
        <v>4108</v>
      </c>
      <c r="B1373" s="3" t="s">
        <v>4118</v>
      </c>
      <c r="C1373" s="3" t="s">
        <v>24</v>
      </c>
      <c r="D1373" s="3" t="s">
        <v>25</v>
      </c>
      <c r="E1373" s="3" t="s">
        <v>5005</v>
      </c>
      <c r="F1373" s="4" t="s">
        <v>55</v>
      </c>
      <c r="G1373" s="3" t="s">
        <v>2276</v>
      </c>
      <c r="H1373" s="3" t="s">
        <v>523</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t="s">
        <v>2276</v>
      </c>
      <c r="AB1373" s="3" t="s">
        <v>2276</v>
      </c>
      <c r="AC1373" s="3"/>
      <c r="AD1373" s="3"/>
    </row>
    <row r="1374" spans="1:30" ht="39" customHeight="1">
      <c r="A1374" s="11" t="s">
        <v>4108</v>
      </c>
      <c r="B1374" s="3" t="s">
        <v>4119</v>
      </c>
      <c r="C1374" s="3" t="s">
        <v>24</v>
      </c>
      <c r="D1374" s="3" t="s">
        <v>25</v>
      </c>
      <c r="E1374" s="3" t="s">
        <v>45</v>
      </c>
      <c r="F1374" s="4" t="s">
        <v>55</v>
      </c>
      <c r="G1374" s="3" t="s">
        <v>2276</v>
      </c>
      <c r="H1374" s="3" t="s">
        <v>523</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t="s">
        <v>2276</v>
      </c>
      <c r="AB1374" s="3" t="s">
        <v>2276</v>
      </c>
      <c r="AC1374" s="3"/>
      <c r="AD1374" s="3"/>
    </row>
    <row r="1375" spans="1:30" ht="36" customHeight="1">
      <c r="A1375" s="11" t="s">
        <v>4109</v>
      </c>
      <c r="B1375" s="3" t="s">
        <v>4120</v>
      </c>
      <c r="C1375" s="3" t="s">
        <v>24</v>
      </c>
      <c r="D1375" s="3" t="s">
        <v>25</v>
      </c>
      <c r="E1375" s="3" t="s">
        <v>5005</v>
      </c>
      <c r="F1375" s="4" t="s">
        <v>55</v>
      </c>
      <c r="G1375" s="3" t="s">
        <v>2276</v>
      </c>
      <c r="H1375" s="3" t="s">
        <v>523</v>
      </c>
      <c r="I1375" s="3"/>
      <c r="J1375" s="3" t="s">
        <v>2276</v>
      </c>
      <c r="K1375" s="3" t="s">
        <v>2276</v>
      </c>
      <c r="L1375" s="3" t="s">
        <v>2276</v>
      </c>
      <c r="M1375" s="3" t="s">
        <v>2276</v>
      </c>
      <c r="N1375" s="3" t="s">
        <v>2276</v>
      </c>
      <c r="O1375" s="3" t="s">
        <v>2276</v>
      </c>
      <c r="P1375" s="3" t="s">
        <v>2276</v>
      </c>
      <c r="Q1375" s="3" t="s">
        <v>2276</v>
      </c>
      <c r="R1375" s="3" t="s">
        <v>2276</v>
      </c>
      <c r="S1375" s="3" t="s">
        <v>2276</v>
      </c>
      <c r="T1375" s="3" t="s">
        <v>2276</v>
      </c>
      <c r="U1375" s="3" t="s">
        <v>2276</v>
      </c>
      <c r="V1375" s="3" t="s">
        <v>2276</v>
      </c>
      <c r="W1375" s="3" t="s">
        <v>2276</v>
      </c>
      <c r="X1375" s="3" t="s">
        <v>2276</v>
      </c>
      <c r="Y1375" s="3" t="s">
        <v>2276</v>
      </c>
      <c r="Z1375" s="3" t="s">
        <v>425</v>
      </c>
      <c r="AA1375" s="3" t="s">
        <v>35</v>
      </c>
      <c r="AB1375" s="3" t="s">
        <v>64</v>
      </c>
      <c r="AC1375" s="3" t="s">
        <v>4117</v>
      </c>
      <c r="AD1375" s="3"/>
    </row>
    <row r="1376" spans="1:30" ht="36.5" customHeight="1">
      <c r="A1376" s="11" t="s">
        <v>4109</v>
      </c>
      <c r="B1376" s="3" t="s">
        <v>4121</v>
      </c>
      <c r="C1376" s="3" t="s">
        <v>24</v>
      </c>
      <c r="D1376" s="3" t="s">
        <v>25</v>
      </c>
      <c r="E1376" s="3" t="s">
        <v>45</v>
      </c>
      <c r="F1376" s="4" t="s">
        <v>55</v>
      </c>
      <c r="G1376" s="3" t="s">
        <v>2276</v>
      </c>
      <c r="H1376" s="3" t="s">
        <v>523</v>
      </c>
      <c r="I1376" s="3"/>
      <c r="J1376" s="3" t="s">
        <v>2276</v>
      </c>
      <c r="K1376" s="3" t="s">
        <v>2276</v>
      </c>
      <c r="L1376" s="3" t="s">
        <v>2276</v>
      </c>
      <c r="M1376" s="3" t="s">
        <v>2276</v>
      </c>
      <c r="N1376" s="3" t="s">
        <v>2276</v>
      </c>
      <c r="O1376" s="3" t="s">
        <v>2276</v>
      </c>
      <c r="P1376" s="3" t="s">
        <v>2276</v>
      </c>
      <c r="Q1376" s="3" t="s">
        <v>2276</v>
      </c>
      <c r="R1376" s="3" t="s">
        <v>2276</v>
      </c>
      <c r="S1376" s="3" t="s">
        <v>2276</v>
      </c>
      <c r="T1376" s="3" t="s">
        <v>2276</v>
      </c>
      <c r="U1376" s="3" t="s">
        <v>2276</v>
      </c>
      <c r="V1376" s="3" t="s">
        <v>2276</v>
      </c>
      <c r="W1376" s="3" t="s">
        <v>2276</v>
      </c>
      <c r="X1376" s="3" t="s">
        <v>2276</v>
      </c>
      <c r="Y1376" s="3" t="s">
        <v>2276</v>
      </c>
      <c r="Z1376" s="3" t="s">
        <v>425</v>
      </c>
      <c r="AA1376" s="3" t="s">
        <v>35</v>
      </c>
      <c r="AB1376" s="3"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3" t="s">
        <v>2276</v>
      </c>
      <c r="AB1377" s="3"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3" t="s">
        <v>2276</v>
      </c>
      <c r="AB1378" s="3" t="s">
        <v>2276</v>
      </c>
      <c r="AC1378" s="4" t="s">
        <v>4135</v>
      </c>
      <c r="AD1378" s="3"/>
    </row>
    <row r="1379" spans="1:30" ht="40" customHeight="1">
      <c r="A1379" s="3" t="s">
        <v>4138</v>
      </c>
      <c r="B1379" s="3" t="s">
        <v>4143</v>
      </c>
      <c r="C1379" s="3" t="s">
        <v>24</v>
      </c>
      <c r="D1379" s="3" t="s">
        <v>143</v>
      </c>
      <c r="E1379" s="3" t="s">
        <v>5005</v>
      </c>
      <c r="F1379" s="4" t="s">
        <v>74</v>
      </c>
      <c r="G1379" s="3" t="s">
        <v>2276</v>
      </c>
      <c r="H1379" s="3" t="s">
        <v>523</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3" t="s">
        <v>2276</v>
      </c>
      <c r="AB1379" s="3" t="s">
        <v>2276</v>
      </c>
      <c r="AC1379" s="4" t="s">
        <v>4145</v>
      </c>
      <c r="AD1379" s="3"/>
    </row>
    <row r="1380" spans="1:30" ht="40" customHeight="1">
      <c r="A1380" s="3" t="s">
        <v>4138</v>
      </c>
      <c r="B1380" s="3" t="s">
        <v>4144</v>
      </c>
      <c r="C1380" s="3" t="s">
        <v>24</v>
      </c>
      <c r="D1380" s="3" t="s">
        <v>143</v>
      </c>
      <c r="E1380" s="3" t="s">
        <v>45</v>
      </c>
      <c r="F1380" s="4" t="s">
        <v>74</v>
      </c>
      <c r="G1380" s="3" t="s">
        <v>2276</v>
      </c>
      <c r="H1380" s="3" t="s">
        <v>523</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3" t="s">
        <v>2276</v>
      </c>
      <c r="AB1380" s="3"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2276</v>
      </c>
      <c r="Y1381" s="3" t="s">
        <v>2276</v>
      </c>
      <c r="Z1381" s="3" t="s">
        <v>405</v>
      </c>
      <c r="AA1381" s="3" t="s">
        <v>68</v>
      </c>
      <c r="AB1381" s="3"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2276</v>
      </c>
      <c r="Y1382" s="3" t="s">
        <v>2276</v>
      </c>
      <c r="Z1382" s="3" t="s">
        <v>86</v>
      </c>
      <c r="AA1382" s="3" t="s">
        <v>425</v>
      </c>
      <c r="AB1382" s="3"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2276</v>
      </c>
      <c r="Y1383" s="3" t="s">
        <v>2276</v>
      </c>
      <c r="Z1383" s="3" t="s">
        <v>86</v>
      </c>
      <c r="AA1383" s="3" t="s">
        <v>68</v>
      </c>
      <c r="AB1383" s="3"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2276</v>
      </c>
      <c r="Y1384" s="3" t="s">
        <v>2276</v>
      </c>
      <c r="Z1384" s="3" t="s">
        <v>425</v>
      </c>
      <c r="AA1384" s="3" t="s">
        <v>68</v>
      </c>
      <c r="AB1384" s="3"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2276</v>
      </c>
      <c r="Y1385" s="3" t="s">
        <v>2276</v>
      </c>
      <c r="Z1385" s="3" t="s">
        <v>404</v>
      </c>
      <c r="AA1385" s="3" t="s">
        <v>68</v>
      </c>
      <c r="AB1385" s="3"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2276</v>
      </c>
      <c r="Y1386" s="3" t="s">
        <v>2276</v>
      </c>
      <c r="Z1386" s="3" t="s">
        <v>404</v>
      </c>
      <c r="AA1386" s="3" t="s">
        <v>68</v>
      </c>
      <c r="AB1386" s="3"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2276</v>
      </c>
      <c r="Y1387" s="3" t="s">
        <v>2276</v>
      </c>
      <c r="Z1387" s="3" t="s">
        <v>34</v>
      </c>
      <c r="AA1387" s="3" t="s">
        <v>425</v>
      </c>
      <c r="AB1387" s="3"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2276</v>
      </c>
      <c r="Y1388" s="3" t="s">
        <v>2276</v>
      </c>
      <c r="Z1388" s="3" t="s">
        <v>34</v>
      </c>
      <c r="AA1388" s="3" t="s">
        <v>425</v>
      </c>
      <c r="AB1388" s="3"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2276</v>
      </c>
      <c r="Y1389" s="3"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2276</v>
      </c>
      <c r="Y1390" s="3"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3" t="s">
        <v>2276</v>
      </c>
      <c r="H1391" s="3" t="s">
        <v>523</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2276</v>
      </c>
      <c r="Y1391" s="3"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3" t="s">
        <v>2276</v>
      </c>
      <c r="H1392" s="3" t="s">
        <v>523</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3" t="s">
        <v>2276</v>
      </c>
      <c r="H1393" s="3" t="s">
        <v>523</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2276</v>
      </c>
      <c r="Y1393" s="3"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3"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3"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3" t="s">
        <v>2276</v>
      </c>
      <c r="H1396" s="3" t="s">
        <v>523</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2276</v>
      </c>
      <c r="Y1396" s="3" t="s">
        <v>2276</v>
      </c>
      <c r="Z1396" s="3" t="s">
        <v>404</v>
      </c>
      <c r="AA1396" s="3" t="s">
        <v>425</v>
      </c>
      <c r="AB1396" s="3" t="s">
        <v>64</v>
      </c>
      <c r="AC1396" s="4" t="s">
        <v>4185</v>
      </c>
      <c r="AD1396" s="3"/>
    </row>
    <row r="1397" spans="1:30" ht="40" customHeight="1">
      <c r="A1397" s="11" t="s">
        <v>4147</v>
      </c>
      <c r="B1397" s="11" t="s">
        <v>4167</v>
      </c>
      <c r="C1397" s="3" t="s">
        <v>24</v>
      </c>
      <c r="D1397" s="3" t="s">
        <v>26</v>
      </c>
      <c r="E1397" s="19" t="s">
        <v>5005</v>
      </c>
      <c r="F1397" s="4" t="s">
        <v>2662</v>
      </c>
      <c r="G1397" s="3" t="s">
        <v>2276</v>
      </c>
      <c r="H1397" s="3" t="s">
        <v>523</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2276</v>
      </c>
      <c r="Y1397" s="3" t="s">
        <v>2276</v>
      </c>
      <c r="Z1397" s="3" t="s">
        <v>86</v>
      </c>
      <c r="AA1397" s="3" t="s">
        <v>68</v>
      </c>
      <c r="AB1397" s="3" t="s">
        <v>64</v>
      </c>
      <c r="AC1397" s="4" t="s">
        <v>4185</v>
      </c>
      <c r="AD1397" s="3"/>
    </row>
    <row r="1398" spans="1:30" ht="40" customHeight="1">
      <c r="A1398" s="11" t="s">
        <v>4147</v>
      </c>
      <c r="B1398" s="11" t="s">
        <v>4168</v>
      </c>
      <c r="C1398" s="3" t="s">
        <v>24</v>
      </c>
      <c r="D1398" s="3" t="s">
        <v>26</v>
      </c>
      <c r="E1398" s="3" t="s">
        <v>45</v>
      </c>
      <c r="F1398" s="4" t="s">
        <v>2662</v>
      </c>
      <c r="G1398" s="3" t="s">
        <v>2276</v>
      </c>
      <c r="H1398" s="3" t="s">
        <v>523</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2276</v>
      </c>
      <c r="Y1398" s="3" t="s">
        <v>2276</v>
      </c>
      <c r="Z1398" s="3" t="s">
        <v>86</v>
      </c>
      <c r="AA1398" s="3" t="s">
        <v>68</v>
      </c>
      <c r="AB1398" s="3" t="s">
        <v>64</v>
      </c>
      <c r="AC1398" s="4" t="s">
        <v>4185</v>
      </c>
      <c r="AD1398" s="3"/>
    </row>
    <row r="1399" spans="1:30" ht="51" customHeight="1">
      <c r="A1399" s="11" t="s">
        <v>4147</v>
      </c>
      <c r="B1399" s="11" t="s">
        <v>4169</v>
      </c>
      <c r="C1399" s="3" t="s">
        <v>24</v>
      </c>
      <c r="D1399" s="3" t="s">
        <v>3480</v>
      </c>
      <c r="E1399" s="19" t="s">
        <v>5005</v>
      </c>
      <c r="F1399" s="4" t="s">
        <v>74</v>
      </c>
      <c r="G1399" s="3" t="s">
        <v>2276</v>
      </c>
      <c r="H1399" s="3" t="s">
        <v>523</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2276</v>
      </c>
      <c r="Y1399" s="3" t="s">
        <v>2276</v>
      </c>
      <c r="Z1399" s="3" t="s">
        <v>86</v>
      </c>
      <c r="AA1399" s="3" t="s">
        <v>404</v>
      </c>
      <c r="AB1399" s="3" t="s">
        <v>64</v>
      </c>
      <c r="AC1399" s="4" t="s">
        <v>4194</v>
      </c>
      <c r="AD1399" s="3"/>
    </row>
    <row r="1400" spans="1:30" ht="52" customHeight="1">
      <c r="A1400" s="11" t="s">
        <v>4147</v>
      </c>
      <c r="B1400" s="11" t="s">
        <v>4170</v>
      </c>
      <c r="C1400" s="3" t="s">
        <v>24</v>
      </c>
      <c r="D1400" s="3" t="s">
        <v>3480</v>
      </c>
      <c r="E1400" s="3" t="s">
        <v>45</v>
      </c>
      <c r="F1400" s="4" t="s">
        <v>74</v>
      </c>
      <c r="G1400" s="3" t="s">
        <v>2276</v>
      </c>
      <c r="H1400" s="3" t="s">
        <v>523</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2276</v>
      </c>
      <c r="Y1400" s="3"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21">
        <f>100*(6626+6432)/(191976*'Land use'!$O$698/100)</f>
        <v>11.081067890384245</v>
      </c>
      <c r="W1409" s="3" t="s">
        <v>2276</v>
      </c>
      <c r="X1409" s="21">
        <f>100*(6626+6432)/191976</f>
        <v>6.8018919031545613</v>
      </c>
      <c r="Y1409" s="3" t="s">
        <v>2276</v>
      </c>
      <c r="Z1409" s="3" t="s">
        <v>2276</v>
      </c>
      <c r="AA1409" s="3" t="s">
        <v>2276</v>
      </c>
      <c r="AB1409" s="3" t="s">
        <v>2276</v>
      </c>
      <c r="AC1409" s="3"/>
      <c r="AD1409" s="3"/>
    </row>
    <row r="1410" spans="1:30" ht="35.5" customHeight="1">
      <c r="A1410" s="11" t="s">
        <v>4197</v>
      </c>
      <c r="B1410" s="11" t="s">
        <v>4205</v>
      </c>
      <c r="C1410" s="3" t="s">
        <v>1105</v>
      </c>
      <c r="D1410" s="3" t="s">
        <v>2276</v>
      </c>
      <c r="E1410" s="3" t="s">
        <v>45</v>
      </c>
      <c r="F1410" s="4" t="s">
        <v>2276</v>
      </c>
      <c r="G1410" s="3" t="s">
        <v>55</v>
      </c>
      <c r="H1410" s="3" t="s">
        <v>523</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21">
        <f>100 * (4283+1392+6432) / (191976*'Land use'!$O$698/100)</f>
        <v>10.27404571518472</v>
      </c>
      <c r="W1410" s="3" t="s">
        <v>2276</v>
      </c>
      <c r="X1410" s="21">
        <f>100 * (4283+1392+6432) / 191976</f>
        <v>6.3065174813518352</v>
      </c>
      <c r="Y1410" s="3" t="s">
        <v>2276</v>
      </c>
      <c r="Z1410" s="3" t="s">
        <v>2276</v>
      </c>
      <c r="AA1410" s="3" t="s">
        <v>2276</v>
      </c>
      <c r="AB1410" s="3" t="s">
        <v>2276</v>
      </c>
      <c r="AC1410" s="3"/>
      <c r="AD1410" s="3"/>
    </row>
    <row r="1411" spans="1:30" ht="92.5" customHeight="1">
      <c r="A1411" s="11" t="s">
        <v>4210</v>
      </c>
      <c r="B1411" s="11" t="s">
        <v>4214</v>
      </c>
      <c r="C1411" s="3" t="s">
        <v>24</v>
      </c>
      <c r="D1411" s="3" t="s">
        <v>2804</v>
      </c>
      <c r="E1411" s="3" t="s">
        <v>45</v>
      </c>
      <c r="F1411" s="4" t="s">
        <v>2662</v>
      </c>
      <c r="G1411" s="3" t="s">
        <v>2276</v>
      </c>
      <c r="H1411" s="3" t="s">
        <v>523</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2276</v>
      </c>
      <c r="Y1415" s="3"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3" t="s">
        <v>2276</v>
      </c>
      <c r="P1416" s="3" t="s">
        <v>2276</v>
      </c>
      <c r="Q1416" s="3" t="s">
        <v>2276</v>
      </c>
      <c r="R1416" s="3" t="s">
        <v>2276</v>
      </c>
      <c r="S1416" s="3" t="s">
        <v>2276</v>
      </c>
      <c r="T1416" s="3" t="s">
        <v>2276</v>
      </c>
      <c r="U1416" s="3" t="s">
        <v>2276</v>
      </c>
      <c r="V1416" s="3" t="s">
        <v>2276</v>
      </c>
      <c r="W1416" s="3" t="s">
        <v>2276</v>
      </c>
      <c r="X1416" s="3" t="s">
        <v>2276</v>
      </c>
      <c r="Y1416" s="3"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3" t="s">
        <v>2276</v>
      </c>
      <c r="K1417" s="21">
        <v>1E-3</v>
      </c>
      <c r="L1417" s="3" t="s">
        <v>2276</v>
      </c>
      <c r="M1417" s="21">
        <v>4.0000000000000001E-3</v>
      </c>
      <c r="N1417" s="3" t="s">
        <v>2276</v>
      </c>
      <c r="O1417" s="3" t="s">
        <v>2276</v>
      </c>
      <c r="P1417" s="3" t="s">
        <v>2276</v>
      </c>
      <c r="Q1417" s="3" t="s">
        <v>2276</v>
      </c>
      <c r="R1417" s="3" t="s">
        <v>2276</v>
      </c>
      <c r="S1417" s="3" t="s">
        <v>2276</v>
      </c>
      <c r="T1417" s="3" t="s">
        <v>2276</v>
      </c>
      <c r="U1417" s="3" t="s">
        <v>2276</v>
      </c>
      <c r="V1417" s="3" t="s">
        <v>2276</v>
      </c>
      <c r="W1417" s="3" t="s">
        <v>2276</v>
      </c>
      <c r="X1417" s="3"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3"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3"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3"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3"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3"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3" t="s">
        <v>2458</v>
      </c>
      <c r="D1434" s="3" t="s">
        <v>25</v>
      </c>
      <c r="E1434" s="4" t="s">
        <v>3854</v>
      </c>
      <c r="F1434" s="4" t="s">
        <v>74</v>
      </c>
      <c r="G1434" s="3" t="s">
        <v>2276</v>
      </c>
      <c r="H1434" s="3" t="s">
        <v>523</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3" t="s">
        <v>2276</v>
      </c>
      <c r="AC1434" s="3" t="s">
        <v>2276</v>
      </c>
      <c r="AD1434" s="4" t="s">
        <v>4279</v>
      </c>
    </row>
    <row r="1435" spans="1:30" ht="29">
      <c r="A1435" s="11" t="s">
        <v>4257</v>
      </c>
      <c r="B1435" s="11" t="s">
        <v>4283</v>
      </c>
      <c r="C1435" s="3" t="s">
        <v>24</v>
      </c>
      <c r="D1435" s="3" t="s">
        <v>2994</v>
      </c>
      <c r="E1435" s="4" t="s">
        <v>1105</v>
      </c>
      <c r="F1435" s="4" t="s">
        <v>2276</v>
      </c>
      <c r="G1435" s="3" t="s">
        <v>2276</v>
      </c>
      <c r="H1435" s="3" t="s">
        <v>523</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2276</v>
      </c>
      <c r="AB1435" s="3" t="s">
        <v>2276</v>
      </c>
      <c r="AC1435" s="3" t="s">
        <v>4278</v>
      </c>
      <c r="AD1435" s="4" t="s">
        <v>4279</v>
      </c>
    </row>
    <row r="1436" spans="1:30" ht="29">
      <c r="A1436" s="11" t="s">
        <v>4257</v>
      </c>
      <c r="B1436" s="11" t="s">
        <v>4284</v>
      </c>
      <c r="C1436" s="3" t="s">
        <v>2458</v>
      </c>
      <c r="D1436" s="3" t="s">
        <v>2994</v>
      </c>
      <c r="E1436" s="4" t="s">
        <v>1105</v>
      </c>
      <c r="F1436" s="4" t="s">
        <v>2276</v>
      </c>
      <c r="G1436" s="3" t="s">
        <v>2276</v>
      </c>
      <c r="H1436" s="3" t="s">
        <v>523</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3" t="s">
        <v>2276</v>
      </c>
      <c r="AC1436" s="3" t="s">
        <v>2276</v>
      </c>
      <c r="AD1436" s="4" t="s">
        <v>4279</v>
      </c>
    </row>
    <row r="1437" spans="1:30" ht="29">
      <c r="A1437" s="11" t="s">
        <v>4257</v>
      </c>
      <c r="B1437" s="11" t="s">
        <v>4285</v>
      </c>
      <c r="C1437" s="3" t="s">
        <v>31</v>
      </c>
      <c r="D1437" s="3" t="s">
        <v>30</v>
      </c>
      <c r="E1437" s="3" t="s">
        <v>1105</v>
      </c>
      <c r="F1437" s="4" t="s">
        <v>2276</v>
      </c>
      <c r="G1437" s="3" t="s">
        <v>2276</v>
      </c>
      <c r="H1437" s="3" t="s">
        <v>523</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3" t="s">
        <v>2276</v>
      </c>
      <c r="AB1437" s="3" t="s">
        <v>2276</v>
      </c>
      <c r="AC1437" s="4" t="s">
        <v>4275</v>
      </c>
      <c r="AD1437" s="4" t="s">
        <v>4279</v>
      </c>
    </row>
    <row r="1438" spans="1:30" ht="29">
      <c r="A1438" s="11" t="s">
        <v>4257</v>
      </c>
      <c r="B1438" s="11" t="s">
        <v>4286</v>
      </c>
      <c r="C1438" s="3" t="s">
        <v>31</v>
      </c>
      <c r="D1438" s="3" t="s">
        <v>30</v>
      </c>
      <c r="E1438" s="3" t="s">
        <v>2652</v>
      </c>
      <c r="F1438" s="4" t="s">
        <v>2276</v>
      </c>
      <c r="G1438" s="3" t="s">
        <v>2276</v>
      </c>
      <c r="H1438" s="3" t="s">
        <v>523</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3" t="s">
        <v>2276</v>
      </c>
      <c r="AB1438" s="3" t="s">
        <v>2276</v>
      </c>
      <c r="AC1438" s="4" t="s">
        <v>4274</v>
      </c>
      <c r="AD1438" s="4" t="s">
        <v>4279</v>
      </c>
    </row>
    <row r="1439" spans="1:30" ht="29">
      <c r="A1439" s="11" t="s">
        <v>4257</v>
      </c>
      <c r="B1439" s="11" t="s">
        <v>4287</v>
      </c>
      <c r="C1439" s="3" t="s">
        <v>24</v>
      </c>
      <c r="D1439" s="3" t="s">
        <v>2231</v>
      </c>
      <c r="E1439" s="4" t="s">
        <v>3854</v>
      </c>
      <c r="F1439" s="4" t="s">
        <v>2276</v>
      </c>
      <c r="G1439" s="3" t="s">
        <v>2276</v>
      </c>
      <c r="H1439" s="3" t="s">
        <v>523</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2276</v>
      </c>
      <c r="AB1439" s="3" t="s">
        <v>2276</v>
      </c>
      <c r="AC1439" s="3" t="s">
        <v>4276</v>
      </c>
      <c r="AD1439" s="4" t="s">
        <v>4279</v>
      </c>
    </row>
    <row r="1440" spans="1:30" ht="45.5" customHeight="1">
      <c r="A1440" s="11" t="s">
        <v>4257</v>
      </c>
      <c r="B1440" s="11" t="s">
        <v>4288</v>
      </c>
      <c r="C1440" s="3" t="s">
        <v>24</v>
      </c>
      <c r="D1440" s="3" t="s">
        <v>2659</v>
      </c>
      <c r="E1440" s="4" t="s">
        <v>3854</v>
      </c>
      <c r="F1440" s="4" t="s">
        <v>2276</v>
      </c>
      <c r="G1440" s="3" t="s">
        <v>2276</v>
      </c>
      <c r="H1440" s="3" t="s">
        <v>523</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2276</v>
      </c>
      <c r="AB1440" s="3" t="s">
        <v>2276</v>
      </c>
      <c r="AC1440" s="3" t="s">
        <v>4277</v>
      </c>
      <c r="AD1440" s="4" t="s">
        <v>4279</v>
      </c>
    </row>
    <row r="1441" spans="1:30" ht="43.5">
      <c r="A1441" s="11" t="s">
        <v>4257</v>
      </c>
      <c r="B1441" s="11" t="s">
        <v>4289</v>
      </c>
      <c r="C1441" s="3" t="s">
        <v>24</v>
      </c>
      <c r="D1441" s="3" t="s">
        <v>2346</v>
      </c>
      <c r="E1441" s="4" t="s">
        <v>2276</v>
      </c>
      <c r="F1441" s="4" t="s">
        <v>2276</v>
      </c>
      <c r="G1441" s="3" t="s">
        <v>2276</v>
      </c>
      <c r="H1441" s="3" t="s">
        <v>523</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3" t="s">
        <v>2276</v>
      </c>
      <c r="AB1441" s="3" t="s">
        <v>2276</v>
      </c>
      <c r="AC1441" s="169" t="s">
        <v>4280</v>
      </c>
      <c r="AD1441" s="4" t="s">
        <v>4279</v>
      </c>
    </row>
    <row r="1442" spans="1:30" ht="54.5" customHeight="1">
      <c r="A1442" s="11" t="s">
        <v>4065</v>
      </c>
      <c r="B1442" s="11" t="s">
        <v>4290</v>
      </c>
      <c r="C1442" s="3" t="s">
        <v>24</v>
      </c>
      <c r="D1442" s="3" t="s">
        <v>25</v>
      </c>
      <c r="E1442" s="4" t="s">
        <v>3854</v>
      </c>
      <c r="F1442" s="4" t="s">
        <v>2662</v>
      </c>
      <c r="G1442" s="3" t="s">
        <v>2276</v>
      </c>
      <c r="H1442" s="3" t="s">
        <v>523</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2276</v>
      </c>
      <c r="AB1442" s="3" t="s">
        <v>2276</v>
      </c>
      <c r="AC1442" s="3" t="s">
        <v>4273</v>
      </c>
      <c r="AD1442" s="4" t="s">
        <v>4279</v>
      </c>
    </row>
    <row r="1443" spans="1:30" ht="52.5" customHeight="1">
      <c r="A1443" s="11" t="s">
        <v>4065</v>
      </c>
      <c r="B1443" s="11" t="s">
        <v>4291</v>
      </c>
      <c r="C1443" s="3" t="s">
        <v>2458</v>
      </c>
      <c r="D1443" s="3" t="s">
        <v>25</v>
      </c>
      <c r="E1443" s="4" t="s">
        <v>3854</v>
      </c>
      <c r="F1443" s="4" t="s">
        <v>74</v>
      </c>
      <c r="G1443" s="3" t="s">
        <v>2276</v>
      </c>
      <c r="H1443" s="3" t="s">
        <v>523</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3" t="s">
        <v>2276</v>
      </c>
      <c r="AC1443" s="3" t="s">
        <v>2276</v>
      </c>
      <c r="AD1443" s="4" t="s">
        <v>4279</v>
      </c>
    </row>
    <row r="1444" spans="1:30" ht="29">
      <c r="A1444" s="11" t="s">
        <v>4065</v>
      </c>
      <c r="B1444" s="11" t="s">
        <v>4292</v>
      </c>
      <c r="C1444" s="3" t="s">
        <v>24</v>
      </c>
      <c r="D1444" s="3" t="s">
        <v>2994</v>
      </c>
      <c r="E1444" s="4" t="s">
        <v>1105</v>
      </c>
      <c r="F1444" s="4" t="s">
        <v>2276</v>
      </c>
      <c r="G1444" s="3" t="s">
        <v>2276</v>
      </c>
      <c r="H1444" s="3" t="s">
        <v>523</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2276</v>
      </c>
      <c r="AB1444" s="3" t="s">
        <v>2276</v>
      </c>
      <c r="AC1444" s="3" t="s">
        <v>4278</v>
      </c>
      <c r="AD1444" s="4" t="s">
        <v>4279</v>
      </c>
    </row>
    <row r="1445" spans="1:30" ht="29">
      <c r="A1445" s="11" t="s">
        <v>4065</v>
      </c>
      <c r="B1445" s="11" t="s">
        <v>4293</v>
      </c>
      <c r="C1445" s="3" t="s">
        <v>2458</v>
      </c>
      <c r="D1445" s="3" t="s">
        <v>2994</v>
      </c>
      <c r="E1445" s="4" t="s">
        <v>1105</v>
      </c>
      <c r="F1445" s="4" t="s">
        <v>2276</v>
      </c>
      <c r="G1445" s="3" t="s">
        <v>2276</v>
      </c>
      <c r="H1445" s="3" t="s">
        <v>523</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3" t="s">
        <v>2276</v>
      </c>
      <c r="AC1445" s="3" t="s">
        <v>2276</v>
      </c>
      <c r="AD1445" s="4" t="s">
        <v>4279</v>
      </c>
    </row>
    <row r="1446" spans="1:30" ht="29">
      <c r="A1446" s="11" t="s">
        <v>4065</v>
      </c>
      <c r="B1446" s="11" t="s">
        <v>4294</v>
      </c>
      <c r="C1446" s="3" t="s">
        <v>31</v>
      </c>
      <c r="D1446" s="3" t="s">
        <v>30</v>
      </c>
      <c r="E1446" s="3" t="s">
        <v>1105</v>
      </c>
      <c r="F1446" s="4" t="s">
        <v>2276</v>
      </c>
      <c r="G1446" s="3" t="s">
        <v>2276</v>
      </c>
      <c r="H1446" s="3" t="s">
        <v>523</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3" t="s">
        <v>2276</v>
      </c>
      <c r="AB1446" s="3" t="s">
        <v>2276</v>
      </c>
      <c r="AC1446" s="4" t="s">
        <v>4275</v>
      </c>
      <c r="AD1446" s="4" t="s">
        <v>4279</v>
      </c>
    </row>
    <row r="1447" spans="1:30" ht="29">
      <c r="A1447" s="11" t="s">
        <v>4065</v>
      </c>
      <c r="B1447" s="11" t="s">
        <v>4295</v>
      </c>
      <c r="C1447" s="3" t="s">
        <v>31</v>
      </c>
      <c r="D1447" s="3" t="s">
        <v>30</v>
      </c>
      <c r="E1447" s="3" t="s">
        <v>2652</v>
      </c>
      <c r="F1447" s="4" t="s">
        <v>2276</v>
      </c>
      <c r="G1447" s="3" t="s">
        <v>2276</v>
      </c>
      <c r="H1447" s="3" t="s">
        <v>523</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3" t="s">
        <v>2276</v>
      </c>
      <c r="AB1447" s="3" t="s">
        <v>2276</v>
      </c>
      <c r="AC1447" s="4" t="s">
        <v>4274</v>
      </c>
      <c r="AD1447" s="4" t="s">
        <v>4279</v>
      </c>
    </row>
    <row r="1448" spans="1:30" ht="60" customHeight="1">
      <c r="A1448" s="11" t="s">
        <v>4065</v>
      </c>
      <c r="B1448" s="11" t="s">
        <v>4296</v>
      </c>
      <c r="C1448" s="3" t="s">
        <v>24</v>
      </c>
      <c r="D1448" s="3" t="s">
        <v>2231</v>
      </c>
      <c r="E1448" s="4" t="s">
        <v>3854</v>
      </c>
      <c r="F1448" s="4" t="s">
        <v>2276</v>
      </c>
      <c r="G1448" s="3" t="s">
        <v>2276</v>
      </c>
      <c r="H1448" s="3" t="s">
        <v>523</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2276</v>
      </c>
      <c r="AB1448" s="3" t="s">
        <v>2276</v>
      </c>
      <c r="AC1448" s="3" t="s">
        <v>4276</v>
      </c>
      <c r="AD1448" s="4" t="s">
        <v>4279</v>
      </c>
    </row>
    <row r="1449" spans="1:30" ht="60.5" customHeight="1">
      <c r="A1449" s="11" t="s">
        <v>4065</v>
      </c>
      <c r="B1449" s="11" t="s">
        <v>4297</v>
      </c>
      <c r="C1449" s="3" t="s">
        <v>24</v>
      </c>
      <c r="D1449" s="3" t="s">
        <v>2659</v>
      </c>
      <c r="E1449" s="4" t="s">
        <v>3854</v>
      </c>
      <c r="F1449" s="4" t="s">
        <v>2276</v>
      </c>
      <c r="G1449" s="3" t="s">
        <v>2276</v>
      </c>
      <c r="H1449" s="3" t="s">
        <v>523</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2276</v>
      </c>
      <c r="AB1449" s="3" t="s">
        <v>2276</v>
      </c>
      <c r="AC1449" s="3" t="s">
        <v>4277</v>
      </c>
      <c r="AD1449" s="4" t="s">
        <v>4279</v>
      </c>
    </row>
    <row r="1450" spans="1:30" ht="43.5">
      <c r="A1450" s="11" t="s">
        <v>4065</v>
      </c>
      <c r="B1450" s="11" t="s">
        <v>4298</v>
      </c>
      <c r="C1450" s="3" t="s">
        <v>24</v>
      </c>
      <c r="D1450" s="3" t="s">
        <v>2346</v>
      </c>
      <c r="E1450" s="4" t="s">
        <v>2276</v>
      </c>
      <c r="F1450" s="4" t="s">
        <v>2276</v>
      </c>
      <c r="G1450" s="3" t="s">
        <v>2276</v>
      </c>
      <c r="H1450" s="3" t="s">
        <v>523</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3" t="s">
        <v>2276</v>
      </c>
      <c r="AB1450" s="3" t="s">
        <v>2276</v>
      </c>
      <c r="AC1450" s="169" t="s">
        <v>4280</v>
      </c>
      <c r="AD1450" s="4" t="s">
        <v>4279</v>
      </c>
    </row>
    <row r="1451" spans="1:30" ht="48.5" customHeight="1">
      <c r="A1451" s="11" t="s">
        <v>4256</v>
      </c>
      <c r="B1451" s="11" t="s">
        <v>4272</v>
      </c>
      <c r="C1451" s="3" t="s">
        <v>24</v>
      </c>
      <c r="D1451" s="3" t="s">
        <v>2276</v>
      </c>
      <c r="E1451" s="3" t="s">
        <v>2276</v>
      </c>
      <c r="F1451" s="4" t="s">
        <v>2276</v>
      </c>
      <c r="G1451" s="3" t="s">
        <v>74</v>
      </c>
      <c r="H1451" s="3" t="s">
        <v>523</v>
      </c>
      <c r="I1451" s="3"/>
      <c r="J1451" s="3"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3" t="s">
        <v>2276</v>
      </c>
      <c r="X1451" s="3" t="s">
        <v>2276</v>
      </c>
      <c r="Y1451" s="3" t="s">
        <v>2276</v>
      </c>
      <c r="Z1451" s="3" t="s">
        <v>2276</v>
      </c>
      <c r="AA1451" s="3" t="s">
        <v>2276</v>
      </c>
      <c r="AB1451" s="3" t="s">
        <v>2276</v>
      </c>
      <c r="AC1451" s="4" t="s">
        <v>4302</v>
      </c>
      <c r="AD1451" s="4" t="s">
        <v>4303</v>
      </c>
    </row>
    <row r="1452" spans="1:30" ht="48.5" customHeight="1">
      <c r="A1452" s="11" t="s">
        <v>4256</v>
      </c>
      <c r="B1452" s="11" t="s">
        <v>4299</v>
      </c>
      <c r="C1452" s="3" t="s">
        <v>2656</v>
      </c>
      <c r="D1452" s="3" t="s">
        <v>2276</v>
      </c>
      <c r="E1452" s="3" t="s">
        <v>2276</v>
      </c>
      <c r="F1452" s="4" t="s">
        <v>2276</v>
      </c>
      <c r="G1452" s="3" t="s">
        <v>74</v>
      </c>
      <c r="H1452" s="3" t="s">
        <v>523</v>
      </c>
      <c r="I1452" s="3"/>
      <c r="J1452" s="3"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3" t="s">
        <v>2276</v>
      </c>
      <c r="X1452" s="3" t="s">
        <v>2276</v>
      </c>
      <c r="Y1452" s="3" t="s">
        <v>2276</v>
      </c>
      <c r="Z1452" s="3" t="s">
        <v>2276</v>
      </c>
      <c r="AA1452" s="3" t="s">
        <v>2276</v>
      </c>
      <c r="AB1452" s="3" t="s">
        <v>2276</v>
      </c>
      <c r="AC1452" s="4" t="s">
        <v>4302</v>
      </c>
      <c r="AD1452" s="4" t="s">
        <v>4303</v>
      </c>
    </row>
    <row r="1453" spans="1:30" ht="48.5" customHeight="1">
      <c r="A1453" s="11" t="s">
        <v>4256</v>
      </c>
      <c r="B1453" s="11" t="s">
        <v>4300</v>
      </c>
      <c r="C1453" s="3" t="s">
        <v>2458</v>
      </c>
      <c r="D1453" s="3" t="s">
        <v>2276</v>
      </c>
      <c r="E1453" s="3" t="s">
        <v>2276</v>
      </c>
      <c r="F1453" s="4" t="s">
        <v>2276</v>
      </c>
      <c r="G1453" s="3" t="s">
        <v>74</v>
      </c>
      <c r="H1453" s="3" t="s">
        <v>523</v>
      </c>
      <c r="I1453" s="3"/>
      <c r="J1453" s="3"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3" t="s">
        <v>2276</v>
      </c>
      <c r="X1453" s="3" t="s">
        <v>2276</v>
      </c>
      <c r="Y1453" s="3" t="s">
        <v>2276</v>
      </c>
      <c r="Z1453" s="3" t="s">
        <v>2276</v>
      </c>
      <c r="AA1453" s="3" t="s">
        <v>2276</v>
      </c>
      <c r="AB1453" s="3" t="s">
        <v>2276</v>
      </c>
      <c r="AC1453" s="4" t="s">
        <v>4302</v>
      </c>
      <c r="AD1453" s="4" t="s">
        <v>4303</v>
      </c>
    </row>
    <row r="1454" spans="1:30" ht="48.5" customHeight="1">
      <c r="A1454" s="11" t="s">
        <v>4256</v>
      </c>
      <c r="B1454" s="11" t="s">
        <v>4301</v>
      </c>
      <c r="C1454" s="3" t="s">
        <v>31</v>
      </c>
      <c r="D1454" s="3" t="s">
        <v>30</v>
      </c>
      <c r="E1454" s="3" t="s">
        <v>2276</v>
      </c>
      <c r="F1454" s="4" t="s">
        <v>2276</v>
      </c>
      <c r="G1454" s="3" t="s">
        <v>74</v>
      </c>
      <c r="H1454" s="3" t="s">
        <v>523</v>
      </c>
      <c r="I1454" s="3"/>
      <c r="J1454" s="3"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3" t="s">
        <v>2276</v>
      </c>
      <c r="X1454" s="3" t="s">
        <v>2276</v>
      </c>
      <c r="Y1454" s="3" t="s">
        <v>2276</v>
      </c>
      <c r="Z1454" s="3" t="s">
        <v>2276</v>
      </c>
      <c r="AA1454" s="3" t="s">
        <v>2276</v>
      </c>
      <c r="AB1454" s="3" t="s">
        <v>2276</v>
      </c>
      <c r="AC1454" s="4" t="s">
        <v>4302</v>
      </c>
      <c r="AD1454" s="4" t="s">
        <v>4303</v>
      </c>
    </row>
    <row r="1455" spans="1:30" ht="48.5" customHeight="1">
      <c r="A1455" s="11" t="s">
        <v>4256</v>
      </c>
      <c r="B1455" s="11" t="s">
        <v>5044</v>
      </c>
      <c r="C1455" s="3" t="s">
        <v>1105</v>
      </c>
      <c r="D1455" s="3" t="s">
        <v>1105</v>
      </c>
      <c r="E1455" s="3" t="s">
        <v>2276</v>
      </c>
      <c r="F1455" s="4" t="s">
        <v>2276</v>
      </c>
      <c r="G1455" s="3" t="s">
        <v>74</v>
      </c>
      <c r="H1455" s="3" t="s">
        <v>523</v>
      </c>
      <c r="I1455" s="3"/>
      <c r="J1455" s="3" t="s">
        <v>2276</v>
      </c>
      <c r="K1455" s="3" t="s">
        <v>2276</v>
      </c>
      <c r="L1455" s="3" t="s">
        <v>2276</v>
      </c>
      <c r="M1455" s="3" t="s">
        <v>2276</v>
      </c>
      <c r="N1455" s="3" t="s">
        <v>2276</v>
      </c>
      <c r="O1455" s="3" t="s">
        <v>2276</v>
      </c>
      <c r="P1455" s="21">
        <f>286/(182)</f>
        <v>1.5714285714285714</v>
      </c>
      <c r="Q1455" s="3" t="s">
        <v>2276</v>
      </c>
      <c r="R1455" s="3" t="s">
        <v>2276</v>
      </c>
      <c r="S1455" s="3" t="s">
        <v>2276</v>
      </c>
      <c r="T1455" s="3" t="s">
        <v>2276</v>
      </c>
      <c r="U1455" s="3" t="s">
        <v>2276</v>
      </c>
      <c r="V1455" s="3">
        <v>3.06</v>
      </c>
      <c r="W1455" s="3" t="s">
        <v>2276</v>
      </c>
      <c r="X1455" s="21">
        <f>286/57.84</f>
        <v>4.9446749654218527</v>
      </c>
      <c r="Y1455" s="3" t="s">
        <v>2276</v>
      </c>
      <c r="Z1455" s="3" t="s">
        <v>2276</v>
      </c>
      <c r="AA1455" s="3" t="s">
        <v>2276</v>
      </c>
      <c r="AB1455" s="3" t="s">
        <v>2276</v>
      </c>
      <c r="AC1455" s="4" t="s">
        <v>4302</v>
      </c>
      <c r="AD1455" s="4"/>
    </row>
    <row r="1456" spans="1:30" ht="29">
      <c r="A1456" s="11" t="s">
        <v>4257</v>
      </c>
      <c r="B1456" s="11" t="s">
        <v>4304</v>
      </c>
      <c r="C1456" s="3" t="s">
        <v>24</v>
      </c>
      <c r="D1456" s="3" t="s">
        <v>2276</v>
      </c>
      <c r="E1456" s="3" t="s">
        <v>2276</v>
      </c>
      <c r="F1456" s="4" t="s">
        <v>2276</v>
      </c>
      <c r="G1456" s="3" t="s">
        <v>74</v>
      </c>
      <c r="H1456" s="3" t="s">
        <v>523</v>
      </c>
      <c r="I1456" s="3"/>
      <c r="J1456" s="3"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3" t="s">
        <v>2276</v>
      </c>
      <c r="X1456" s="21" t="s">
        <v>2276</v>
      </c>
      <c r="Y1456" s="3" t="s">
        <v>2276</v>
      </c>
      <c r="Z1456" s="3" t="s">
        <v>2276</v>
      </c>
      <c r="AA1456" s="3" t="s">
        <v>2276</v>
      </c>
      <c r="AB1456" s="3" t="s">
        <v>2276</v>
      </c>
      <c r="AC1456" s="4" t="s">
        <v>4302</v>
      </c>
      <c r="AD1456" s="4" t="s">
        <v>4303</v>
      </c>
    </row>
    <row r="1457" spans="1:30" ht="29">
      <c r="A1457" s="11" t="s">
        <v>4257</v>
      </c>
      <c r="B1457" s="11" t="s">
        <v>4305</v>
      </c>
      <c r="C1457" s="3" t="s">
        <v>2656</v>
      </c>
      <c r="D1457" s="3" t="s">
        <v>2276</v>
      </c>
      <c r="E1457" s="3" t="s">
        <v>2276</v>
      </c>
      <c r="F1457" s="4" t="s">
        <v>2276</v>
      </c>
      <c r="G1457" s="3" t="s">
        <v>74</v>
      </c>
      <c r="H1457" s="3" t="s">
        <v>523</v>
      </c>
      <c r="I1457" s="3"/>
      <c r="J1457" s="3"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3" t="s">
        <v>2276</v>
      </c>
      <c r="X1457" s="21" t="s">
        <v>2276</v>
      </c>
      <c r="Y1457" s="3"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3" t="s">
        <v>74</v>
      </c>
      <c r="H1458" s="3" t="s">
        <v>523</v>
      </c>
      <c r="I1458" s="3"/>
      <c r="J1458" s="3"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3" t="s">
        <v>2276</v>
      </c>
      <c r="X1458" s="21" t="s">
        <v>2276</v>
      </c>
      <c r="Y1458" s="3" t="s">
        <v>2276</v>
      </c>
      <c r="Z1458" s="3" t="s">
        <v>2276</v>
      </c>
      <c r="AA1458" s="3"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3" t="s">
        <v>74</v>
      </c>
      <c r="H1459" s="3" t="s">
        <v>523</v>
      </c>
      <c r="I1459" s="3"/>
      <c r="J1459" s="3"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3" t="s">
        <v>2276</v>
      </c>
      <c r="X1459" s="21" t="s">
        <v>2276</v>
      </c>
      <c r="Y1459" s="3" t="s">
        <v>2276</v>
      </c>
      <c r="Z1459" s="3" t="s">
        <v>2276</v>
      </c>
      <c r="AA1459" s="3"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3" t="s">
        <v>74</v>
      </c>
      <c r="H1460" s="3" t="s">
        <v>523</v>
      </c>
      <c r="I1460" s="3"/>
      <c r="J1460" s="3" t="s">
        <v>2276</v>
      </c>
      <c r="K1460" s="3" t="s">
        <v>2276</v>
      </c>
      <c r="L1460" s="3" t="s">
        <v>2276</v>
      </c>
      <c r="M1460" s="3" t="s">
        <v>2276</v>
      </c>
      <c r="N1460" s="3" t="s">
        <v>2276</v>
      </c>
      <c r="O1460" s="3" t="s">
        <v>2276</v>
      </c>
      <c r="P1460" s="21">
        <f>143/(78)</f>
        <v>1.8333333333333333</v>
      </c>
      <c r="Q1460" s="3" t="s">
        <v>2276</v>
      </c>
      <c r="R1460" s="3" t="s">
        <v>2276</v>
      </c>
      <c r="S1460" s="3" t="s">
        <v>2276</v>
      </c>
      <c r="T1460" s="3" t="s">
        <v>2276</v>
      </c>
      <c r="U1460" s="3" t="s">
        <v>2276</v>
      </c>
      <c r="V1460" s="3">
        <v>2.13</v>
      </c>
      <c r="W1460" s="3" t="s">
        <v>2276</v>
      </c>
      <c r="X1460" s="21">
        <f>143/56.77</f>
        <v>2.5189360577769948</v>
      </c>
      <c r="Y1460" s="3" t="s">
        <v>2276</v>
      </c>
      <c r="Z1460" s="3" t="s">
        <v>2276</v>
      </c>
      <c r="AA1460" s="3" t="s">
        <v>2276</v>
      </c>
      <c r="AB1460" s="3" t="s">
        <v>2276</v>
      </c>
      <c r="AC1460" s="4" t="s">
        <v>4302</v>
      </c>
      <c r="AD1460" s="4"/>
    </row>
    <row r="1461" spans="1:30" ht="29">
      <c r="A1461" s="11" t="s">
        <v>4065</v>
      </c>
      <c r="B1461" s="11" t="s">
        <v>4308</v>
      </c>
      <c r="C1461" s="3" t="s">
        <v>24</v>
      </c>
      <c r="D1461" s="3" t="s">
        <v>2276</v>
      </c>
      <c r="E1461" s="3" t="s">
        <v>2276</v>
      </c>
      <c r="F1461" s="4" t="s">
        <v>2276</v>
      </c>
      <c r="G1461" s="3" t="s">
        <v>74</v>
      </c>
      <c r="H1461" s="3" t="s">
        <v>523</v>
      </c>
      <c r="I1461" s="3"/>
      <c r="J1461" s="3"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3" t="s">
        <v>2276</v>
      </c>
      <c r="X1461" s="21" t="s">
        <v>2276</v>
      </c>
      <c r="Y1461" s="3" t="s">
        <v>2276</v>
      </c>
      <c r="Z1461" s="3" t="s">
        <v>2276</v>
      </c>
      <c r="AA1461" s="3" t="s">
        <v>2276</v>
      </c>
      <c r="AB1461" s="3" t="s">
        <v>2276</v>
      </c>
      <c r="AC1461" s="4" t="s">
        <v>4302</v>
      </c>
      <c r="AD1461" s="4" t="s">
        <v>4303</v>
      </c>
    </row>
    <row r="1462" spans="1:30" ht="29">
      <c r="A1462" s="11" t="s">
        <v>4065</v>
      </c>
      <c r="B1462" s="11" t="s">
        <v>4309</v>
      </c>
      <c r="C1462" s="3" t="s">
        <v>2656</v>
      </c>
      <c r="D1462" s="3" t="s">
        <v>2276</v>
      </c>
      <c r="E1462" s="3" t="s">
        <v>2276</v>
      </c>
      <c r="F1462" s="4" t="s">
        <v>2276</v>
      </c>
      <c r="G1462" s="3" t="s">
        <v>74</v>
      </c>
      <c r="H1462" s="3" t="s">
        <v>523</v>
      </c>
      <c r="I1462" s="3"/>
      <c r="J1462" s="3"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3" t="s">
        <v>2276</v>
      </c>
      <c r="X1462" s="21" t="s">
        <v>2276</v>
      </c>
      <c r="Y1462" s="3" t="s">
        <v>2276</v>
      </c>
      <c r="Z1462" s="3" t="s">
        <v>2276</v>
      </c>
      <c r="AA1462" s="3" t="s">
        <v>2276</v>
      </c>
      <c r="AB1462" s="3" t="s">
        <v>2276</v>
      </c>
      <c r="AC1462" s="4" t="s">
        <v>4302</v>
      </c>
      <c r="AD1462" s="4" t="s">
        <v>4303</v>
      </c>
    </row>
    <row r="1463" spans="1:30" ht="29">
      <c r="A1463" s="11" t="s">
        <v>4065</v>
      </c>
      <c r="B1463" s="11" t="s">
        <v>4310</v>
      </c>
      <c r="C1463" s="3" t="s">
        <v>2458</v>
      </c>
      <c r="D1463" s="3" t="s">
        <v>2276</v>
      </c>
      <c r="E1463" s="3" t="s">
        <v>2276</v>
      </c>
      <c r="F1463" s="4" t="s">
        <v>2276</v>
      </c>
      <c r="G1463" s="3" t="s">
        <v>74</v>
      </c>
      <c r="H1463" s="3" t="s">
        <v>523</v>
      </c>
      <c r="I1463" s="3"/>
      <c r="J1463" s="3"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3" t="s">
        <v>2276</v>
      </c>
      <c r="X1463" s="21" t="s">
        <v>2276</v>
      </c>
      <c r="Y1463" s="3" t="s">
        <v>2276</v>
      </c>
      <c r="Z1463" s="3" t="s">
        <v>2276</v>
      </c>
      <c r="AA1463" s="3" t="s">
        <v>2276</v>
      </c>
      <c r="AB1463" s="3" t="s">
        <v>2276</v>
      </c>
      <c r="AC1463" s="4" t="s">
        <v>4302</v>
      </c>
      <c r="AD1463" s="4" t="s">
        <v>4303</v>
      </c>
    </row>
    <row r="1464" spans="1:30" ht="37" customHeight="1">
      <c r="A1464" s="11" t="s">
        <v>4065</v>
      </c>
      <c r="B1464" s="11" t="s">
        <v>4311</v>
      </c>
      <c r="C1464" s="3" t="s">
        <v>31</v>
      </c>
      <c r="D1464" s="3" t="s">
        <v>30</v>
      </c>
      <c r="E1464" s="3" t="s">
        <v>2276</v>
      </c>
      <c r="F1464" s="4" t="s">
        <v>2276</v>
      </c>
      <c r="G1464" s="3" t="s">
        <v>74</v>
      </c>
      <c r="H1464" s="3" t="s">
        <v>523</v>
      </c>
      <c r="I1464" s="3"/>
      <c r="J1464" s="3"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3" t="s">
        <v>2276</v>
      </c>
      <c r="X1464" s="21" t="s">
        <v>2276</v>
      </c>
      <c r="Y1464" s="3" t="s">
        <v>2276</v>
      </c>
      <c r="Z1464" s="3" t="s">
        <v>2276</v>
      </c>
      <c r="AA1464" s="3"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3" t="s">
        <v>74</v>
      </c>
      <c r="H1465" s="3" t="s">
        <v>523</v>
      </c>
      <c r="I1465" s="3"/>
      <c r="J1465" s="3" t="s">
        <v>2276</v>
      </c>
      <c r="K1465" s="3" t="s">
        <v>2276</v>
      </c>
      <c r="L1465" s="3" t="s">
        <v>2276</v>
      </c>
      <c r="M1465" s="3" t="s">
        <v>2276</v>
      </c>
      <c r="N1465" s="3" t="s">
        <v>2276</v>
      </c>
      <c r="O1465" s="3" t="s">
        <v>2276</v>
      </c>
      <c r="P1465" s="21">
        <f>104/(208)</f>
        <v>0.5</v>
      </c>
      <c r="Q1465" s="3" t="s">
        <v>2276</v>
      </c>
      <c r="R1465" s="3" t="s">
        <v>2276</v>
      </c>
      <c r="S1465" s="3" t="s">
        <v>2276</v>
      </c>
      <c r="T1465" s="3" t="s">
        <v>2276</v>
      </c>
      <c r="U1465" s="3" t="s">
        <v>2276</v>
      </c>
      <c r="V1465" s="3">
        <v>0.83</v>
      </c>
      <c r="W1465" s="3" t="s">
        <v>2276</v>
      </c>
      <c r="X1465" s="21">
        <f>104/89</f>
        <v>1.1685393258426966</v>
      </c>
      <c r="Y1465" s="3" t="s">
        <v>2276</v>
      </c>
      <c r="Z1465" s="3" t="s">
        <v>2276</v>
      </c>
      <c r="AA1465" s="3" t="s">
        <v>2276</v>
      </c>
      <c r="AB1465" s="3" t="s">
        <v>2276</v>
      </c>
      <c r="AC1465" s="4" t="s">
        <v>4302</v>
      </c>
      <c r="AD1465" s="4"/>
    </row>
    <row r="1466" spans="1:30" ht="33" customHeight="1">
      <c r="A1466" s="11" t="s">
        <v>4360</v>
      </c>
      <c r="B1466" s="11" t="s">
        <v>4363</v>
      </c>
      <c r="C1466" s="3" t="s">
        <v>24</v>
      </c>
      <c r="D1466" s="3" t="s">
        <v>27</v>
      </c>
      <c r="E1466" s="3" t="s">
        <v>130</v>
      </c>
      <c r="F1466" s="4" t="s">
        <v>2276</v>
      </c>
      <c r="G1466" s="3" t="s">
        <v>2276</v>
      </c>
      <c r="H1466" s="3" t="s">
        <v>523</v>
      </c>
      <c r="I1466" s="3"/>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3"/>
    </row>
    <row r="1467" spans="1:30" ht="29" customHeight="1">
      <c r="A1467" s="11" t="s">
        <v>4360</v>
      </c>
      <c r="B1467" s="11" t="s">
        <v>4364</v>
      </c>
      <c r="C1467" s="3" t="s">
        <v>24</v>
      </c>
      <c r="D1467" s="3" t="s">
        <v>25</v>
      </c>
      <c r="E1467" s="3" t="s">
        <v>5005</v>
      </c>
      <c r="F1467" s="4" t="s">
        <v>2276</v>
      </c>
      <c r="G1467" s="3" t="s">
        <v>2276</v>
      </c>
      <c r="H1467" s="3" t="s">
        <v>523</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3"/>
      <c r="AD1467" s="3"/>
    </row>
    <row r="1468" spans="1:30" ht="36.5" customHeight="1">
      <c r="A1468" s="11" t="s">
        <v>4360</v>
      </c>
      <c r="B1468" s="11" t="s">
        <v>4365</v>
      </c>
      <c r="C1468" s="3" t="s">
        <v>24</v>
      </c>
      <c r="D1468" s="3" t="s">
        <v>25</v>
      </c>
      <c r="E1468" s="3" t="s">
        <v>45</v>
      </c>
      <c r="F1468" s="4" t="s">
        <v>2276</v>
      </c>
      <c r="G1468" s="3" t="s">
        <v>2276</v>
      </c>
      <c r="H1468" s="3" t="s">
        <v>523</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3"/>
      <c r="AD1468" s="3"/>
    </row>
    <row r="1469" spans="1:30" ht="34.5" customHeight="1">
      <c r="A1469" s="11" t="s">
        <v>4362</v>
      </c>
      <c r="B1469" s="11" t="s">
        <v>4366</v>
      </c>
      <c r="C1469" s="3" t="s">
        <v>24</v>
      </c>
      <c r="D1469" s="3" t="s">
        <v>1242</v>
      </c>
      <c r="E1469" s="3" t="s">
        <v>137</v>
      </c>
      <c r="F1469" s="4" t="s">
        <v>74</v>
      </c>
      <c r="G1469" s="3" t="s">
        <v>2276</v>
      </c>
      <c r="H1469" s="3" t="s">
        <v>524</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3" t="s">
        <v>4375</v>
      </c>
      <c r="AD1469" s="3"/>
    </row>
    <row r="1470" spans="1:30" ht="34.5" customHeight="1">
      <c r="A1470" s="11" t="s">
        <v>4362</v>
      </c>
      <c r="B1470" s="11" t="s">
        <v>4367</v>
      </c>
      <c r="C1470" s="3" t="s">
        <v>24</v>
      </c>
      <c r="D1470" s="3" t="s">
        <v>25</v>
      </c>
      <c r="E1470" s="3" t="s">
        <v>45</v>
      </c>
      <c r="F1470" s="4" t="s">
        <v>74</v>
      </c>
      <c r="G1470" s="3" t="s">
        <v>2276</v>
      </c>
      <c r="H1470" s="3" t="s">
        <v>523</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3" t="s">
        <v>4370</v>
      </c>
      <c r="AD1470" s="3"/>
    </row>
    <row r="1471" spans="1:30" ht="34.5" customHeight="1">
      <c r="A1471" s="11" t="s">
        <v>4362</v>
      </c>
      <c r="B1471" s="11" t="s">
        <v>4368</v>
      </c>
      <c r="C1471" s="3" t="s">
        <v>24</v>
      </c>
      <c r="D1471" s="3" t="s">
        <v>25</v>
      </c>
      <c r="E1471" s="3" t="s">
        <v>45</v>
      </c>
      <c r="F1471" s="4" t="s">
        <v>55</v>
      </c>
      <c r="G1471" s="3" t="s">
        <v>2276</v>
      </c>
      <c r="H1471" s="3" t="s">
        <v>523</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3"/>
      <c r="AD1471" s="3"/>
    </row>
    <row r="1472" spans="1:30" ht="40" customHeight="1">
      <c r="A1472" s="11" t="s">
        <v>4362</v>
      </c>
      <c r="B1472" s="11" t="s">
        <v>4369</v>
      </c>
      <c r="C1472" s="3" t="s">
        <v>24</v>
      </c>
      <c r="D1472" s="3" t="s">
        <v>2346</v>
      </c>
      <c r="E1472" s="3" t="s">
        <v>45</v>
      </c>
      <c r="F1472" s="4" t="s">
        <v>2276</v>
      </c>
      <c r="G1472" s="3" t="s">
        <v>2276</v>
      </c>
      <c r="H1472" s="3" t="s">
        <v>523</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3"/>
      <c r="AD1472" s="3"/>
    </row>
    <row r="1473" spans="1:30" ht="39" customHeight="1">
      <c r="A1473" s="11" t="s">
        <v>4362</v>
      </c>
      <c r="B1473" s="11" t="s">
        <v>4371</v>
      </c>
      <c r="C1473" s="3" t="s">
        <v>2656</v>
      </c>
      <c r="D1473" s="3" t="s">
        <v>2276</v>
      </c>
      <c r="E1473" s="3" t="s">
        <v>2276</v>
      </c>
      <c r="F1473" s="4" t="s">
        <v>2276</v>
      </c>
      <c r="G1473" s="3" t="s">
        <v>2276</v>
      </c>
      <c r="H1473" s="3" t="s">
        <v>523</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3"/>
      <c r="AD1473" s="3"/>
    </row>
    <row r="1474" spans="1:30" ht="64.5" customHeight="1">
      <c r="A1474" s="11" t="s">
        <v>4362</v>
      </c>
      <c r="B1474" s="11" t="s">
        <v>4372</v>
      </c>
      <c r="C1474" s="3" t="s">
        <v>2658</v>
      </c>
      <c r="D1474" s="3" t="s">
        <v>2276</v>
      </c>
      <c r="E1474" s="3" t="s">
        <v>2276</v>
      </c>
      <c r="F1474" s="4" t="s">
        <v>2276</v>
      </c>
      <c r="G1474" s="3" t="s">
        <v>74</v>
      </c>
      <c r="H1474" s="3" t="s">
        <v>523</v>
      </c>
      <c r="I1474" s="3"/>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3"/>
      <c r="AD1474" s="3"/>
    </row>
    <row r="1475" spans="1:30" ht="67" customHeight="1">
      <c r="A1475" s="11" t="s">
        <v>4362</v>
      </c>
      <c r="B1475" s="11" t="s">
        <v>4376</v>
      </c>
      <c r="C1475" s="3" t="s">
        <v>2458</v>
      </c>
      <c r="D1475" s="3" t="s">
        <v>25</v>
      </c>
      <c r="E1475" s="3" t="s">
        <v>84</v>
      </c>
      <c r="F1475" s="4" t="s">
        <v>2276</v>
      </c>
      <c r="G1475" s="3" t="s">
        <v>74</v>
      </c>
      <c r="H1475" s="3" t="s">
        <v>523</v>
      </c>
      <c r="I1475" s="3"/>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3"/>
    </row>
    <row r="1476" spans="1:30" ht="49" customHeight="1">
      <c r="A1476" s="11" t="s">
        <v>4387</v>
      </c>
      <c r="B1476" s="3" t="s">
        <v>4405</v>
      </c>
      <c r="C1476" s="3" t="s">
        <v>24</v>
      </c>
      <c r="D1476" s="3" t="s">
        <v>27</v>
      </c>
      <c r="E1476" s="3" t="s">
        <v>130</v>
      </c>
      <c r="F1476" s="4" t="s">
        <v>2276</v>
      </c>
      <c r="G1476" s="3" t="s">
        <v>74</v>
      </c>
      <c r="H1476" s="3" t="s">
        <v>523</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3" t="s">
        <v>399</v>
      </c>
      <c r="AA1476" s="3" t="s">
        <v>38</v>
      </c>
      <c r="AB1476" s="3" t="s">
        <v>2655</v>
      </c>
      <c r="AC1476" s="3"/>
      <c r="AD1476" s="4" t="s">
        <v>4407</v>
      </c>
    </row>
    <row r="1477" spans="1:30" ht="45.5" customHeight="1">
      <c r="A1477" s="11" t="s">
        <v>4387</v>
      </c>
      <c r="B1477" s="3" t="s">
        <v>4413</v>
      </c>
      <c r="C1477" s="3" t="s">
        <v>24</v>
      </c>
      <c r="D1477" s="3" t="s">
        <v>27</v>
      </c>
      <c r="E1477" s="3" t="s">
        <v>130</v>
      </c>
      <c r="F1477" s="4" t="s">
        <v>2276</v>
      </c>
      <c r="G1477" s="4" t="s">
        <v>161</v>
      </c>
      <c r="H1477" s="3" t="s">
        <v>523</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3" t="s">
        <v>399</v>
      </c>
      <c r="AA1477" s="3" t="s">
        <v>38</v>
      </c>
      <c r="AB1477" s="3" t="s">
        <v>2655</v>
      </c>
      <c r="AC1477" s="3"/>
      <c r="AD1477" s="4" t="s">
        <v>4407</v>
      </c>
    </row>
    <row r="1478" spans="1:30" ht="49.5" customHeight="1">
      <c r="A1478" s="11" t="s">
        <v>4389</v>
      </c>
      <c r="B1478" s="3" t="s">
        <v>4406</v>
      </c>
      <c r="C1478" s="3" t="s">
        <v>24</v>
      </c>
      <c r="D1478" s="3" t="s">
        <v>2231</v>
      </c>
      <c r="E1478" s="4" t="s">
        <v>397</v>
      </c>
      <c r="F1478" s="4" t="s">
        <v>2276</v>
      </c>
      <c r="G1478" s="3" t="s">
        <v>74</v>
      </c>
      <c r="H1478" s="3" t="s">
        <v>523</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3" t="s">
        <v>4414</v>
      </c>
      <c r="C1479" s="3" t="s">
        <v>24</v>
      </c>
      <c r="D1479" s="3" t="s">
        <v>2231</v>
      </c>
      <c r="E1479" s="4" t="s">
        <v>397</v>
      </c>
      <c r="F1479" s="4" t="s">
        <v>2276</v>
      </c>
      <c r="G1479" s="4" t="s">
        <v>2662</v>
      </c>
      <c r="H1479" s="3" t="s">
        <v>523</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3" t="s">
        <v>4416</v>
      </c>
      <c r="C1480" s="3" t="s">
        <v>24</v>
      </c>
      <c r="D1480" s="3" t="s">
        <v>2231</v>
      </c>
      <c r="E1480" s="4" t="s">
        <v>397</v>
      </c>
      <c r="F1480" s="4" t="s">
        <v>2276</v>
      </c>
      <c r="G1480" s="3" t="s">
        <v>74</v>
      </c>
      <c r="H1480" s="3" t="s">
        <v>523</v>
      </c>
      <c r="I1480" s="3"/>
      <c r="J1480" s="3" t="s">
        <v>2276</v>
      </c>
      <c r="K1480" s="3" t="s">
        <v>2276</v>
      </c>
      <c r="L1480" s="3" t="s">
        <v>2276</v>
      </c>
      <c r="M1480" s="3" t="s">
        <v>2276</v>
      </c>
      <c r="N1480" s="3" t="s">
        <v>2276</v>
      </c>
      <c r="O1480" s="3" t="s">
        <v>2276</v>
      </c>
      <c r="P1480" s="3" t="s">
        <v>2276</v>
      </c>
      <c r="Q1480" s="3" t="s">
        <v>2276</v>
      </c>
      <c r="R1480" s="3" t="s">
        <v>2276</v>
      </c>
      <c r="S1480" s="3" t="s">
        <v>2276</v>
      </c>
      <c r="T1480" s="3" t="s">
        <v>2276</v>
      </c>
      <c r="U1480" s="3" t="s">
        <v>2276</v>
      </c>
      <c r="V1480" s="3" t="s">
        <v>2276</v>
      </c>
      <c r="W1480" s="3" t="s">
        <v>2276</v>
      </c>
      <c r="X1480" s="3" t="s">
        <v>2276</v>
      </c>
      <c r="Y1480" s="3" t="s">
        <v>2276</v>
      </c>
      <c r="Z1480" s="22" t="s">
        <v>2276</v>
      </c>
      <c r="AA1480" s="22" t="s">
        <v>2276</v>
      </c>
      <c r="AB1480" s="22" t="s">
        <v>2276</v>
      </c>
      <c r="AC1480" s="4" t="s">
        <v>4415</v>
      </c>
      <c r="AD1480" s="4" t="s">
        <v>4407</v>
      </c>
    </row>
    <row r="1481" spans="1:30" ht="50.5" customHeight="1">
      <c r="A1481" s="11" t="s">
        <v>4390</v>
      </c>
      <c r="B1481" s="3" t="s">
        <v>4417</v>
      </c>
      <c r="C1481" s="3" t="s">
        <v>24</v>
      </c>
      <c r="D1481" s="3" t="s">
        <v>2231</v>
      </c>
      <c r="E1481" s="4" t="s">
        <v>397</v>
      </c>
      <c r="F1481" s="4" t="s">
        <v>2276</v>
      </c>
      <c r="G1481" s="4" t="s">
        <v>2662</v>
      </c>
      <c r="H1481" s="3" t="s">
        <v>523</v>
      </c>
      <c r="I1481" s="3"/>
      <c r="J1481" s="3" t="s">
        <v>2276</v>
      </c>
      <c r="K1481" s="3" t="s">
        <v>2276</v>
      </c>
      <c r="L1481" s="3" t="s">
        <v>2276</v>
      </c>
      <c r="M1481" s="3" t="s">
        <v>2276</v>
      </c>
      <c r="N1481" s="3" t="s">
        <v>2276</v>
      </c>
      <c r="O1481" s="3" t="s">
        <v>2276</v>
      </c>
      <c r="P1481" s="3" t="s">
        <v>2276</v>
      </c>
      <c r="Q1481" s="3" t="s">
        <v>2276</v>
      </c>
      <c r="R1481" s="3" t="s">
        <v>2276</v>
      </c>
      <c r="S1481" s="3" t="s">
        <v>2276</v>
      </c>
      <c r="T1481" s="3" t="s">
        <v>2276</v>
      </c>
      <c r="U1481" s="3" t="s">
        <v>2276</v>
      </c>
      <c r="V1481" s="3" t="s">
        <v>2276</v>
      </c>
      <c r="W1481" s="3" t="s">
        <v>2276</v>
      </c>
      <c r="X1481" s="3" t="s">
        <v>2276</v>
      </c>
      <c r="Y1481" s="3" t="s">
        <v>2276</v>
      </c>
      <c r="Z1481" s="22" t="s">
        <v>2276</v>
      </c>
      <c r="AA1481" s="22" t="s">
        <v>2276</v>
      </c>
      <c r="AB1481" s="22" t="s">
        <v>2276</v>
      </c>
      <c r="AC1481" s="4" t="s">
        <v>4415</v>
      </c>
      <c r="AD1481" s="4" t="s">
        <v>4407</v>
      </c>
    </row>
    <row r="1482" spans="1:30" ht="43.5" customHeight="1">
      <c r="A1482" s="11" t="s">
        <v>4391</v>
      </c>
      <c r="B1482" s="3" t="s">
        <v>4395</v>
      </c>
      <c r="C1482" s="3" t="s">
        <v>24</v>
      </c>
      <c r="D1482" s="3" t="s">
        <v>25</v>
      </c>
      <c r="E1482" s="3" t="s">
        <v>45</v>
      </c>
      <c r="F1482" s="4" t="s">
        <v>2662</v>
      </c>
      <c r="G1482" s="3" t="s">
        <v>2276</v>
      </c>
      <c r="H1482" s="3" t="s">
        <v>523</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2276</v>
      </c>
      <c r="Y1482" s="3" t="s">
        <v>2276</v>
      </c>
      <c r="Z1482" s="3" t="s">
        <v>35</v>
      </c>
      <c r="AA1482" s="3" t="s">
        <v>189</v>
      </c>
      <c r="AB1482" s="3" t="s">
        <v>64</v>
      </c>
      <c r="AC1482" s="4" t="s">
        <v>4404</v>
      </c>
      <c r="AD1482" s="4" t="s">
        <v>4407</v>
      </c>
    </row>
    <row r="1483" spans="1:30" ht="48" customHeight="1">
      <c r="A1483" s="11" t="s">
        <v>4391</v>
      </c>
      <c r="B1483" s="3" t="s">
        <v>4396</v>
      </c>
      <c r="C1483" s="3" t="s">
        <v>24</v>
      </c>
      <c r="D1483" s="3" t="s">
        <v>27</v>
      </c>
      <c r="E1483" s="3" t="s">
        <v>130</v>
      </c>
      <c r="F1483" s="4" t="s">
        <v>161</v>
      </c>
      <c r="G1483" s="3" t="s">
        <v>2276</v>
      </c>
      <c r="H1483" s="3" t="s">
        <v>523</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2276</v>
      </c>
      <c r="X1483" s="3" t="s">
        <v>2276</v>
      </c>
      <c r="Y1483" s="3" t="s">
        <v>2276</v>
      </c>
      <c r="Z1483" s="3" t="s">
        <v>189</v>
      </c>
      <c r="AA1483" s="3" t="s">
        <v>86</v>
      </c>
      <c r="AB1483" s="3" t="s">
        <v>76</v>
      </c>
      <c r="AC1483" s="3"/>
      <c r="AD1483" s="4" t="s">
        <v>4407</v>
      </c>
    </row>
    <row r="1484" spans="1:30" ht="52.5" customHeight="1">
      <c r="A1484" s="11" t="s">
        <v>4391</v>
      </c>
      <c r="B1484" s="3" t="s">
        <v>4400</v>
      </c>
      <c r="C1484" s="3" t="s">
        <v>24</v>
      </c>
      <c r="D1484" s="3" t="s">
        <v>2231</v>
      </c>
      <c r="E1484" s="4" t="s">
        <v>396</v>
      </c>
      <c r="F1484" s="4" t="s">
        <v>74</v>
      </c>
      <c r="G1484" s="3" t="s">
        <v>2276</v>
      </c>
      <c r="H1484" s="3" t="s">
        <v>523</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2276</v>
      </c>
      <c r="Y1484" s="3" t="s">
        <v>2276</v>
      </c>
      <c r="Z1484" s="3" t="s">
        <v>189</v>
      </c>
      <c r="AA1484" s="3" t="s">
        <v>86</v>
      </c>
      <c r="AB1484" s="3" t="s">
        <v>76</v>
      </c>
      <c r="AC1484" s="4" t="s">
        <v>4404</v>
      </c>
      <c r="AD1484" s="4" t="s">
        <v>4407</v>
      </c>
    </row>
    <row r="1485" spans="1:30" ht="57" customHeight="1">
      <c r="A1485" s="11" t="s">
        <v>4392</v>
      </c>
      <c r="B1485" s="3" t="s">
        <v>4401</v>
      </c>
      <c r="C1485" s="3" t="s">
        <v>24</v>
      </c>
      <c r="D1485" s="3" t="s">
        <v>25</v>
      </c>
      <c r="E1485" s="3" t="s">
        <v>45</v>
      </c>
      <c r="F1485" s="4" t="s">
        <v>2662</v>
      </c>
      <c r="G1485" s="3" t="s">
        <v>2276</v>
      </c>
      <c r="H1485" s="3" t="s">
        <v>523</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2276</v>
      </c>
      <c r="Y1485" s="3" t="s">
        <v>2276</v>
      </c>
      <c r="Z1485" s="3" t="s">
        <v>35</v>
      </c>
      <c r="AA1485" s="3" t="s">
        <v>188</v>
      </c>
      <c r="AB1485" s="3" t="s">
        <v>64</v>
      </c>
      <c r="AC1485" s="4" t="s">
        <v>4404</v>
      </c>
      <c r="AD1485" s="4" t="s">
        <v>4407</v>
      </c>
    </row>
    <row r="1486" spans="1:30" ht="53.5" customHeight="1">
      <c r="A1486" s="11" t="s">
        <v>4392</v>
      </c>
      <c r="B1486" s="3" t="s">
        <v>4402</v>
      </c>
      <c r="C1486" s="3" t="s">
        <v>24</v>
      </c>
      <c r="D1486" s="3" t="s">
        <v>27</v>
      </c>
      <c r="E1486" s="3" t="s">
        <v>130</v>
      </c>
      <c r="F1486" s="4" t="s">
        <v>161</v>
      </c>
      <c r="G1486" s="3" t="s">
        <v>2276</v>
      </c>
      <c r="H1486" s="3" t="s">
        <v>523</v>
      </c>
      <c r="I1486" s="3"/>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2276</v>
      </c>
      <c r="X1486" s="3" t="s">
        <v>2276</v>
      </c>
      <c r="Y1486" s="3" t="s">
        <v>2276</v>
      </c>
      <c r="Z1486" s="3" t="s">
        <v>189</v>
      </c>
      <c r="AA1486" s="3" t="s">
        <v>38</v>
      </c>
      <c r="AB1486" s="3" t="s">
        <v>64</v>
      </c>
      <c r="AC1486" s="3"/>
      <c r="AD1486" s="4" t="s">
        <v>4407</v>
      </c>
    </row>
    <row r="1487" spans="1:30" ht="47" customHeight="1">
      <c r="A1487" s="11" t="s">
        <v>4393</v>
      </c>
      <c r="B1487" s="3" t="s">
        <v>4403</v>
      </c>
      <c r="C1487" s="3" t="s">
        <v>24</v>
      </c>
      <c r="D1487" s="3" t="s">
        <v>25</v>
      </c>
      <c r="E1487" s="3" t="s">
        <v>5005</v>
      </c>
      <c r="F1487" s="4" t="s">
        <v>2662</v>
      </c>
      <c r="G1487" s="3" t="s">
        <v>2276</v>
      </c>
      <c r="H1487" s="3" t="s">
        <v>523</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2276</v>
      </c>
      <c r="Y1487" s="3" t="s">
        <v>2276</v>
      </c>
      <c r="Z1487" s="3" t="s">
        <v>35</v>
      </c>
      <c r="AA1487" s="3" t="s">
        <v>188</v>
      </c>
      <c r="AB1487" s="3" t="s">
        <v>64</v>
      </c>
      <c r="AC1487" s="4" t="s">
        <v>4404</v>
      </c>
      <c r="AD1487" s="4" t="s">
        <v>4407</v>
      </c>
    </row>
    <row r="1488" spans="1:30" ht="44.5" customHeight="1">
      <c r="A1488" s="11" t="s">
        <v>4393</v>
      </c>
      <c r="B1488" s="3" t="s">
        <v>4409</v>
      </c>
      <c r="C1488" s="3" t="s">
        <v>24</v>
      </c>
      <c r="D1488" s="3" t="s">
        <v>27</v>
      </c>
      <c r="E1488" s="3" t="s">
        <v>130</v>
      </c>
      <c r="F1488" s="4" t="s">
        <v>161</v>
      </c>
      <c r="G1488" s="3" t="s">
        <v>2276</v>
      </c>
      <c r="H1488" s="3" t="s">
        <v>523</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2276</v>
      </c>
      <c r="X1488" s="3" t="s">
        <v>2276</v>
      </c>
      <c r="Y1488" s="3" t="s">
        <v>2276</v>
      </c>
      <c r="Z1488" s="3" t="s">
        <v>189</v>
      </c>
      <c r="AA1488" s="3" t="s">
        <v>38</v>
      </c>
      <c r="AB1488" s="3" t="s">
        <v>64</v>
      </c>
      <c r="AC1488" s="3"/>
      <c r="AD1488" s="4" t="s">
        <v>4407</v>
      </c>
    </row>
    <row r="1489" spans="1:30" ht="56.5" customHeight="1">
      <c r="A1489" s="11" t="s">
        <v>4418</v>
      </c>
      <c r="B1489" s="11" t="s">
        <v>4428</v>
      </c>
      <c r="C1489" s="3" t="s">
        <v>24</v>
      </c>
      <c r="D1489" s="3" t="s">
        <v>1105</v>
      </c>
      <c r="E1489" s="3" t="s">
        <v>5005</v>
      </c>
      <c r="F1489" s="4" t="s">
        <v>2662</v>
      </c>
      <c r="G1489" s="3" t="s">
        <v>2276</v>
      </c>
      <c r="H1489" s="3" t="s">
        <v>524</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3" t="s">
        <v>2276</v>
      </c>
      <c r="Z1489" s="3" t="s">
        <v>2276</v>
      </c>
      <c r="AA1489" s="3" t="s">
        <v>2276</v>
      </c>
      <c r="AB1489" s="3" t="s">
        <v>2276</v>
      </c>
      <c r="AC1489" s="4" t="s">
        <v>4430</v>
      </c>
      <c r="AD1489" s="3"/>
    </row>
    <row r="1490" spans="1:30" ht="57" customHeight="1">
      <c r="A1490" s="11" t="s">
        <v>4421</v>
      </c>
      <c r="B1490" s="11" t="s">
        <v>4429</v>
      </c>
      <c r="C1490" s="3" t="s">
        <v>24</v>
      </c>
      <c r="D1490" s="3" t="s">
        <v>1105</v>
      </c>
      <c r="E1490" s="3" t="s">
        <v>1105</v>
      </c>
      <c r="F1490" s="4" t="s">
        <v>74</v>
      </c>
      <c r="G1490" s="3" t="s">
        <v>2276</v>
      </c>
      <c r="H1490" s="3" t="s">
        <v>524</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3" t="s">
        <v>2276</v>
      </c>
      <c r="Z1490" s="3" t="s">
        <v>2276</v>
      </c>
      <c r="AA1490" s="3" t="s">
        <v>2276</v>
      </c>
      <c r="AB1490" s="3" t="s">
        <v>2276</v>
      </c>
      <c r="AC1490" s="4" t="s">
        <v>4431</v>
      </c>
      <c r="AD1490" s="3"/>
    </row>
    <row r="1491" spans="1:30" ht="50.5" customHeight="1">
      <c r="A1491" s="11" t="s">
        <v>4421</v>
      </c>
      <c r="B1491" s="11" t="s">
        <v>4433</v>
      </c>
      <c r="C1491" s="3" t="s">
        <v>24</v>
      </c>
      <c r="D1491" s="3" t="s">
        <v>1242</v>
      </c>
      <c r="E1491" s="3" t="s">
        <v>137</v>
      </c>
      <c r="F1491" s="4" t="s">
        <v>74</v>
      </c>
      <c r="G1491" s="3" t="s">
        <v>2276</v>
      </c>
      <c r="H1491" s="3" t="s">
        <v>524</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3" t="s">
        <v>2276</v>
      </c>
      <c r="Z1491" s="3" t="s">
        <v>2276</v>
      </c>
      <c r="AA1491" s="3" t="s">
        <v>2276</v>
      </c>
      <c r="AB1491" s="3" t="s">
        <v>2276</v>
      </c>
      <c r="AC1491" s="19" t="s">
        <v>4434</v>
      </c>
      <c r="AD1491" s="3"/>
    </row>
    <row r="1492" spans="1:30" ht="40" customHeight="1">
      <c r="A1492" s="11" t="s">
        <v>4436</v>
      </c>
      <c r="B1492" s="11" t="s">
        <v>4438</v>
      </c>
      <c r="C1492" s="3" t="s">
        <v>24</v>
      </c>
      <c r="D1492" s="3" t="s">
        <v>25</v>
      </c>
      <c r="E1492" s="3" t="s">
        <v>45</v>
      </c>
      <c r="F1492" s="4" t="s">
        <v>74</v>
      </c>
      <c r="G1492" s="3" t="s">
        <v>2276</v>
      </c>
      <c r="H1492" s="3" t="s">
        <v>524</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3" t="s">
        <v>2276</v>
      </c>
      <c r="Z1492" s="3" t="s">
        <v>2276</v>
      </c>
      <c r="AA1492" s="3" t="s">
        <v>2276</v>
      </c>
      <c r="AB1492" s="3" t="s">
        <v>2276</v>
      </c>
      <c r="AC1492" s="4" t="s">
        <v>4445</v>
      </c>
      <c r="AD1492" s="3"/>
    </row>
    <row r="1493" spans="1:30" ht="40" customHeight="1">
      <c r="A1493" s="11" t="s">
        <v>4440</v>
      </c>
      <c r="B1493" s="11" t="s">
        <v>4441</v>
      </c>
      <c r="C1493" s="3" t="s">
        <v>24</v>
      </c>
      <c r="D1493" s="3" t="s">
        <v>25</v>
      </c>
      <c r="E1493" s="3" t="s">
        <v>5005</v>
      </c>
      <c r="F1493" s="4" t="s">
        <v>74</v>
      </c>
      <c r="G1493" s="3" t="s">
        <v>2276</v>
      </c>
      <c r="H1493" s="3" t="s">
        <v>524</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3" t="s">
        <v>2276</v>
      </c>
      <c r="Z1493" s="3" t="s">
        <v>2276</v>
      </c>
      <c r="AA1493" s="3" t="s">
        <v>2276</v>
      </c>
      <c r="AB1493" s="3" t="s">
        <v>2276</v>
      </c>
      <c r="AC1493" s="4" t="s">
        <v>4445</v>
      </c>
      <c r="AD1493" s="3"/>
    </row>
    <row r="1494" spans="1:30" ht="40" customHeight="1">
      <c r="A1494" s="11" t="s">
        <v>4436</v>
      </c>
      <c r="B1494" s="11" t="s">
        <v>4439</v>
      </c>
      <c r="C1494" s="3" t="s">
        <v>24</v>
      </c>
      <c r="D1494" s="3" t="s">
        <v>25</v>
      </c>
      <c r="E1494" s="3" t="s">
        <v>45</v>
      </c>
      <c r="F1494" s="4" t="s">
        <v>2662</v>
      </c>
      <c r="G1494" s="3" t="s">
        <v>2276</v>
      </c>
      <c r="H1494" s="3" t="s">
        <v>524</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3" t="s">
        <v>2276</v>
      </c>
      <c r="Z1494" s="3" t="s">
        <v>2276</v>
      </c>
      <c r="AA1494" s="3" t="s">
        <v>2276</v>
      </c>
      <c r="AB1494" s="3" t="s">
        <v>2276</v>
      </c>
      <c r="AC1494" s="4" t="s">
        <v>4445</v>
      </c>
      <c r="AD1494" s="3"/>
    </row>
    <row r="1495" spans="1:30" ht="40" customHeight="1">
      <c r="A1495" s="11" t="s">
        <v>4440</v>
      </c>
      <c r="B1495" s="11" t="s">
        <v>4442</v>
      </c>
      <c r="C1495" s="3" t="s">
        <v>24</v>
      </c>
      <c r="D1495" s="3" t="s">
        <v>25</v>
      </c>
      <c r="E1495" s="3" t="s">
        <v>5005</v>
      </c>
      <c r="F1495" s="4" t="s">
        <v>2662</v>
      </c>
      <c r="G1495" s="3" t="s">
        <v>2276</v>
      </c>
      <c r="H1495" s="3" t="s">
        <v>524</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3" t="s">
        <v>2276</v>
      </c>
      <c r="Z1495" s="3" t="s">
        <v>2276</v>
      </c>
      <c r="AA1495" s="3" t="s">
        <v>2276</v>
      </c>
      <c r="AB1495" s="3" t="s">
        <v>2276</v>
      </c>
      <c r="AC1495" s="4" t="s">
        <v>4445</v>
      </c>
      <c r="AD1495" s="3"/>
    </row>
    <row r="1496" spans="1:30" ht="54.5" customHeight="1">
      <c r="A1496" s="11" t="s">
        <v>4436</v>
      </c>
      <c r="B1496" s="11" t="s">
        <v>4443</v>
      </c>
      <c r="C1496" s="3" t="s">
        <v>1105</v>
      </c>
      <c r="D1496" s="3" t="s">
        <v>1105</v>
      </c>
      <c r="E1496" s="3" t="s">
        <v>1105</v>
      </c>
      <c r="F1496" s="4" t="s">
        <v>2276</v>
      </c>
      <c r="G1496" s="4" t="s">
        <v>2662</v>
      </c>
      <c r="H1496" s="3" t="s">
        <v>524</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3" t="s">
        <v>2276</v>
      </c>
      <c r="Z1496" s="3" t="s">
        <v>2276</v>
      </c>
      <c r="AA1496" s="3" t="s">
        <v>2276</v>
      </c>
      <c r="AB1496" s="3" t="s">
        <v>2276</v>
      </c>
      <c r="AC1496" s="4" t="s">
        <v>4446</v>
      </c>
      <c r="AD1496" s="3"/>
    </row>
    <row r="1497" spans="1:30" ht="54.5" customHeight="1">
      <c r="A1497" s="11" t="s">
        <v>4440</v>
      </c>
      <c r="B1497" s="11" t="s">
        <v>4444</v>
      </c>
      <c r="C1497" s="3" t="s">
        <v>1105</v>
      </c>
      <c r="D1497" s="3" t="s">
        <v>1105</v>
      </c>
      <c r="E1497" s="3" t="s">
        <v>1105</v>
      </c>
      <c r="F1497" s="4" t="s">
        <v>2276</v>
      </c>
      <c r="G1497" s="4" t="s">
        <v>2662</v>
      </c>
      <c r="H1497" s="3" t="s">
        <v>524</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3" t="s">
        <v>2276</v>
      </c>
      <c r="Z1497" s="3" t="s">
        <v>2276</v>
      </c>
      <c r="AA1497" s="3" t="s">
        <v>2276</v>
      </c>
      <c r="AB1497" s="3" t="s">
        <v>2276</v>
      </c>
      <c r="AC1497" s="4" t="s">
        <v>4446</v>
      </c>
      <c r="AD1497" s="3"/>
    </row>
    <row r="1498" spans="1:30" ht="40.5" customHeight="1">
      <c r="A1498" s="11" t="s">
        <v>4448</v>
      </c>
      <c r="B1498" s="11" t="s">
        <v>4457</v>
      </c>
      <c r="C1498" s="3" t="s">
        <v>24</v>
      </c>
      <c r="D1498" s="3" t="s">
        <v>27</v>
      </c>
      <c r="E1498" s="3" t="s">
        <v>130</v>
      </c>
      <c r="F1498" s="4" t="s">
        <v>161</v>
      </c>
      <c r="G1498" s="3" t="s">
        <v>2276</v>
      </c>
      <c r="H1498" s="3" t="s">
        <v>523</v>
      </c>
      <c r="I1498" s="3"/>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3" t="s">
        <v>2276</v>
      </c>
      <c r="AC1498" s="3"/>
      <c r="AD1498" s="4" t="s">
        <v>4459</v>
      </c>
    </row>
    <row r="1499" spans="1:30" ht="43.5" customHeight="1">
      <c r="A1499" s="11" t="s">
        <v>4448</v>
      </c>
      <c r="B1499" s="11" t="s">
        <v>4458</v>
      </c>
      <c r="C1499" s="3" t="s">
        <v>24</v>
      </c>
      <c r="D1499" s="3" t="s">
        <v>1131</v>
      </c>
      <c r="E1499" s="3" t="s">
        <v>130</v>
      </c>
      <c r="F1499" s="4" t="s">
        <v>28</v>
      </c>
      <c r="G1499" s="3" t="s">
        <v>2276</v>
      </c>
      <c r="H1499" s="3" t="s">
        <v>523</v>
      </c>
      <c r="I1499" s="3"/>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t="s">
        <v>64</v>
      </c>
      <c r="AC1499" s="4" t="s">
        <v>4463</v>
      </c>
      <c r="AD1499" s="3"/>
    </row>
    <row r="1500" spans="1:30" ht="42" customHeight="1">
      <c r="A1500" s="11" t="s">
        <v>4451</v>
      </c>
      <c r="B1500" s="11" t="s">
        <v>4460</v>
      </c>
      <c r="C1500" s="3" t="s">
        <v>24</v>
      </c>
      <c r="D1500" s="3" t="s">
        <v>27</v>
      </c>
      <c r="E1500" s="3" t="s">
        <v>130</v>
      </c>
      <c r="F1500" s="4" t="s">
        <v>161</v>
      </c>
      <c r="G1500" s="3" t="s">
        <v>2276</v>
      </c>
      <c r="H1500" s="3" t="s">
        <v>523</v>
      </c>
      <c r="I1500" s="3"/>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3" t="s">
        <v>2276</v>
      </c>
      <c r="AC1500" s="3"/>
      <c r="AD1500" s="4" t="s">
        <v>4462</v>
      </c>
    </row>
    <row r="1501" spans="1:30" ht="44.5" customHeight="1">
      <c r="A1501" s="11" t="s">
        <v>4451</v>
      </c>
      <c r="B1501" s="11" t="s">
        <v>4461</v>
      </c>
      <c r="C1501" s="3" t="s">
        <v>24</v>
      </c>
      <c r="D1501" s="3" t="s">
        <v>2659</v>
      </c>
      <c r="E1501" s="3" t="s">
        <v>130</v>
      </c>
      <c r="F1501" s="4" t="s">
        <v>28</v>
      </c>
      <c r="G1501" s="3" t="s">
        <v>2276</v>
      </c>
      <c r="H1501" s="3" t="s">
        <v>523</v>
      </c>
      <c r="I1501" s="3"/>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t="s">
        <v>64</v>
      </c>
      <c r="AC1501" s="3" t="s">
        <v>4466</v>
      </c>
      <c r="AD1501" s="3"/>
    </row>
    <row r="1502" spans="1:30" ht="41" customHeight="1">
      <c r="A1502" s="11" t="s">
        <v>4451</v>
      </c>
      <c r="B1502" s="11" t="s">
        <v>4464</v>
      </c>
      <c r="C1502" s="3" t="s">
        <v>24</v>
      </c>
      <c r="D1502" s="3" t="s">
        <v>1131</v>
      </c>
      <c r="E1502" s="3" t="s">
        <v>130</v>
      </c>
      <c r="F1502" s="4" t="s">
        <v>28</v>
      </c>
      <c r="G1502" s="3" t="s">
        <v>2276</v>
      </c>
      <c r="H1502" s="3" t="s">
        <v>524</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3" t="s">
        <v>2276</v>
      </c>
      <c r="Z1502" s="3" t="s">
        <v>2276</v>
      </c>
      <c r="AA1502" s="3" t="s">
        <v>2276</v>
      </c>
      <c r="AB1502" s="3" t="s">
        <v>2276</v>
      </c>
      <c r="AC1502" s="19" t="s">
        <v>4465</v>
      </c>
      <c r="AD1502" s="3"/>
    </row>
    <row r="1503" spans="1:30" ht="43.5" customHeight="1">
      <c r="A1503" s="11" t="s">
        <v>4453</v>
      </c>
      <c r="B1503" s="11" t="s">
        <v>4467</v>
      </c>
      <c r="C1503" s="3" t="s">
        <v>24</v>
      </c>
      <c r="D1503" s="3" t="s">
        <v>27</v>
      </c>
      <c r="E1503" s="3" t="s">
        <v>130</v>
      </c>
      <c r="F1503" s="4" t="s">
        <v>161</v>
      </c>
      <c r="G1503" s="3" t="s">
        <v>2276</v>
      </c>
      <c r="H1503" s="3" t="s">
        <v>523</v>
      </c>
      <c r="I1503" s="3"/>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3"/>
      <c r="AD1503" s="3" t="s">
        <v>4469</v>
      </c>
    </row>
    <row r="1504" spans="1:30" ht="45.5" customHeight="1">
      <c r="A1504" s="3" t="s">
        <v>4473</v>
      </c>
      <c r="B1504" s="11" t="s">
        <v>4475</v>
      </c>
      <c r="C1504" s="3" t="s">
        <v>24</v>
      </c>
      <c r="D1504" s="3" t="s">
        <v>2804</v>
      </c>
      <c r="E1504" s="3" t="s">
        <v>5005</v>
      </c>
      <c r="F1504" s="4" t="s">
        <v>2662</v>
      </c>
      <c r="G1504" s="3" t="s">
        <v>2276</v>
      </c>
      <c r="H1504" s="3" t="s">
        <v>523</v>
      </c>
      <c r="I1504" s="3"/>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3"/>
      <c r="AD1504" s="3"/>
    </row>
    <row r="1505" spans="1:30" ht="60" customHeight="1">
      <c r="A1505" s="38" t="s">
        <v>4473</v>
      </c>
      <c r="B1505" s="35" t="s">
        <v>4476</v>
      </c>
      <c r="C1505" s="38" t="s">
        <v>24</v>
      </c>
      <c r="D1505" s="38" t="s">
        <v>2231</v>
      </c>
      <c r="E1505" s="38" t="s">
        <v>5005</v>
      </c>
      <c r="F1505" s="168" t="s">
        <v>2662</v>
      </c>
      <c r="G1505" s="3" t="s">
        <v>2276</v>
      </c>
      <c r="H1505" s="3"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173" t="s">
        <v>4480</v>
      </c>
      <c r="AD1505" s="38"/>
    </row>
    <row r="1506" spans="1:30" ht="57.5" customHeight="1">
      <c r="A1506" s="3" t="s">
        <v>4473</v>
      </c>
      <c r="B1506" s="11" t="s">
        <v>4477</v>
      </c>
      <c r="C1506" s="3" t="s">
        <v>24</v>
      </c>
      <c r="D1506" s="3" t="s">
        <v>2341</v>
      </c>
      <c r="E1506" s="3" t="s">
        <v>5005</v>
      </c>
      <c r="F1506" s="4" t="s">
        <v>2662</v>
      </c>
      <c r="G1506" s="3" t="s">
        <v>2276</v>
      </c>
      <c r="H1506" s="3" t="s">
        <v>523</v>
      </c>
      <c r="I1506" s="3"/>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3"/>
    </row>
    <row r="1507" spans="1:30" ht="52.5" customHeight="1">
      <c r="A1507" s="3" t="s">
        <v>4473</v>
      </c>
      <c r="B1507" s="11" t="s">
        <v>4478</v>
      </c>
      <c r="C1507" s="3" t="s">
        <v>24</v>
      </c>
      <c r="D1507" s="3" t="s">
        <v>2231</v>
      </c>
      <c r="E1507" s="3" t="s">
        <v>5005</v>
      </c>
      <c r="F1507" s="4" t="s">
        <v>74</v>
      </c>
      <c r="G1507" s="3" t="s">
        <v>2276</v>
      </c>
      <c r="H1507" s="3" t="s">
        <v>523</v>
      </c>
      <c r="I1507" s="3"/>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3"/>
    </row>
    <row r="1508" spans="1:30" ht="60" customHeight="1">
      <c r="A1508" s="3" t="s">
        <v>4473</v>
      </c>
      <c r="B1508" s="11" t="s">
        <v>4479</v>
      </c>
      <c r="C1508" s="3" t="s">
        <v>24</v>
      </c>
      <c r="D1508" s="3" t="s">
        <v>2341</v>
      </c>
      <c r="E1508" s="3" t="s">
        <v>5005</v>
      </c>
      <c r="F1508" s="4" t="s">
        <v>74</v>
      </c>
      <c r="G1508" s="3" t="s">
        <v>2276</v>
      </c>
      <c r="H1508" s="3" t="s">
        <v>523</v>
      </c>
      <c r="I1508" s="3"/>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3"/>
    </row>
    <row r="1509" spans="1:30" ht="46.5" customHeight="1">
      <c r="A1509" s="3" t="s">
        <v>4473</v>
      </c>
      <c r="B1509" s="11" t="s">
        <v>4481</v>
      </c>
      <c r="C1509" s="3" t="s">
        <v>2458</v>
      </c>
      <c r="D1509" s="3" t="s">
        <v>1105</v>
      </c>
      <c r="E1509" s="3" t="s">
        <v>5005</v>
      </c>
      <c r="F1509" s="4" t="s">
        <v>2276</v>
      </c>
      <c r="G1509" s="3" t="s">
        <v>74</v>
      </c>
      <c r="H1509" s="3" t="s">
        <v>523</v>
      </c>
      <c r="I1509" s="3"/>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3"/>
      <c r="AD1509" s="4" t="s">
        <v>4483</v>
      </c>
    </row>
    <row r="1510" spans="1:30" ht="45.5" customHeight="1">
      <c r="A1510" s="3" t="s">
        <v>4473</v>
      </c>
      <c r="B1510" s="11" t="s">
        <v>4482</v>
      </c>
      <c r="C1510" s="3" t="s">
        <v>2658</v>
      </c>
      <c r="D1510" s="3" t="s">
        <v>2276</v>
      </c>
      <c r="E1510" s="3" t="s">
        <v>2276</v>
      </c>
      <c r="F1510" s="4" t="s">
        <v>2276</v>
      </c>
      <c r="G1510" s="3" t="s">
        <v>74</v>
      </c>
      <c r="H1510" s="3" t="s">
        <v>523</v>
      </c>
      <c r="I1510" s="3"/>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3" t="s">
        <v>38</v>
      </c>
      <c r="AA1510" s="3" t="s">
        <v>38</v>
      </c>
      <c r="AB1510" s="3" t="s">
        <v>2276</v>
      </c>
      <c r="AC1510" s="3"/>
      <c r="AD1510" s="3"/>
    </row>
    <row r="1511" spans="1:30" ht="57" customHeight="1">
      <c r="A1511" s="11" t="s">
        <v>4485</v>
      </c>
      <c r="B1511" s="11" t="s">
        <v>4490</v>
      </c>
      <c r="C1511" s="3" t="s">
        <v>24</v>
      </c>
      <c r="D1511" s="3" t="s">
        <v>26</v>
      </c>
      <c r="E1511" s="3" t="s">
        <v>5005</v>
      </c>
      <c r="F1511" s="4" t="s">
        <v>74</v>
      </c>
      <c r="G1511" s="3" t="s">
        <v>74</v>
      </c>
      <c r="H1511" s="3" t="s">
        <v>523</v>
      </c>
      <c r="I1511" s="3"/>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3"/>
    </row>
    <row r="1512" spans="1:30" ht="51.5" customHeight="1">
      <c r="A1512" s="11" t="s">
        <v>4485</v>
      </c>
      <c r="B1512" s="11" t="s">
        <v>4491</v>
      </c>
      <c r="C1512" s="3" t="s">
        <v>24</v>
      </c>
      <c r="D1512" s="3" t="s">
        <v>143</v>
      </c>
      <c r="E1512" s="3" t="s">
        <v>5005</v>
      </c>
      <c r="F1512" s="4" t="s">
        <v>74</v>
      </c>
      <c r="G1512" s="3" t="s">
        <v>74</v>
      </c>
      <c r="H1512" s="3" t="s">
        <v>523</v>
      </c>
      <c r="I1512" s="3"/>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3"/>
    </row>
    <row r="1513" spans="1:30" ht="47" customHeight="1">
      <c r="A1513" s="11" t="s">
        <v>4487</v>
      </c>
      <c r="B1513" s="11" t="s">
        <v>4492</v>
      </c>
      <c r="C1513" s="3" t="s">
        <v>24</v>
      </c>
      <c r="D1513" s="3" t="s">
        <v>26</v>
      </c>
      <c r="E1513" s="3" t="s">
        <v>5005</v>
      </c>
      <c r="F1513" s="4" t="s">
        <v>2662</v>
      </c>
      <c r="G1513" s="3" t="s">
        <v>2276</v>
      </c>
      <c r="H1513" s="3" t="s">
        <v>523</v>
      </c>
      <c r="I1513" s="3"/>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3"/>
    </row>
    <row r="1514" spans="1:30" ht="57.5" customHeight="1">
      <c r="A1514" s="11" t="s">
        <v>4487</v>
      </c>
      <c r="B1514" s="11" t="s">
        <v>4493</v>
      </c>
      <c r="C1514" s="3" t="s">
        <v>24</v>
      </c>
      <c r="D1514" s="3" t="s">
        <v>25</v>
      </c>
      <c r="E1514" s="3" t="s">
        <v>5005</v>
      </c>
      <c r="F1514" s="4" t="s">
        <v>55</v>
      </c>
      <c r="G1514" s="3" t="s">
        <v>2276</v>
      </c>
      <c r="H1514" s="3" t="s">
        <v>523</v>
      </c>
      <c r="I1514" s="3"/>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3"/>
    </row>
    <row r="1515" spans="1:30" ht="47" customHeight="1">
      <c r="A1515" s="19" t="s">
        <v>4488</v>
      </c>
      <c r="B1515" s="19" t="s">
        <v>4496</v>
      </c>
      <c r="C1515" s="4" t="s">
        <v>24</v>
      </c>
      <c r="D1515" s="4" t="s">
        <v>2994</v>
      </c>
      <c r="E1515" s="4" t="s">
        <v>5005</v>
      </c>
      <c r="F1515" s="4" t="s">
        <v>2276</v>
      </c>
      <c r="G1515" s="3" t="s">
        <v>2276</v>
      </c>
      <c r="H1515" s="3"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3" t="s">
        <v>2276</v>
      </c>
      <c r="H1516" s="3"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3" t="s">
        <v>1105</v>
      </c>
      <c r="F1517" s="4" t="s">
        <v>1105</v>
      </c>
      <c r="G1517" s="3" t="s">
        <v>1105</v>
      </c>
      <c r="H1517" s="3" t="s">
        <v>524</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3"/>
    </row>
    <row r="1518" spans="1:30" ht="34.5" customHeight="1">
      <c r="A1518" s="11" t="s">
        <v>4506</v>
      </c>
      <c r="B1518" s="11" t="s">
        <v>4512</v>
      </c>
      <c r="C1518" s="3" t="s">
        <v>24</v>
      </c>
      <c r="D1518" s="3" t="s">
        <v>1105</v>
      </c>
      <c r="E1518" s="3" t="s">
        <v>2647</v>
      </c>
      <c r="F1518" s="4" t="s">
        <v>1105</v>
      </c>
      <c r="G1518" s="3" t="s">
        <v>1105</v>
      </c>
      <c r="H1518" s="3" t="s">
        <v>524</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3"/>
    </row>
    <row r="1519" spans="1:30" ht="41" customHeight="1">
      <c r="A1519" s="11" t="s">
        <v>4506</v>
      </c>
      <c r="B1519" s="11" t="s">
        <v>4513</v>
      </c>
      <c r="C1519" s="3" t="s">
        <v>24</v>
      </c>
      <c r="D1519" s="3" t="s">
        <v>1105</v>
      </c>
      <c r="E1519" s="3" t="s">
        <v>45</v>
      </c>
      <c r="F1519" s="4" t="s">
        <v>1105</v>
      </c>
      <c r="G1519" s="3" t="s">
        <v>1105</v>
      </c>
      <c r="H1519" s="3" t="s">
        <v>524</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3"/>
    </row>
    <row r="1520" spans="1:30" ht="45.5" customHeight="1">
      <c r="A1520" s="11" t="s">
        <v>4518</v>
      </c>
      <c r="B1520" s="11" t="s">
        <v>4528</v>
      </c>
      <c r="C1520" s="3" t="s">
        <v>1105</v>
      </c>
      <c r="D1520" s="3" t="s">
        <v>1105</v>
      </c>
      <c r="E1520" s="3" t="s">
        <v>1105</v>
      </c>
      <c r="F1520" s="4" t="s">
        <v>1105</v>
      </c>
      <c r="G1520" s="3" t="s">
        <v>1105</v>
      </c>
      <c r="H1520" s="3" t="s">
        <v>523</v>
      </c>
      <c r="I1520" s="3"/>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3" t="s">
        <v>4537</v>
      </c>
    </row>
    <row r="1521" spans="1:30" ht="41" customHeight="1">
      <c r="A1521" s="11" t="s">
        <v>4519</v>
      </c>
      <c r="B1521" s="11" t="s">
        <v>4529</v>
      </c>
      <c r="C1521" s="3" t="s">
        <v>1105</v>
      </c>
      <c r="D1521" s="3" t="s">
        <v>1105</v>
      </c>
      <c r="E1521" s="3" t="s">
        <v>1105</v>
      </c>
      <c r="F1521" s="4" t="s">
        <v>1105</v>
      </c>
      <c r="G1521" s="3" t="s">
        <v>1105</v>
      </c>
      <c r="H1521" s="3" t="s">
        <v>523</v>
      </c>
      <c r="I1521" s="3">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3"/>
      <c r="AD1521" s="3"/>
    </row>
    <row r="1522" spans="1:30" ht="41" customHeight="1">
      <c r="A1522" s="11" t="s">
        <v>4520</v>
      </c>
      <c r="B1522" s="11" t="s">
        <v>4530</v>
      </c>
      <c r="C1522" s="3" t="s">
        <v>1105</v>
      </c>
      <c r="D1522" s="3" t="s">
        <v>1105</v>
      </c>
      <c r="E1522" s="3" t="s">
        <v>1105</v>
      </c>
      <c r="F1522" s="4" t="s">
        <v>1105</v>
      </c>
      <c r="G1522" s="3" t="s">
        <v>1105</v>
      </c>
      <c r="H1522" s="3" t="s">
        <v>523</v>
      </c>
      <c r="I1522" s="3">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3"/>
      <c r="AD1522" s="3"/>
    </row>
    <row r="1523" spans="1:30" ht="41" customHeight="1">
      <c r="A1523" s="11" t="s">
        <v>4521</v>
      </c>
      <c r="B1523" s="11" t="s">
        <v>4531</v>
      </c>
      <c r="C1523" s="3" t="s">
        <v>1105</v>
      </c>
      <c r="D1523" s="3" t="s">
        <v>1105</v>
      </c>
      <c r="E1523" s="3" t="s">
        <v>1105</v>
      </c>
      <c r="F1523" s="4" t="s">
        <v>1105</v>
      </c>
      <c r="G1523" s="3" t="s">
        <v>1105</v>
      </c>
      <c r="H1523" s="3" t="s">
        <v>523</v>
      </c>
      <c r="I1523" s="3">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3"/>
      <c r="AD1523" s="3"/>
    </row>
    <row r="1524" spans="1:30" ht="41" customHeight="1">
      <c r="A1524" s="11" t="s">
        <v>4522</v>
      </c>
      <c r="B1524" s="11" t="s">
        <v>4532</v>
      </c>
      <c r="C1524" s="3" t="s">
        <v>1105</v>
      </c>
      <c r="D1524" s="3" t="s">
        <v>1105</v>
      </c>
      <c r="E1524" s="3" t="s">
        <v>1105</v>
      </c>
      <c r="F1524" s="4" t="s">
        <v>1105</v>
      </c>
      <c r="G1524" s="3" t="s">
        <v>1105</v>
      </c>
      <c r="H1524" s="3" t="s">
        <v>523</v>
      </c>
      <c r="I1524" s="3">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3"/>
      <c r="AD1524" s="3"/>
    </row>
    <row r="1525" spans="1:30" ht="50" customHeight="1">
      <c r="A1525" s="11" t="s">
        <v>4519</v>
      </c>
      <c r="B1525" s="11" t="s">
        <v>4533</v>
      </c>
      <c r="C1525" s="3" t="s">
        <v>1105</v>
      </c>
      <c r="D1525" s="3" t="s">
        <v>1105</v>
      </c>
      <c r="E1525" s="3" t="s">
        <v>1105</v>
      </c>
      <c r="F1525" s="4" t="s">
        <v>1105</v>
      </c>
      <c r="G1525" s="3" t="s">
        <v>1105</v>
      </c>
      <c r="H1525" s="3"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3"/>
    </row>
    <row r="1526" spans="1:30" ht="50" customHeight="1">
      <c r="A1526" s="11" t="s">
        <v>4520</v>
      </c>
      <c r="B1526" s="11" t="s">
        <v>4534</v>
      </c>
      <c r="C1526" s="3" t="s">
        <v>1105</v>
      </c>
      <c r="D1526" s="3" t="s">
        <v>1105</v>
      </c>
      <c r="E1526" s="3" t="s">
        <v>1105</v>
      </c>
      <c r="F1526" s="4" t="s">
        <v>1105</v>
      </c>
      <c r="G1526" s="3" t="s">
        <v>1105</v>
      </c>
      <c r="H1526" s="3"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3"/>
    </row>
    <row r="1527" spans="1:30" ht="50" customHeight="1">
      <c r="A1527" s="11" t="s">
        <v>4521</v>
      </c>
      <c r="B1527" s="11" t="s">
        <v>4535</v>
      </c>
      <c r="C1527" s="3" t="s">
        <v>1105</v>
      </c>
      <c r="D1527" s="3" t="s">
        <v>1105</v>
      </c>
      <c r="E1527" s="3" t="s">
        <v>1105</v>
      </c>
      <c r="F1527" s="4" t="s">
        <v>1105</v>
      </c>
      <c r="G1527" s="3" t="s">
        <v>1105</v>
      </c>
      <c r="H1527" s="3"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3"/>
    </row>
    <row r="1528" spans="1:30" ht="50" customHeight="1">
      <c r="A1528" s="11" t="s">
        <v>4522</v>
      </c>
      <c r="B1528" s="11" t="s">
        <v>4536</v>
      </c>
      <c r="C1528" s="3" t="s">
        <v>1105</v>
      </c>
      <c r="D1528" s="3" t="s">
        <v>1105</v>
      </c>
      <c r="E1528" s="3" t="s">
        <v>1105</v>
      </c>
      <c r="F1528" s="4" t="s">
        <v>1105</v>
      </c>
      <c r="G1528" s="3" t="s">
        <v>1105</v>
      </c>
      <c r="H1528" s="3"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3"/>
    </row>
    <row r="1529" spans="1:30" ht="42" customHeight="1">
      <c r="A1529" s="11" t="s">
        <v>4543</v>
      </c>
      <c r="B1529" s="11" t="s">
        <v>4549</v>
      </c>
      <c r="C1529" s="3" t="s">
        <v>24</v>
      </c>
      <c r="D1529" s="3" t="s">
        <v>25</v>
      </c>
      <c r="E1529" s="3" t="s">
        <v>5005</v>
      </c>
      <c r="F1529" s="4" t="s">
        <v>2662</v>
      </c>
      <c r="G1529" s="3" t="s">
        <v>1105</v>
      </c>
      <c r="H1529" s="3" t="s">
        <v>523</v>
      </c>
      <c r="I1529" s="3"/>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3"/>
      <c r="AD1529" s="3"/>
    </row>
    <row r="1530" spans="1:30" ht="42" customHeight="1">
      <c r="A1530" s="11" t="s">
        <v>4543</v>
      </c>
      <c r="B1530" s="11" t="s">
        <v>4550</v>
      </c>
      <c r="C1530" s="3" t="s">
        <v>24</v>
      </c>
      <c r="D1530" s="3" t="s">
        <v>1131</v>
      </c>
      <c r="E1530" s="3" t="s">
        <v>130</v>
      </c>
      <c r="F1530" s="4" t="s">
        <v>2662</v>
      </c>
      <c r="G1530" s="3" t="s">
        <v>1105</v>
      </c>
      <c r="H1530" s="3" t="s">
        <v>523</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3"/>
      <c r="AD1530" s="3"/>
    </row>
    <row r="1531" spans="1:30" ht="42" customHeight="1">
      <c r="A1531" s="11" t="s">
        <v>4543</v>
      </c>
      <c r="B1531" s="11" t="s">
        <v>4551</v>
      </c>
      <c r="C1531" s="3" t="s">
        <v>24</v>
      </c>
      <c r="D1531" s="3" t="s">
        <v>1131</v>
      </c>
      <c r="E1531" s="3" t="s">
        <v>5005</v>
      </c>
      <c r="F1531" s="4" t="s">
        <v>2662</v>
      </c>
      <c r="G1531" s="3" t="s">
        <v>1105</v>
      </c>
      <c r="H1531" s="3" t="s">
        <v>523</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3"/>
      <c r="AD1531" s="3"/>
    </row>
    <row r="1532" spans="1:30" ht="42" customHeight="1">
      <c r="A1532" s="11" t="s">
        <v>4543</v>
      </c>
      <c r="B1532" s="11" t="s">
        <v>4552</v>
      </c>
      <c r="C1532" s="3" t="s">
        <v>24</v>
      </c>
      <c r="D1532" s="3" t="s">
        <v>1131</v>
      </c>
      <c r="E1532" s="3" t="s">
        <v>116</v>
      </c>
      <c r="F1532" s="4" t="s">
        <v>2662</v>
      </c>
      <c r="G1532" s="3" t="s">
        <v>1105</v>
      </c>
      <c r="H1532" s="3" t="s">
        <v>523</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3"/>
      <c r="AD1532" s="3"/>
    </row>
    <row r="1533" spans="1:30" ht="42" customHeight="1">
      <c r="A1533" s="11" t="s">
        <v>4543</v>
      </c>
      <c r="B1533" s="11" t="s">
        <v>4553</v>
      </c>
      <c r="C1533" s="3" t="s">
        <v>24</v>
      </c>
      <c r="D1533" s="3" t="s">
        <v>2305</v>
      </c>
      <c r="E1533" s="3" t="s">
        <v>5005</v>
      </c>
      <c r="F1533" s="4" t="s">
        <v>2662</v>
      </c>
      <c r="G1533" s="3" t="s">
        <v>1105</v>
      </c>
      <c r="H1533" s="3" t="s">
        <v>523</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3"/>
      <c r="AD1533" s="3"/>
    </row>
    <row r="1534" spans="1:30" ht="42" customHeight="1">
      <c r="A1534" s="11" t="s">
        <v>4543</v>
      </c>
      <c r="B1534" s="11" t="s">
        <v>4554</v>
      </c>
      <c r="C1534" s="3" t="s">
        <v>24</v>
      </c>
      <c r="D1534" s="3" t="s">
        <v>2341</v>
      </c>
      <c r="E1534" s="3" t="s">
        <v>116</v>
      </c>
      <c r="F1534" s="4" t="s">
        <v>2662</v>
      </c>
      <c r="G1534" s="3" t="s">
        <v>1105</v>
      </c>
      <c r="H1534" s="3" t="s">
        <v>523</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3"/>
      <c r="AD1534" s="3"/>
    </row>
    <row r="1535" spans="1:30" ht="42" customHeight="1">
      <c r="A1535" s="11" t="s">
        <v>4543</v>
      </c>
      <c r="B1535" s="11" t="s">
        <v>4555</v>
      </c>
      <c r="C1535" s="3" t="s">
        <v>24</v>
      </c>
      <c r="D1535" s="3" t="s">
        <v>27</v>
      </c>
      <c r="E1535" s="3" t="s">
        <v>130</v>
      </c>
      <c r="F1535" s="4" t="s">
        <v>2662</v>
      </c>
      <c r="G1535" s="3" t="s">
        <v>1105</v>
      </c>
      <c r="H1535" s="3" t="s">
        <v>523</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3"/>
      <c r="AD1535" s="3"/>
    </row>
    <row r="1536" spans="1:30" ht="42" customHeight="1">
      <c r="A1536" s="11" t="s">
        <v>4543</v>
      </c>
      <c r="B1536" s="11" t="s">
        <v>4556</v>
      </c>
      <c r="C1536" s="3" t="s">
        <v>24</v>
      </c>
      <c r="D1536" s="3" t="s">
        <v>2231</v>
      </c>
      <c r="E1536" s="3" t="s">
        <v>130</v>
      </c>
      <c r="F1536" s="4" t="s">
        <v>2662</v>
      </c>
      <c r="G1536" s="3" t="s">
        <v>1105</v>
      </c>
      <c r="H1536" s="3" t="s">
        <v>523</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3"/>
      <c r="AD1536" s="3"/>
    </row>
    <row r="1537" spans="1:30" ht="42" customHeight="1">
      <c r="A1537" s="11" t="s">
        <v>4543</v>
      </c>
      <c r="B1537" s="11" t="s">
        <v>4557</v>
      </c>
      <c r="C1537" s="3" t="s">
        <v>24</v>
      </c>
      <c r="D1537" s="3" t="s">
        <v>3480</v>
      </c>
      <c r="E1537" s="3" t="s">
        <v>116</v>
      </c>
      <c r="F1537" s="4" t="s">
        <v>2662</v>
      </c>
      <c r="G1537" s="3" t="s">
        <v>1105</v>
      </c>
      <c r="H1537" s="3" t="s">
        <v>523</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3"/>
    </row>
    <row r="1538" spans="1:30" ht="45" customHeight="1">
      <c r="A1538" s="11" t="s">
        <v>4543</v>
      </c>
      <c r="B1538" s="11" t="s">
        <v>4558</v>
      </c>
      <c r="C1538" s="3" t="s">
        <v>24</v>
      </c>
      <c r="D1538" s="3" t="s">
        <v>26</v>
      </c>
      <c r="E1538" s="3" t="s">
        <v>5005</v>
      </c>
      <c r="F1538" s="4" t="s">
        <v>2662</v>
      </c>
      <c r="G1538" s="3" t="s">
        <v>1105</v>
      </c>
      <c r="H1538" s="3" t="s">
        <v>523</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3"/>
      <c r="AD1538" s="3"/>
    </row>
    <row r="1539" spans="1:30" ht="64.5" customHeight="1">
      <c r="A1539" s="11" t="s">
        <v>4543</v>
      </c>
      <c r="B1539" s="11" t="s">
        <v>4579</v>
      </c>
      <c r="C1539" s="3" t="s">
        <v>24</v>
      </c>
      <c r="D1539" s="3" t="s">
        <v>1105</v>
      </c>
      <c r="E1539" s="3" t="s">
        <v>5005</v>
      </c>
      <c r="F1539" s="4" t="s">
        <v>2662</v>
      </c>
      <c r="G1539" s="3" t="s">
        <v>1105</v>
      </c>
      <c r="H1539" s="3" t="s">
        <v>523</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3" t="s">
        <v>38</v>
      </c>
      <c r="AA1539" s="3" t="s">
        <v>425</v>
      </c>
      <c r="AB1539" s="3" t="s">
        <v>76</v>
      </c>
      <c r="AC1539" s="4" t="s">
        <v>4580</v>
      </c>
      <c r="AD1539" s="3"/>
    </row>
    <row r="1540" spans="1:30" ht="29">
      <c r="A1540" s="11" t="s">
        <v>4546</v>
      </c>
      <c r="B1540" s="11" t="s">
        <v>4560</v>
      </c>
      <c r="C1540" s="3" t="s">
        <v>24</v>
      </c>
      <c r="D1540" s="3" t="s">
        <v>25</v>
      </c>
      <c r="E1540" s="3" t="s">
        <v>5005</v>
      </c>
      <c r="F1540" s="4" t="s">
        <v>2662</v>
      </c>
      <c r="G1540" s="3" t="s">
        <v>1105</v>
      </c>
      <c r="H1540" s="3" t="s">
        <v>523</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3"/>
      <c r="AD1540" s="3"/>
    </row>
    <row r="1541" spans="1:30" ht="29">
      <c r="A1541" s="11" t="s">
        <v>4546</v>
      </c>
      <c r="B1541" s="11" t="s">
        <v>4561</v>
      </c>
      <c r="C1541" s="3" t="s">
        <v>24</v>
      </c>
      <c r="D1541" s="3" t="s">
        <v>1131</v>
      </c>
      <c r="E1541" s="3" t="s">
        <v>130</v>
      </c>
      <c r="F1541" s="4" t="s">
        <v>2662</v>
      </c>
      <c r="G1541" s="3" t="s">
        <v>1105</v>
      </c>
      <c r="H1541" s="3" t="s">
        <v>523</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3"/>
      <c r="AD1541" s="3"/>
    </row>
    <row r="1542" spans="1:30" ht="29">
      <c r="A1542" s="11" t="s">
        <v>4546</v>
      </c>
      <c r="B1542" s="11" t="s">
        <v>4562</v>
      </c>
      <c r="C1542" s="3" t="s">
        <v>24</v>
      </c>
      <c r="D1542" s="3" t="s">
        <v>1131</v>
      </c>
      <c r="E1542" s="3" t="s">
        <v>5005</v>
      </c>
      <c r="F1542" s="4" t="s">
        <v>2662</v>
      </c>
      <c r="G1542" s="3" t="s">
        <v>1105</v>
      </c>
      <c r="H1542" s="3" t="s">
        <v>523</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3"/>
      <c r="AD1542" s="3"/>
    </row>
    <row r="1543" spans="1:30" ht="29">
      <c r="A1543" s="11" t="s">
        <v>4546</v>
      </c>
      <c r="B1543" s="11" t="s">
        <v>4563</v>
      </c>
      <c r="C1543" s="3" t="s">
        <v>24</v>
      </c>
      <c r="D1543" s="3" t="s">
        <v>1131</v>
      </c>
      <c r="E1543" s="3" t="s">
        <v>116</v>
      </c>
      <c r="F1543" s="4" t="s">
        <v>2662</v>
      </c>
      <c r="G1543" s="3" t="s">
        <v>1105</v>
      </c>
      <c r="H1543" s="3" t="s">
        <v>523</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3"/>
      <c r="AD1543" s="3"/>
    </row>
    <row r="1544" spans="1:30" ht="29">
      <c r="A1544" s="11" t="s">
        <v>4546</v>
      </c>
      <c r="B1544" s="11" t="s">
        <v>4564</v>
      </c>
      <c r="C1544" s="3" t="s">
        <v>24</v>
      </c>
      <c r="D1544" s="3" t="s">
        <v>2305</v>
      </c>
      <c r="E1544" s="3" t="s">
        <v>5005</v>
      </c>
      <c r="F1544" s="4" t="s">
        <v>2662</v>
      </c>
      <c r="G1544" s="3" t="s">
        <v>1105</v>
      </c>
      <c r="H1544" s="3" t="s">
        <v>523</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3"/>
      <c r="AD1544" s="3"/>
    </row>
    <row r="1545" spans="1:30" ht="29">
      <c r="A1545" s="11" t="s">
        <v>4546</v>
      </c>
      <c r="B1545" s="11" t="s">
        <v>4565</v>
      </c>
      <c r="C1545" s="3" t="s">
        <v>24</v>
      </c>
      <c r="D1545" s="3" t="s">
        <v>2341</v>
      </c>
      <c r="E1545" s="3" t="s">
        <v>116</v>
      </c>
      <c r="F1545" s="4" t="s">
        <v>2662</v>
      </c>
      <c r="G1545" s="3" t="s">
        <v>1105</v>
      </c>
      <c r="H1545" s="3" t="s">
        <v>523</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3"/>
      <c r="AD1545" s="3"/>
    </row>
    <row r="1546" spans="1:30" ht="29">
      <c r="A1546" s="11" t="s">
        <v>4546</v>
      </c>
      <c r="B1546" s="11" t="s">
        <v>4566</v>
      </c>
      <c r="C1546" s="3" t="s">
        <v>24</v>
      </c>
      <c r="D1546" s="3" t="s">
        <v>27</v>
      </c>
      <c r="E1546" s="3" t="s">
        <v>130</v>
      </c>
      <c r="F1546" s="4" t="s">
        <v>2662</v>
      </c>
      <c r="G1546" s="3" t="s">
        <v>1105</v>
      </c>
      <c r="H1546" s="3" t="s">
        <v>523</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3"/>
      <c r="AD1546" s="3"/>
    </row>
    <row r="1547" spans="1:30" ht="29">
      <c r="A1547" s="11" t="s">
        <v>4546</v>
      </c>
      <c r="B1547" s="11" t="s">
        <v>4567</v>
      </c>
      <c r="C1547" s="3" t="s">
        <v>24</v>
      </c>
      <c r="D1547" s="3" t="s">
        <v>2231</v>
      </c>
      <c r="E1547" s="3" t="s">
        <v>130</v>
      </c>
      <c r="F1547" s="4" t="s">
        <v>2662</v>
      </c>
      <c r="G1547" s="3" t="s">
        <v>1105</v>
      </c>
      <c r="H1547" s="3" t="s">
        <v>523</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3"/>
    </row>
    <row r="1548" spans="1:30" ht="29">
      <c r="A1548" s="11" t="s">
        <v>4546</v>
      </c>
      <c r="B1548" s="11" t="s">
        <v>4568</v>
      </c>
      <c r="C1548" s="3" t="s">
        <v>24</v>
      </c>
      <c r="D1548" s="3" t="s">
        <v>3480</v>
      </c>
      <c r="E1548" s="3" t="s">
        <v>116</v>
      </c>
      <c r="F1548" s="4" t="s">
        <v>2662</v>
      </c>
      <c r="G1548" s="3" t="s">
        <v>1105</v>
      </c>
      <c r="H1548" s="3" t="s">
        <v>523</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3"/>
      <c r="AD1548" s="3"/>
    </row>
    <row r="1549" spans="1:30" ht="46.5" customHeight="1">
      <c r="A1549" s="11" t="s">
        <v>4546</v>
      </c>
      <c r="B1549" s="11" t="s">
        <v>4569</v>
      </c>
      <c r="C1549" s="3" t="s">
        <v>24</v>
      </c>
      <c r="D1549" s="3" t="s">
        <v>26</v>
      </c>
      <c r="E1549" s="3" t="s">
        <v>5005</v>
      </c>
      <c r="F1549" s="4" t="s">
        <v>2662</v>
      </c>
      <c r="G1549" s="3" t="s">
        <v>1105</v>
      </c>
      <c r="H1549" s="3" t="s">
        <v>523</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3"/>
      <c r="AD1549" s="3"/>
    </row>
    <row r="1550" spans="1:30" ht="60" customHeight="1">
      <c r="A1550" s="11" t="s">
        <v>4546</v>
      </c>
      <c r="B1550" s="11" t="s">
        <v>4578</v>
      </c>
      <c r="C1550" s="3" t="s">
        <v>24</v>
      </c>
      <c r="D1550" s="3" t="s">
        <v>1105</v>
      </c>
      <c r="E1550" s="3" t="s">
        <v>5005</v>
      </c>
      <c r="F1550" s="4" t="s">
        <v>2662</v>
      </c>
      <c r="G1550" s="3" t="s">
        <v>1105</v>
      </c>
      <c r="H1550" s="3" t="s">
        <v>523</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3" t="s">
        <v>38</v>
      </c>
      <c r="AA1550" s="3" t="s">
        <v>425</v>
      </c>
      <c r="AB1550" s="3" t="s">
        <v>76</v>
      </c>
      <c r="AC1550" s="4" t="s">
        <v>4580</v>
      </c>
      <c r="AD1550" s="3"/>
    </row>
    <row r="1551" spans="1:30" ht="49" customHeight="1">
      <c r="A1551" s="11" t="s">
        <v>4571</v>
      </c>
      <c r="B1551" s="11" t="s">
        <v>4574</v>
      </c>
      <c r="C1551" s="3" t="s">
        <v>24</v>
      </c>
      <c r="D1551" s="3" t="s">
        <v>144</v>
      </c>
      <c r="E1551" s="3" t="s">
        <v>137</v>
      </c>
      <c r="F1551" s="4" t="s">
        <v>2662</v>
      </c>
      <c r="G1551" s="3" t="s">
        <v>1105</v>
      </c>
      <c r="H1551" s="3" t="s">
        <v>523</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3"/>
    </row>
    <row r="1552" spans="1:30" ht="41" customHeight="1">
      <c r="A1552" s="11" t="s">
        <v>4571</v>
      </c>
      <c r="B1552" s="11" t="s">
        <v>4575</v>
      </c>
      <c r="C1552" s="3" t="s">
        <v>24</v>
      </c>
      <c r="D1552" s="3" t="s">
        <v>1245</v>
      </c>
      <c r="E1552" s="3" t="s">
        <v>2652</v>
      </c>
      <c r="F1552" s="4" t="s">
        <v>2662</v>
      </c>
      <c r="G1552" s="3" t="s">
        <v>1105</v>
      </c>
      <c r="H1552" s="3" t="s">
        <v>523</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3"/>
      <c r="AD1552" s="3"/>
    </row>
    <row r="1553" spans="1:30" ht="48.5" customHeight="1">
      <c r="A1553" s="11" t="s">
        <v>4571</v>
      </c>
      <c r="B1553" s="11" t="s">
        <v>4576</v>
      </c>
      <c r="C1553" s="3" t="s">
        <v>24</v>
      </c>
      <c r="D1553" s="3" t="s">
        <v>1105</v>
      </c>
      <c r="E1553" s="3" t="s">
        <v>1105</v>
      </c>
      <c r="F1553" s="4" t="s">
        <v>2662</v>
      </c>
      <c r="G1553" s="3" t="s">
        <v>1105</v>
      </c>
      <c r="H1553" s="3" t="s">
        <v>523</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3"/>
    </row>
    <row r="1554" spans="1:30" ht="40.5" customHeight="1">
      <c r="A1554" s="11" t="s">
        <v>4582</v>
      </c>
      <c r="B1554" s="35" t="s">
        <v>4583</v>
      </c>
      <c r="C1554" s="38" t="s">
        <v>24</v>
      </c>
      <c r="D1554" s="38" t="s">
        <v>26</v>
      </c>
      <c r="E1554" t="s">
        <v>5005</v>
      </c>
      <c r="F1554" s="4" t="s">
        <v>2662</v>
      </c>
      <c r="G1554" s="3" t="s">
        <v>1105</v>
      </c>
      <c r="H1554" s="3"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3" t="s">
        <v>5005</v>
      </c>
      <c r="F1555" s="4" t="s">
        <v>2662</v>
      </c>
      <c r="G1555" s="3" t="s">
        <v>1105</v>
      </c>
      <c r="H1555" s="3" t="s">
        <v>523</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3"/>
      <c r="AD1555" s="3"/>
    </row>
    <row r="1556" spans="1:30" ht="33.5" customHeight="1">
      <c r="A1556" s="11" t="s">
        <v>4585</v>
      </c>
      <c r="B1556" s="11" t="s">
        <v>4589</v>
      </c>
      <c r="C1556" s="3" t="s">
        <v>24</v>
      </c>
      <c r="D1556" s="3" t="s">
        <v>1242</v>
      </c>
      <c r="E1556" s="3" t="s">
        <v>137</v>
      </c>
      <c r="F1556" s="4" t="s">
        <v>2662</v>
      </c>
      <c r="G1556" s="3" t="s">
        <v>1105</v>
      </c>
      <c r="H1556" s="3" t="s">
        <v>523</v>
      </c>
      <c r="I1556" s="3"/>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3" t="s">
        <v>4593</v>
      </c>
      <c r="AD1556" s="3"/>
    </row>
    <row r="1557" spans="1:30" ht="33.5" customHeight="1">
      <c r="A1557" s="11" t="s">
        <v>4586</v>
      </c>
      <c r="B1557" s="11" t="s">
        <v>4590</v>
      </c>
      <c r="C1557" s="3" t="s">
        <v>24</v>
      </c>
      <c r="D1557" s="3" t="s">
        <v>1242</v>
      </c>
      <c r="E1557" s="3" t="s">
        <v>137</v>
      </c>
      <c r="F1557" s="4" t="s">
        <v>2662</v>
      </c>
      <c r="G1557" s="3" t="s">
        <v>1105</v>
      </c>
      <c r="H1557" s="3" t="s">
        <v>523</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3" t="s">
        <v>4593</v>
      </c>
      <c r="AD1557" s="3"/>
    </row>
    <row r="1558" spans="1:30" ht="29">
      <c r="A1558" s="11" t="s">
        <v>4585</v>
      </c>
      <c r="B1558" s="11" t="s">
        <v>4591</v>
      </c>
      <c r="C1558" s="3" t="s">
        <v>24</v>
      </c>
      <c r="D1558" s="3" t="s">
        <v>144</v>
      </c>
      <c r="E1558" s="3" t="s">
        <v>137</v>
      </c>
      <c r="F1558" s="4" t="s">
        <v>2662</v>
      </c>
      <c r="G1558" s="3" t="s">
        <v>1105</v>
      </c>
      <c r="H1558" s="3" t="s">
        <v>523</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3" t="s">
        <v>4593</v>
      </c>
      <c r="AD1558" s="3"/>
    </row>
    <row r="1559" spans="1:30" ht="31" customHeight="1">
      <c r="A1559" s="11" t="s">
        <v>4586</v>
      </c>
      <c r="B1559" s="11" t="s">
        <v>4592</v>
      </c>
      <c r="C1559" s="3" t="s">
        <v>24</v>
      </c>
      <c r="D1559" s="3" t="s">
        <v>144</v>
      </c>
      <c r="E1559" s="3" t="s">
        <v>137</v>
      </c>
      <c r="F1559" s="4" t="s">
        <v>2662</v>
      </c>
      <c r="G1559" s="3" t="s">
        <v>1105</v>
      </c>
      <c r="H1559" s="3" t="s">
        <v>523</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3" t="s">
        <v>4593</v>
      </c>
      <c r="AD1559" s="3"/>
    </row>
    <row r="1560" spans="1:30" ht="49.5" customHeight="1">
      <c r="A1560" s="19" t="s">
        <v>4597</v>
      </c>
      <c r="B1560" s="19" t="s">
        <v>4606</v>
      </c>
      <c r="C1560" s="4" t="s">
        <v>2656</v>
      </c>
      <c r="D1560" s="4" t="s">
        <v>1242</v>
      </c>
      <c r="E1560" s="4" t="s">
        <v>137</v>
      </c>
      <c r="F1560" s="4" t="s">
        <v>2662</v>
      </c>
      <c r="G1560" s="4" t="s">
        <v>2662</v>
      </c>
      <c r="H1560" s="4" t="s">
        <v>523</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4">
        <v>7.4</v>
      </c>
      <c r="Z1560" s="3" t="s">
        <v>425</v>
      </c>
      <c r="AA1560" s="3" t="s">
        <v>68</v>
      </c>
      <c r="AB1560" s="3" t="s">
        <v>64</v>
      </c>
      <c r="AC1560" s="4" t="s">
        <v>4607</v>
      </c>
      <c r="AD1560" s="4" t="s">
        <v>4610</v>
      </c>
    </row>
    <row r="1561" spans="1:30" ht="56.5" customHeight="1">
      <c r="A1561" s="19" t="s">
        <v>4597</v>
      </c>
      <c r="B1561" s="19" t="s">
        <v>4608</v>
      </c>
      <c r="C1561" s="3" t="s">
        <v>24</v>
      </c>
      <c r="D1561" s="3" t="s">
        <v>1105</v>
      </c>
      <c r="E1561" s="4" t="s">
        <v>137</v>
      </c>
      <c r="F1561" s="4" t="s">
        <v>2662</v>
      </c>
      <c r="G1561" s="4" t="s">
        <v>2662</v>
      </c>
      <c r="H1561" s="4" t="s">
        <v>524</v>
      </c>
      <c r="I1561" s="3"/>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3"/>
    </row>
    <row r="1562" spans="1:30" ht="38" customHeight="1">
      <c r="A1562" s="11" t="s">
        <v>4601</v>
      </c>
      <c r="B1562" s="3" t="s">
        <v>4611</v>
      </c>
      <c r="C1562" s="3" t="s">
        <v>24</v>
      </c>
      <c r="D1562" s="3" t="s">
        <v>144</v>
      </c>
      <c r="E1562" s="4" t="s">
        <v>137</v>
      </c>
      <c r="F1562" s="4" t="s">
        <v>2662</v>
      </c>
      <c r="G1562" s="4" t="s">
        <v>2662</v>
      </c>
      <c r="H1562" s="4" t="s">
        <v>523</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3" t="s">
        <v>4593</v>
      </c>
      <c r="AD1562" s="3"/>
    </row>
    <row r="1563" spans="1:30" ht="32.5" customHeight="1">
      <c r="A1563" s="11" t="s">
        <v>4602</v>
      </c>
      <c r="B1563" s="3" t="s">
        <v>4612</v>
      </c>
      <c r="C1563" s="3" t="s">
        <v>24</v>
      </c>
      <c r="D1563" s="3" t="s">
        <v>144</v>
      </c>
      <c r="E1563" s="4" t="s">
        <v>137</v>
      </c>
      <c r="F1563" s="4" t="s">
        <v>2662</v>
      </c>
      <c r="G1563" s="4" t="s">
        <v>2662</v>
      </c>
      <c r="H1563" s="4" t="s">
        <v>523</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3" t="s">
        <v>4593</v>
      </c>
      <c r="AD1563" s="3"/>
    </row>
    <row r="1564" spans="1:30" ht="68" customHeight="1">
      <c r="A1564" s="11" t="s">
        <v>4603</v>
      </c>
      <c r="B1564" s="3" t="s">
        <v>4613</v>
      </c>
      <c r="C1564" s="3" t="s">
        <v>24</v>
      </c>
      <c r="D1564" s="3" t="s">
        <v>144</v>
      </c>
      <c r="E1564" s="4" t="s">
        <v>137</v>
      </c>
      <c r="F1564" s="4" t="s">
        <v>2662</v>
      </c>
      <c r="G1564" s="4" t="s">
        <v>2662</v>
      </c>
      <c r="H1564" s="4" t="s">
        <v>523</v>
      </c>
      <c r="I1564" s="3"/>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3" t="s">
        <v>38</v>
      </c>
      <c r="AA1564" s="3" t="s">
        <v>35</v>
      </c>
      <c r="AB1564" s="3" t="s">
        <v>64</v>
      </c>
      <c r="AC1564" s="3" t="s">
        <v>4593</v>
      </c>
      <c r="AD1564" s="4" t="s">
        <v>4614</v>
      </c>
    </row>
    <row r="1565" spans="1:30" ht="66.5" customHeight="1">
      <c r="A1565" s="3" t="s">
        <v>4620</v>
      </c>
      <c r="B1565" s="11" t="s">
        <v>4629</v>
      </c>
      <c r="C1565" s="3" t="s">
        <v>24</v>
      </c>
      <c r="D1565" s="3" t="s">
        <v>2804</v>
      </c>
      <c r="E1565" s="3" t="s">
        <v>2647</v>
      </c>
      <c r="F1565" s="4" t="s">
        <v>2662</v>
      </c>
      <c r="G1565" s="3" t="s">
        <v>2276</v>
      </c>
      <c r="H1565" s="4" t="s">
        <v>524</v>
      </c>
      <c r="I1565" s="3"/>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3"/>
    </row>
    <row r="1566" spans="1:30" ht="66.5" customHeight="1">
      <c r="A1566" s="3" t="s">
        <v>4620</v>
      </c>
      <c r="B1566" s="11" t="s">
        <v>4632</v>
      </c>
      <c r="C1566" s="3" t="s">
        <v>24</v>
      </c>
      <c r="D1566" s="3" t="s">
        <v>25</v>
      </c>
      <c r="E1566" s="3" t="s">
        <v>2647</v>
      </c>
      <c r="F1566" s="4" t="s">
        <v>2662</v>
      </c>
      <c r="G1566" s="3" t="s">
        <v>2276</v>
      </c>
      <c r="H1566" s="4" t="s">
        <v>524</v>
      </c>
      <c r="I1566" s="3"/>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3"/>
    </row>
    <row r="1567" spans="1:30" ht="71" customHeight="1">
      <c r="A1567" s="3" t="s">
        <v>4620</v>
      </c>
      <c r="B1567" s="11" t="s">
        <v>4637</v>
      </c>
      <c r="C1567" s="3" t="s">
        <v>24</v>
      </c>
      <c r="D1567" s="3" t="s">
        <v>2804</v>
      </c>
      <c r="E1567" s="3" t="s">
        <v>5005</v>
      </c>
      <c r="F1567" s="4" t="s">
        <v>2662</v>
      </c>
      <c r="G1567" s="3" t="s">
        <v>2276</v>
      </c>
      <c r="H1567" s="4" t="s">
        <v>524</v>
      </c>
      <c r="I1567" s="3"/>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3"/>
    </row>
    <row r="1568" spans="1:30" ht="63.5" customHeight="1">
      <c r="A1568" s="3" t="s">
        <v>4643</v>
      </c>
      <c r="B1568" s="11" t="s">
        <v>4650</v>
      </c>
      <c r="C1568" s="3" t="s">
        <v>24</v>
      </c>
      <c r="D1568" s="3" t="s">
        <v>1242</v>
      </c>
      <c r="E1568" s="3" t="s">
        <v>2649</v>
      </c>
      <c r="F1568" s="4" t="s">
        <v>74</v>
      </c>
      <c r="G1568" s="3"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3"/>
    </row>
    <row r="1569" spans="1:30" ht="51" customHeight="1">
      <c r="A1569" s="11" t="s">
        <v>4643</v>
      </c>
      <c r="B1569" s="11" t="s">
        <v>4652</v>
      </c>
      <c r="C1569" s="3" t="s">
        <v>24</v>
      </c>
      <c r="D1569" s="3" t="s">
        <v>2994</v>
      </c>
      <c r="E1569" s="3" t="s">
        <v>5005</v>
      </c>
      <c r="F1569" s="4" t="s">
        <v>2276</v>
      </c>
      <c r="G1569" s="3" t="s">
        <v>2276</v>
      </c>
      <c r="H1569" s="3"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3"/>
    </row>
    <row r="1570" spans="1:30" ht="68" customHeight="1">
      <c r="A1570" s="3" t="s">
        <v>4644</v>
      </c>
      <c r="B1570" s="11" t="s">
        <v>4653</v>
      </c>
      <c r="C1570" s="3" t="s">
        <v>24</v>
      </c>
      <c r="D1570" s="3" t="s">
        <v>1242</v>
      </c>
      <c r="E1570" s="3" t="s">
        <v>2649</v>
      </c>
      <c r="F1570" s="4" t="s">
        <v>74</v>
      </c>
      <c r="G1570" s="3"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3"/>
    </row>
    <row r="1571" spans="1:30" ht="42.5" customHeight="1">
      <c r="A1571" s="3" t="s">
        <v>4661</v>
      </c>
      <c r="B1571" s="3" t="s">
        <v>4664</v>
      </c>
      <c r="C1571" s="3" t="s">
        <v>24</v>
      </c>
      <c r="D1571" s="3" t="s">
        <v>25</v>
      </c>
      <c r="E1571" s="3" t="s">
        <v>5005</v>
      </c>
      <c r="F1571" s="4" t="s">
        <v>2662</v>
      </c>
      <c r="G1571" s="3" t="s">
        <v>2276</v>
      </c>
      <c r="H1571" s="3" t="s">
        <v>523</v>
      </c>
      <c r="I1571" s="3">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3" t="s">
        <v>2276</v>
      </c>
      <c r="AC1571" s="3" t="s">
        <v>4666</v>
      </c>
      <c r="AD1571" s="3"/>
    </row>
    <row r="1572" spans="1:30" ht="56" customHeight="1">
      <c r="A1572" s="11" t="s">
        <v>4661</v>
      </c>
      <c r="B1572" s="11" t="s">
        <v>4665</v>
      </c>
      <c r="C1572" s="3" t="s">
        <v>24</v>
      </c>
      <c r="D1572" s="3" t="s">
        <v>2804</v>
      </c>
      <c r="E1572" s="3" t="s">
        <v>5005</v>
      </c>
      <c r="F1572" s="4" t="s">
        <v>2662</v>
      </c>
      <c r="G1572" s="3" t="s">
        <v>2276</v>
      </c>
      <c r="H1572" s="4" t="s">
        <v>524</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3"/>
    </row>
    <row r="1573" spans="1:30" ht="42.5" customHeight="1">
      <c r="A1573" s="11" t="s">
        <v>4661</v>
      </c>
      <c r="B1573" s="11" t="s">
        <v>4668</v>
      </c>
      <c r="C1573" s="3" t="s">
        <v>24</v>
      </c>
      <c r="D1573" s="3" t="s">
        <v>26</v>
      </c>
      <c r="E1573" s="3" t="s">
        <v>5005</v>
      </c>
      <c r="F1573" s="4" t="s">
        <v>2662</v>
      </c>
      <c r="G1573" s="3" t="s">
        <v>2276</v>
      </c>
      <c r="H1573" s="3" t="s">
        <v>523</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3" t="s">
        <v>4669</v>
      </c>
      <c r="AD1573" s="3"/>
    </row>
    <row r="1574" spans="1:30" ht="39" customHeight="1">
      <c r="A1574" s="11" t="s">
        <v>4671</v>
      </c>
      <c r="B1574" s="11" t="s">
        <v>4684</v>
      </c>
      <c r="C1574" s="3" t="s">
        <v>24</v>
      </c>
      <c r="D1574" s="3" t="s">
        <v>27</v>
      </c>
      <c r="E1574" s="3" t="s">
        <v>84</v>
      </c>
      <c r="F1574" s="4" t="s">
        <v>28</v>
      </c>
      <c r="G1574" s="3" t="s">
        <v>2276</v>
      </c>
      <c r="H1574" s="4" t="s">
        <v>524</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3"/>
    </row>
    <row r="1575" spans="1:30" ht="37.5" customHeight="1">
      <c r="A1575" s="11" t="s">
        <v>4672</v>
      </c>
      <c r="B1575" s="11" t="s">
        <v>4685</v>
      </c>
      <c r="C1575" s="3" t="s">
        <v>24</v>
      </c>
      <c r="D1575" s="3" t="s">
        <v>27</v>
      </c>
      <c r="E1575" s="3" t="s">
        <v>84</v>
      </c>
      <c r="F1575" s="4" t="s">
        <v>28</v>
      </c>
      <c r="G1575" s="3" t="s">
        <v>2276</v>
      </c>
      <c r="H1575" s="4" t="s">
        <v>524</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3"/>
    </row>
    <row r="1576" spans="1:30" ht="37.5" customHeight="1">
      <c r="A1576" s="11" t="s">
        <v>4673</v>
      </c>
      <c r="B1576" s="11" t="s">
        <v>4686</v>
      </c>
      <c r="C1576" s="3" t="s">
        <v>24</v>
      </c>
      <c r="D1576" s="3" t="s">
        <v>27</v>
      </c>
      <c r="E1576" s="3" t="s">
        <v>84</v>
      </c>
      <c r="F1576" s="4" t="s">
        <v>28</v>
      </c>
      <c r="G1576" s="3" t="s">
        <v>2276</v>
      </c>
      <c r="H1576" s="4" t="s">
        <v>524</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3"/>
    </row>
    <row r="1577" spans="1:30" ht="36.5" customHeight="1">
      <c r="A1577" s="11" t="s">
        <v>4674</v>
      </c>
      <c r="B1577" s="11" t="s">
        <v>4687</v>
      </c>
      <c r="C1577" s="3" t="s">
        <v>24</v>
      </c>
      <c r="D1577" s="3" t="s">
        <v>27</v>
      </c>
      <c r="E1577" s="3" t="s">
        <v>84</v>
      </c>
      <c r="F1577" s="4" t="s">
        <v>28</v>
      </c>
      <c r="G1577" s="3" t="s">
        <v>2276</v>
      </c>
      <c r="H1577" s="4" t="s">
        <v>524</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3"/>
    </row>
    <row r="1578" spans="1:30" ht="49" customHeight="1">
      <c r="A1578" s="11" t="s">
        <v>4671</v>
      </c>
      <c r="B1578" s="11" t="s">
        <v>4689</v>
      </c>
      <c r="C1578" s="3" t="s">
        <v>24</v>
      </c>
      <c r="D1578" s="3" t="s">
        <v>27</v>
      </c>
      <c r="E1578" s="4" t="s">
        <v>3854</v>
      </c>
      <c r="F1578" s="4" t="s">
        <v>28</v>
      </c>
      <c r="G1578" s="3" t="s">
        <v>2276</v>
      </c>
      <c r="H1578" s="4" t="s">
        <v>524</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3"/>
    </row>
    <row r="1579" spans="1:30" ht="49" customHeight="1">
      <c r="A1579" s="11" t="s">
        <v>4672</v>
      </c>
      <c r="B1579" s="11" t="s">
        <v>4690</v>
      </c>
      <c r="C1579" s="3" t="s">
        <v>24</v>
      </c>
      <c r="D1579" s="3" t="s">
        <v>27</v>
      </c>
      <c r="E1579" s="4" t="s">
        <v>3854</v>
      </c>
      <c r="F1579" s="4" t="s">
        <v>28</v>
      </c>
      <c r="G1579" s="3" t="s">
        <v>2276</v>
      </c>
      <c r="H1579" s="4" t="s">
        <v>524</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3"/>
    </row>
    <row r="1580" spans="1:30" ht="49" customHeight="1">
      <c r="A1580" s="11" t="s">
        <v>4673</v>
      </c>
      <c r="B1580" s="11" t="s">
        <v>4691</v>
      </c>
      <c r="C1580" s="3" t="s">
        <v>24</v>
      </c>
      <c r="D1580" s="3" t="s">
        <v>27</v>
      </c>
      <c r="E1580" s="4" t="s">
        <v>3854</v>
      </c>
      <c r="F1580" s="4" t="s">
        <v>28</v>
      </c>
      <c r="G1580" s="3" t="s">
        <v>2276</v>
      </c>
      <c r="H1580" s="4" t="s">
        <v>524</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3"/>
    </row>
    <row r="1581" spans="1:30" ht="49" customHeight="1">
      <c r="A1581" s="11" t="s">
        <v>4674</v>
      </c>
      <c r="B1581" s="11" t="s">
        <v>4692</v>
      </c>
      <c r="C1581" s="3" t="s">
        <v>24</v>
      </c>
      <c r="D1581" s="3" t="s">
        <v>27</v>
      </c>
      <c r="E1581" s="4" t="s">
        <v>3854</v>
      </c>
      <c r="F1581" s="4" t="s">
        <v>28</v>
      </c>
      <c r="G1581" s="3" t="s">
        <v>2276</v>
      </c>
      <c r="H1581" s="4" t="s">
        <v>524</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3"/>
    </row>
    <row r="1582" spans="1:30" ht="38" customHeight="1">
      <c r="A1582" s="3" t="s">
        <v>4695</v>
      </c>
      <c r="B1582" s="3" t="s">
        <v>4702</v>
      </c>
      <c r="C1582" s="3" t="s">
        <v>24</v>
      </c>
      <c r="D1582" s="3" t="s">
        <v>1245</v>
      </c>
      <c r="E1582" s="3" t="s">
        <v>5005</v>
      </c>
      <c r="F1582" s="4" t="s">
        <v>2662</v>
      </c>
      <c r="G1582" s="3" t="s">
        <v>2276</v>
      </c>
      <c r="H1582" s="4" t="s">
        <v>524</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3"/>
    </row>
    <row r="1583" spans="1:30" ht="38" customHeight="1">
      <c r="A1583" s="3" t="s">
        <v>4696</v>
      </c>
      <c r="B1583" s="3" t="s">
        <v>4703</v>
      </c>
      <c r="C1583" s="3" t="s">
        <v>24</v>
      </c>
      <c r="D1583" s="3" t="s">
        <v>1245</v>
      </c>
      <c r="E1583" s="3" t="s">
        <v>5005</v>
      </c>
      <c r="F1583" s="4" t="s">
        <v>2662</v>
      </c>
      <c r="G1583" s="3" t="s">
        <v>2276</v>
      </c>
      <c r="H1583" s="4" t="s">
        <v>524</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3"/>
    </row>
    <row r="1584" spans="1:30" ht="38" customHeight="1">
      <c r="A1584" s="3" t="s">
        <v>4697</v>
      </c>
      <c r="B1584" s="3" t="s">
        <v>4704</v>
      </c>
      <c r="C1584" s="3" t="s">
        <v>24</v>
      </c>
      <c r="D1584" s="3" t="s">
        <v>1245</v>
      </c>
      <c r="E1584" s="3" t="s">
        <v>5005</v>
      </c>
      <c r="F1584" s="4" t="s">
        <v>2662</v>
      </c>
      <c r="G1584" s="3" t="s">
        <v>2276</v>
      </c>
      <c r="H1584" s="4" t="s">
        <v>524</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3"/>
    </row>
    <row r="1585" spans="1:30" ht="54.5" customHeight="1">
      <c r="A1585" s="3" t="s">
        <v>4695</v>
      </c>
      <c r="B1585" s="3" t="s">
        <v>4707</v>
      </c>
      <c r="C1585" s="3" t="s">
        <v>24</v>
      </c>
      <c r="D1585" s="3" t="s">
        <v>2231</v>
      </c>
      <c r="E1585" s="4" t="s">
        <v>397</v>
      </c>
      <c r="F1585" s="4" t="s">
        <v>2662</v>
      </c>
      <c r="G1585" s="3" t="s">
        <v>2276</v>
      </c>
      <c r="H1585" s="3" t="s">
        <v>523</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3"/>
    </row>
    <row r="1586" spans="1:30" ht="54.5" customHeight="1">
      <c r="A1586" s="3" t="s">
        <v>4696</v>
      </c>
      <c r="B1586" s="3" t="s">
        <v>4708</v>
      </c>
      <c r="C1586" s="3" t="s">
        <v>24</v>
      </c>
      <c r="D1586" s="3" t="s">
        <v>2231</v>
      </c>
      <c r="E1586" s="4" t="s">
        <v>397</v>
      </c>
      <c r="F1586" s="4" t="s">
        <v>2662</v>
      </c>
      <c r="G1586" s="3" t="s">
        <v>2276</v>
      </c>
      <c r="H1586" s="3" t="s">
        <v>523</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3"/>
    </row>
    <row r="1587" spans="1:30" ht="54.5" customHeight="1">
      <c r="A1587" s="3" t="s">
        <v>4697</v>
      </c>
      <c r="B1587" s="3" t="s">
        <v>4709</v>
      </c>
      <c r="C1587" s="3" t="s">
        <v>24</v>
      </c>
      <c r="D1587" s="3" t="s">
        <v>2231</v>
      </c>
      <c r="E1587" s="4" t="s">
        <v>397</v>
      </c>
      <c r="F1587" s="4" t="s">
        <v>2662</v>
      </c>
      <c r="G1587" s="3" t="s">
        <v>2276</v>
      </c>
      <c r="H1587" s="3" t="s">
        <v>523</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3"/>
    </row>
    <row r="1588" spans="1:30" ht="54.5" customHeight="1">
      <c r="A1588" s="3" t="s">
        <v>4695</v>
      </c>
      <c r="B1588" s="3" t="s">
        <v>4710</v>
      </c>
      <c r="C1588" s="3" t="s">
        <v>24</v>
      </c>
      <c r="D1588" s="3" t="s">
        <v>2346</v>
      </c>
      <c r="E1588" s="4" t="s">
        <v>397</v>
      </c>
      <c r="F1588" s="4" t="s">
        <v>29</v>
      </c>
      <c r="G1588" s="3" t="s">
        <v>2276</v>
      </c>
      <c r="H1588" s="3" t="s">
        <v>523</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3"/>
    </row>
    <row r="1589" spans="1:30" ht="54.5" customHeight="1">
      <c r="A1589" s="3" t="s">
        <v>4696</v>
      </c>
      <c r="B1589" s="3" t="s">
        <v>4711</v>
      </c>
      <c r="C1589" s="3" t="s">
        <v>24</v>
      </c>
      <c r="D1589" s="3" t="s">
        <v>2346</v>
      </c>
      <c r="E1589" s="4" t="s">
        <v>397</v>
      </c>
      <c r="F1589" s="4" t="s">
        <v>29</v>
      </c>
      <c r="G1589" s="3" t="s">
        <v>2276</v>
      </c>
      <c r="H1589" s="3" t="s">
        <v>523</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3"/>
    </row>
    <row r="1590" spans="1:30" ht="54.5" customHeight="1">
      <c r="A1590" s="3" t="s">
        <v>4697</v>
      </c>
      <c r="B1590" s="3" t="s">
        <v>4712</v>
      </c>
      <c r="C1590" s="3" t="s">
        <v>24</v>
      </c>
      <c r="D1590" s="3" t="s">
        <v>2346</v>
      </c>
      <c r="E1590" s="4" t="s">
        <v>397</v>
      </c>
      <c r="F1590" s="4" t="s">
        <v>29</v>
      </c>
      <c r="G1590" s="3" t="s">
        <v>2276</v>
      </c>
      <c r="H1590" s="3" t="s">
        <v>523</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3"/>
    </row>
    <row r="1591" spans="1:30" ht="57.5" customHeight="1">
      <c r="A1591" s="11" t="s">
        <v>4716</v>
      </c>
      <c r="B1591" s="11" t="s">
        <v>4724</v>
      </c>
      <c r="C1591" s="3" t="s">
        <v>24</v>
      </c>
      <c r="D1591" s="3" t="s">
        <v>2346</v>
      </c>
      <c r="E1591" s="3" t="s">
        <v>84</v>
      </c>
      <c r="F1591" s="4" t="s">
        <v>29</v>
      </c>
      <c r="G1591" s="3" t="s">
        <v>2276</v>
      </c>
      <c r="H1591" s="3" t="s">
        <v>523</v>
      </c>
      <c r="I1591" s="3"/>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3" t="s">
        <v>404</v>
      </c>
      <c r="AA1591" s="3" t="s">
        <v>68</v>
      </c>
      <c r="AB1591" s="3" t="s">
        <v>64</v>
      </c>
      <c r="AC1591" s="4" t="s">
        <v>4725</v>
      </c>
      <c r="AD1591" s="3"/>
    </row>
    <row r="1592" spans="1:30" ht="57.5" customHeight="1">
      <c r="A1592" s="11" t="s">
        <v>4716</v>
      </c>
      <c r="B1592" s="11" t="s">
        <v>4726</v>
      </c>
      <c r="C1592" s="3" t="s">
        <v>24</v>
      </c>
      <c r="D1592" s="3" t="s">
        <v>1105</v>
      </c>
      <c r="E1592" s="3" t="s">
        <v>2647</v>
      </c>
      <c r="F1592" s="4" t="s">
        <v>28</v>
      </c>
      <c r="G1592" s="3" t="s">
        <v>2276</v>
      </c>
      <c r="H1592" s="3" t="s">
        <v>524</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3"/>
    </row>
    <row r="1593" spans="1:30" ht="54.5" customHeight="1">
      <c r="A1593" s="11" t="s">
        <v>4716</v>
      </c>
      <c r="B1593" s="11" t="s">
        <v>4727</v>
      </c>
      <c r="C1593" s="3" t="s">
        <v>2656</v>
      </c>
      <c r="D1593" s="3" t="s">
        <v>2276</v>
      </c>
      <c r="E1593" s="3" t="s">
        <v>2276</v>
      </c>
      <c r="F1593" s="4" t="s">
        <v>2276</v>
      </c>
      <c r="G1593" s="4" t="s">
        <v>2662</v>
      </c>
      <c r="H1593" s="3" t="s">
        <v>523</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3"/>
      <c r="AD1593" s="3"/>
    </row>
    <row r="1594" spans="1:30" ht="54.5" customHeight="1">
      <c r="A1594" s="11" t="s">
        <v>4716</v>
      </c>
      <c r="B1594" s="11" t="s">
        <v>4728</v>
      </c>
      <c r="C1594" s="3" t="s">
        <v>2656</v>
      </c>
      <c r="D1594" s="3" t="s">
        <v>2276</v>
      </c>
      <c r="E1594" s="3" t="s">
        <v>2276</v>
      </c>
      <c r="F1594" s="4" t="s">
        <v>2276</v>
      </c>
      <c r="G1594" s="3" t="s">
        <v>28</v>
      </c>
      <c r="H1594" s="3" t="s">
        <v>524</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3"/>
    </row>
    <row r="1595" spans="1:30" ht="52.5" customHeight="1">
      <c r="A1595" s="11" t="s">
        <v>4716</v>
      </c>
      <c r="B1595" s="11" t="s">
        <v>4775</v>
      </c>
      <c r="C1595" s="3" t="s">
        <v>24</v>
      </c>
      <c r="D1595" s="3" t="s">
        <v>2804</v>
      </c>
      <c r="E1595" s="3" t="s">
        <v>5005</v>
      </c>
      <c r="F1595" s="4" t="s">
        <v>2662</v>
      </c>
      <c r="G1595" s="3" t="s">
        <v>2276</v>
      </c>
      <c r="H1595" s="3" t="s">
        <v>523</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3"/>
    </row>
    <row r="1596" spans="1:30" ht="54.5" customHeight="1">
      <c r="A1596" s="11" t="s">
        <v>4742</v>
      </c>
      <c r="B1596" s="11" t="s">
        <v>4749</v>
      </c>
      <c r="C1596" s="3" t="s">
        <v>2656</v>
      </c>
      <c r="D1596" s="3" t="s">
        <v>2276</v>
      </c>
      <c r="E1596" s="3" t="s">
        <v>2276</v>
      </c>
      <c r="F1596" s="4" t="s">
        <v>2276</v>
      </c>
      <c r="G1596" s="60" t="s">
        <v>2662</v>
      </c>
      <c r="H1596" s="3"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3"/>
    </row>
    <row r="1597" spans="1:30" ht="55.5" customHeight="1">
      <c r="A1597" s="35" t="s">
        <v>4742</v>
      </c>
      <c r="B1597" s="35" t="s">
        <v>4750</v>
      </c>
      <c r="C1597" s="38" t="s">
        <v>24</v>
      </c>
      <c r="D1597" s="38" t="s">
        <v>144</v>
      </c>
      <c r="E1597" s="3"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3" t="s">
        <v>24</v>
      </c>
      <c r="D1598" s="3" t="s">
        <v>2276</v>
      </c>
      <c r="E1598" s="3" t="s">
        <v>1105</v>
      </c>
      <c r="F1598" s="4" t="s">
        <v>2662</v>
      </c>
      <c r="G1598" s="168" t="s">
        <v>2276</v>
      </c>
      <c r="H1598" s="3"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3" t="s">
        <v>24</v>
      </c>
      <c r="D1599" s="3" t="s">
        <v>2276</v>
      </c>
      <c r="E1599" s="3" t="s">
        <v>5005</v>
      </c>
      <c r="F1599" s="4" t="s">
        <v>2662</v>
      </c>
      <c r="G1599" s="168" t="s">
        <v>2276</v>
      </c>
      <c r="H1599" s="3"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3" t="s">
        <v>24</v>
      </c>
      <c r="D1600" s="3" t="s">
        <v>2276</v>
      </c>
      <c r="E1600" s="3" t="s">
        <v>5005</v>
      </c>
      <c r="F1600" s="4" t="s">
        <v>2662</v>
      </c>
      <c r="G1600" s="168" t="s">
        <v>2276</v>
      </c>
      <c r="H1600" s="3" t="s">
        <v>523</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3" t="s">
        <v>38</v>
      </c>
      <c r="AA1600" s="3" t="s">
        <v>405</v>
      </c>
      <c r="AB1600" s="3" t="s">
        <v>76</v>
      </c>
      <c r="AC1600" s="4" t="s">
        <v>4762</v>
      </c>
      <c r="AD1600" s="168" t="s">
        <v>4753</v>
      </c>
    </row>
    <row r="1601" spans="1:30" s="122" customFormat="1" ht="43.5" customHeight="1">
      <c r="A1601" s="11" t="s">
        <v>4747</v>
      </c>
      <c r="B1601" s="11" t="s">
        <v>4757</v>
      </c>
      <c r="C1601" s="3" t="s">
        <v>24</v>
      </c>
      <c r="D1601" s="3" t="s">
        <v>2276</v>
      </c>
      <c r="E1601" s="3" t="s">
        <v>45</v>
      </c>
      <c r="F1601" s="4" t="s">
        <v>2662</v>
      </c>
      <c r="G1601" s="168" t="s">
        <v>2276</v>
      </c>
      <c r="H1601" s="3" t="s">
        <v>523</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3" t="s">
        <v>38</v>
      </c>
      <c r="AA1601" s="3" t="s">
        <v>405</v>
      </c>
      <c r="AB1601" s="3" t="s">
        <v>76</v>
      </c>
      <c r="AC1601" s="4" t="s">
        <v>4762</v>
      </c>
      <c r="AD1601" s="168" t="s">
        <v>4753</v>
      </c>
    </row>
    <row r="1602" spans="1:30" s="122" customFormat="1" ht="43.5" customHeight="1">
      <c r="A1602" s="11" t="s">
        <v>4747</v>
      </c>
      <c r="B1602" s="11" t="s">
        <v>4758</v>
      </c>
      <c r="C1602" s="3" t="s">
        <v>24</v>
      </c>
      <c r="D1602" s="3" t="s">
        <v>2276</v>
      </c>
      <c r="E1602" s="3" t="s">
        <v>130</v>
      </c>
      <c r="F1602" s="4" t="s">
        <v>2662</v>
      </c>
      <c r="G1602" s="168" t="s">
        <v>2276</v>
      </c>
      <c r="H1602" s="3" t="s">
        <v>523</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3" t="s">
        <v>38</v>
      </c>
      <c r="AA1602" s="3" t="s">
        <v>405</v>
      </c>
      <c r="AB1602" s="3" t="s">
        <v>76</v>
      </c>
      <c r="AC1602" s="4" t="s">
        <v>4762</v>
      </c>
      <c r="AD1602" s="168" t="s">
        <v>4753</v>
      </c>
    </row>
    <row r="1603" spans="1:30" s="122" customFormat="1" ht="43.5" customHeight="1">
      <c r="A1603" s="11" t="s">
        <v>4748</v>
      </c>
      <c r="B1603" s="11" t="s">
        <v>4755</v>
      </c>
      <c r="C1603" s="3" t="s">
        <v>24</v>
      </c>
      <c r="D1603" s="3" t="s">
        <v>25</v>
      </c>
      <c r="E1603" s="3" t="s">
        <v>45</v>
      </c>
      <c r="F1603" s="4" t="s">
        <v>2662</v>
      </c>
      <c r="G1603" s="168" t="s">
        <v>2276</v>
      </c>
      <c r="H1603" s="3" t="s">
        <v>524</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3"/>
      <c r="AD1603" s="3"/>
    </row>
    <row r="1604" spans="1:30" s="122" customFormat="1" ht="43.5" customHeight="1">
      <c r="A1604" s="11" t="s">
        <v>4748</v>
      </c>
      <c r="B1604" s="11" t="s">
        <v>4759</v>
      </c>
      <c r="C1604" s="3" t="s">
        <v>24</v>
      </c>
      <c r="D1604" s="3" t="s">
        <v>25</v>
      </c>
      <c r="E1604" s="3" t="s">
        <v>45</v>
      </c>
      <c r="F1604" s="4" t="s">
        <v>2662</v>
      </c>
      <c r="G1604" s="168" t="s">
        <v>2276</v>
      </c>
      <c r="H1604" s="3" t="s">
        <v>523</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3" t="s">
        <v>38</v>
      </c>
      <c r="AA1604" s="3" t="s">
        <v>405</v>
      </c>
      <c r="AB1604" s="3" t="s">
        <v>2276</v>
      </c>
      <c r="AC1604" s="3"/>
      <c r="AD1604" s="168" t="s">
        <v>4753</v>
      </c>
    </row>
    <row r="1605" spans="1:30" s="122" customFormat="1" ht="43.5" customHeight="1">
      <c r="A1605" s="11" t="s">
        <v>4748</v>
      </c>
      <c r="B1605" s="11" t="s">
        <v>4760</v>
      </c>
      <c r="C1605" s="3" t="s">
        <v>24</v>
      </c>
      <c r="D1605" s="3" t="s">
        <v>25</v>
      </c>
      <c r="E1605" s="3" t="s">
        <v>2647</v>
      </c>
      <c r="F1605" s="4" t="s">
        <v>2662</v>
      </c>
      <c r="G1605" s="168" t="s">
        <v>2276</v>
      </c>
      <c r="H1605" s="3" t="s">
        <v>524</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3"/>
      <c r="AD1605" s="3"/>
    </row>
    <row r="1606" spans="1:30" s="122" customFormat="1" ht="39" customHeight="1">
      <c r="A1606" s="11" t="s">
        <v>4748</v>
      </c>
      <c r="B1606" s="11" t="s">
        <v>4761</v>
      </c>
      <c r="C1606" s="3" t="s">
        <v>24</v>
      </c>
      <c r="D1606" s="3" t="s">
        <v>25</v>
      </c>
      <c r="E1606" s="3" t="s">
        <v>2647</v>
      </c>
      <c r="F1606" s="4" t="s">
        <v>2662</v>
      </c>
      <c r="G1606" s="4" t="s">
        <v>2276</v>
      </c>
      <c r="H1606" s="3" t="s">
        <v>523</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3" t="s">
        <v>38</v>
      </c>
      <c r="AA1606" s="3" t="s">
        <v>405</v>
      </c>
      <c r="AB1606" s="3" t="s">
        <v>2276</v>
      </c>
      <c r="AC1606" s="3"/>
      <c r="AD1606" s="4" t="s">
        <v>4753</v>
      </c>
    </row>
    <row r="1607" spans="1:30" ht="40" customHeight="1">
      <c r="A1607" s="11" t="s">
        <v>4773</v>
      </c>
      <c r="B1607" s="11" t="s">
        <v>4774</v>
      </c>
      <c r="C1607" s="3" t="s">
        <v>1105</v>
      </c>
      <c r="D1607" s="3" t="s">
        <v>1105</v>
      </c>
      <c r="E1607" s="3" t="s">
        <v>1105</v>
      </c>
      <c r="F1607" s="4" t="s">
        <v>2276</v>
      </c>
      <c r="G1607" s="4" t="s">
        <v>2662</v>
      </c>
      <c r="H1607" s="3" t="s">
        <v>523</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3"/>
      <c r="AD1607" s="3"/>
    </row>
    <row r="1608" spans="1:30" ht="67.5" customHeight="1">
      <c r="A1608" s="11" t="s">
        <v>4777</v>
      </c>
      <c r="B1608" s="11" t="s">
        <v>4783</v>
      </c>
      <c r="C1608" s="3" t="s">
        <v>24</v>
      </c>
      <c r="D1608" s="3" t="s">
        <v>2804</v>
      </c>
      <c r="E1608" s="3" t="s">
        <v>5005</v>
      </c>
      <c r="F1608" s="4" t="s">
        <v>2662</v>
      </c>
      <c r="G1608" s="4" t="s">
        <v>2662</v>
      </c>
      <c r="H1608" s="3" t="s">
        <v>524</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3"/>
    </row>
    <row r="1609" spans="1:30" ht="44.5" customHeight="1">
      <c r="A1609" s="11" t="s">
        <v>4781</v>
      </c>
      <c r="B1609" s="11" t="s">
        <v>4784</v>
      </c>
      <c r="C1609" s="3" t="s">
        <v>24</v>
      </c>
      <c r="D1609" s="3" t="s">
        <v>2804</v>
      </c>
      <c r="E1609" s="3" t="s">
        <v>5005</v>
      </c>
      <c r="F1609" s="4" t="s">
        <v>2662</v>
      </c>
      <c r="G1609" s="4" t="s">
        <v>2662</v>
      </c>
      <c r="H1609" s="3" t="s">
        <v>523</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3"/>
      <c r="AD1609" s="3"/>
    </row>
    <row r="1610" spans="1:30" ht="32.5" customHeight="1">
      <c r="A1610" s="11" t="s">
        <v>4791</v>
      </c>
      <c r="B1610" s="11" t="s">
        <v>4794</v>
      </c>
      <c r="C1610" s="3" t="s">
        <v>24</v>
      </c>
      <c r="D1610" s="3" t="s">
        <v>2804</v>
      </c>
      <c r="E1610" s="3" t="s">
        <v>5005</v>
      </c>
      <c r="F1610" s="4" t="s">
        <v>2662</v>
      </c>
      <c r="G1610" s="4" t="s">
        <v>2276</v>
      </c>
      <c r="H1610" s="3" t="s">
        <v>523</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3"/>
      <c r="AD1610" s="3"/>
    </row>
    <row r="1611" spans="1:30" ht="32.5" customHeight="1">
      <c r="A1611" s="11" t="s">
        <v>4793</v>
      </c>
      <c r="B1611" s="11" t="s">
        <v>4795</v>
      </c>
      <c r="C1611" s="3" t="s">
        <v>24</v>
      </c>
      <c r="D1611" s="3" t="s">
        <v>1105</v>
      </c>
      <c r="E1611" s="3" t="s">
        <v>130</v>
      </c>
      <c r="F1611" s="4" t="s">
        <v>2276</v>
      </c>
      <c r="G1611" s="4" t="s">
        <v>2276</v>
      </c>
      <c r="H1611" s="3" t="s">
        <v>523</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3"/>
      <c r="AD1611" s="3"/>
    </row>
    <row r="1612" spans="1:30" ht="54.5" customHeight="1">
      <c r="A1612" s="11" t="s">
        <v>4793</v>
      </c>
      <c r="B1612" s="11" t="s">
        <v>4796</v>
      </c>
      <c r="C1612" s="3" t="s">
        <v>24</v>
      </c>
      <c r="D1612" s="3" t="s">
        <v>2804</v>
      </c>
      <c r="E1612" s="3" t="s">
        <v>5005</v>
      </c>
      <c r="F1612" s="4" t="s">
        <v>74</v>
      </c>
      <c r="G1612" s="4" t="s">
        <v>2276</v>
      </c>
      <c r="H1612" s="3" t="s">
        <v>524</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3"/>
    </row>
    <row r="1613" spans="1:30" ht="46.5" customHeight="1">
      <c r="A1613" s="11" t="s">
        <v>4799</v>
      </c>
      <c r="B1613" s="11" t="s">
        <v>4813</v>
      </c>
      <c r="C1613" s="3" t="s">
        <v>24</v>
      </c>
      <c r="D1613" s="3" t="s">
        <v>2804</v>
      </c>
      <c r="E1613" s="3" t="s">
        <v>5005</v>
      </c>
      <c r="F1613" s="4" t="s">
        <v>74</v>
      </c>
      <c r="G1613" s="4" t="s">
        <v>2276</v>
      </c>
      <c r="H1613" s="3" t="s">
        <v>524</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3"/>
    </row>
    <row r="1614" spans="1:30" ht="46.5" customHeight="1">
      <c r="A1614" s="11" t="s">
        <v>4802</v>
      </c>
      <c r="B1614" s="11" t="s">
        <v>4814</v>
      </c>
      <c r="C1614" s="3" t="s">
        <v>24</v>
      </c>
      <c r="D1614" s="3" t="s">
        <v>2804</v>
      </c>
      <c r="E1614" s="3" t="s">
        <v>5005</v>
      </c>
      <c r="F1614" s="4" t="s">
        <v>74</v>
      </c>
      <c r="G1614" s="4" t="s">
        <v>2276</v>
      </c>
      <c r="H1614" s="3" t="s">
        <v>524</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3"/>
    </row>
    <row r="1615" spans="1:30" ht="46.5" customHeight="1">
      <c r="A1615" s="11" t="s">
        <v>4803</v>
      </c>
      <c r="B1615" s="11" t="s">
        <v>4815</v>
      </c>
      <c r="C1615" s="3" t="s">
        <v>24</v>
      </c>
      <c r="D1615" s="3" t="s">
        <v>2804</v>
      </c>
      <c r="E1615" s="3" t="s">
        <v>5005</v>
      </c>
      <c r="F1615" s="4" t="s">
        <v>74</v>
      </c>
      <c r="G1615" s="4" t="s">
        <v>2276</v>
      </c>
      <c r="H1615" s="3" t="s">
        <v>524</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3"/>
    </row>
    <row r="1616" spans="1:30" ht="46.5" customHeight="1">
      <c r="A1616" s="11" t="s">
        <v>4804</v>
      </c>
      <c r="B1616" s="11" t="s">
        <v>4816</v>
      </c>
      <c r="C1616" s="3" t="s">
        <v>24</v>
      </c>
      <c r="D1616" s="3" t="s">
        <v>2804</v>
      </c>
      <c r="E1616" s="3" t="s">
        <v>5005</v>
      </c>
      <c r="F1616" s="4" t="s">
        <v>74</v>
      </c>
      <c r="G1616" s="4" t="s">
        <v>2276</v>
      </c>
      <c r="H1616" s="3" t="s">
        <v>524</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3"/>
    </row>
    <row r="1617" spans="1:30" ht="46.5" customHeight="1">
      <c r="A1617" s="11" t="s">
        <v>4805</v>
      </c>
      <c r="B1617" s="11" t="s">
        <v>4817</v>
      </c>
      <c r="C1617" s="3" t="s">
        <v>24</v>
      </c>
      <c r="D1617" s="3" t="s">
        <v>2804</v>
      </c>
      <c r="E1617" s="3" t="s">
        <v>5005</v>
      </c>
      <c r="F1617" s="4" t="s">
        <v>74</v>
      </c>
      <c r="G1617" s="4" t="s">
        <v>2276</v>
      </c>
      <c r="H1617" s="3" t="s">
        <v>524</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3"/>
    </row>
    <row r="1618" spans="1:30" ht="46.5" customHeight="1">
      <c r="A1618" s="11" t="s">
        <v>4799</v>
      </c>
      <c r="B1618" s="11" t="s">
        <v>4818</v>
      </c>
      <c r="C1618" s="3" t="s">
        <v>24</v>
      </c>
      <c r="D1618" s="3" t="s">
        <v>2231</v>
      </c>
      <c r="E1618" s="3" t="s">
        <v>5005</v>
      </c>
      <c r="F1618" s="4" t="s">
        <v>74</v>
      </c>
      <c r="G1618" s="4" t="s">
        <v>2276</v>
      </c>
      <c r="H1618" s="3" t="s">
        <v>524</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3"/>
    </row>
    <row r="1619" spans="1:30" ht="46.5" customHeight="1">
      <c r="A1619" s="11" t="s">
        <v>4802</v>
      </c>
      <c r="B1619" s="11" t="s">
        <v>4819</v>
      </c>
      <c r="C1619" s="3" t="s">
        <v>24</v>
      </c>
      <c r="D1619" s="3" t="s">
        <v>2231</v>
      </c>
      <c r="E1619" s="3" t="s">
        <v>5005</v>
      </c>
      <c r="F1619" s="4" t="s">
        <v>74</v>
      </c>
      <c r="G1619" s="4" t="s">
        <v>2276</v>
      </c>
      <c r="H1619" s="3" t="s">
        <v>524</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3"/>
    </row>
    <row r="1620" spans="1:30" ht="46.5" customHeight="1">
      <c r="A1620" s="11" t="s">
        <v>4803</v>
      </c>
      <c r="B1620" s="11" t="s">
        <v>4820</v>
      </c>
      <c r="C1620" s="3" t="s">
        <v>24</v>
      </c>
      <c r="D1620" s="3" t="s">
        <v>2231</v>
      </c>
      <c r="E1620" s="3" t="s">
        <v>5005</v>
      </c>
      <c r="F1620" s="4" t="s">
        <v>74</v>
      </c>
      <c r="G1620" s="4" t="s">
        <v>2276</v>
      </c>
      <c r="H1620" s="3" t="s">
        <v>524</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3"/>
    </row>
    <row r="1621" spans="1:30" ht="46.5" customHeight="1">
      <c r="A1621" s="11" t="s">
        <v>4804</v>
      </c>
      <c r="B1621" s="11" t="s">
        <v>4821</v>
      </c>
      <c r="C1621" s="3" t="s">
        <v>24</v>
      </c>
      <c r="D1621" s="3" t="s">
        <v>2231</v>
      </c>
      <c r="E1621" s="3" t="s">
        <v>5005</v>
      </c>
      <c r="F1621" s="4" t="s">
        <v>74</v>
      </c>
      <c r="G1621" s="4" t="s">
        <v>2276</v>
      </c>
      <c r="H1621" s="3" t="s">
        <v>524</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3"/>
    </row>
    <row r="1622" spans="1:30" ht="46.5" customHeight="1">
      <c r="A1622" s="11" t="s">
        <v>4805</v>
      </c>
      <c r="B1622" s="11" t="s">
        <v>4822</v>
      </c>
      <c r="C1622" s="3" t="s">
        <v>24</v>
      </c>
      <c r="D1622" s="3" t="s">
        <v>2231</v>
      </c>
      <c r="E1622" s="3" t="s">
        <v>5005</v>
      </c>
      <c r="F1622" s="4" t="s">
        <v>74</v>
      </c>
      <c r="G1622" s="4" t="s">
        <v>2276</v>
      </c>
      <c r="H1622" s="3" t="s">
        <v>524</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3"/>
    </row>
    <row r="1623" spans="1:30" ht="38.5" customHeight="1">
      <c r="A1623" s="11" t="s">
        <v>4802</v>
      </c>
      <c r="B1623" s="11" t="s">
        <v>4824</v>
      </c>
      <c r="C1623" s="3" t="s">
        <v>31</v>
      </c>
      <c r="D1623" s="3" t="s">
        <v>30</v>
      </c>
      <c r="E1623" s="3" t="s">
        <v>2276</v>
      </c>
      <c r="F1623" s="4" t="s">
        <v>74</v>
      </c>
      <c r="G1623" s="4" t="s">
        <v>2276</v>
      </c>
      <c r="H1623" s="3" t="s">
        <v>523</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3" t="s">
        <v>4828</v>
      </c>
      <c r="AD1623" s="3"/>
    </row>
    <row r="1624" spans="1:30" ht="38.5" customHeight="1">
      <c r="A1624" s="11" t="s">
        <v>4803</v>
      </c>
      <c r="B1624" s="11" t="s">
        <v>4825</v>
      </c>
      <c r="C1624" s="3" t="s">
        <v>31</v>
      </c>
      <c r="D1624" s="3" t="s">
        <v>30</v>
      </c>
      <c r="E1624" s="3" t="s">
        <v>2276</v>
      </c>
      <c r="F1624" s="4" t="s">
        <v>74</v>
      </c>
      <c r="G1624" s="4" t="s">
        <v>2276</v>
      </c>
      <c r="H1624" s="3" t="s">
        <v>523</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3" t="s">
        <v>4828</v>
      </c>
      <c r="AD1624" s="3"/>
    </row>
    <row r="1625" spans="1:30" ht="38.5" customHeight="1">
      <c r="A1625" s="11" t="s">
        <v>4804</v>
      </c>
      <c r="B1625" s="11" t="s">
        <v>4826</v>
      </c>
      <c r="C1625" s="3" t="s">
        <v>31</v>
      </c>
      <c r="D1625" s="3" t="s">
        <v>30</v>
      </c>
      <c r="E1625" s="3" t="s">
        <v>2276</v>
      </c>
      <c r="F1625" s="4" t="s">
        <v>74</v>
      </c>
      <c r="G1625" s="4" t="s">
        <v>2276</v>
      </c>
      <c r="H1625" s="3" t="s">
        <v>523</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3" t="s">
        <v>4828</v>
      </c>
      <c r="AD1625" s="3"/>
    </row>
    <row r="1626" spans="1:30" ht="38.5" customHeight="1">
      <c r="A1626" s="11" t="s">
        <v>4805</v>
      </c>
      <c r="B1626" s="11" t="s">
        <v>4827</v>
      </c>
      <c r="C1626" s="3" t="s">
        <v>31</v>
      </c>
      <c r="D1626" s="3" t="s">
        <v>30</v>
      </c>
      <c r="E1626" s="3" t="s">
        <v>2276</v>
      </c>
      <c r="F1626" s="4" t="s">
        <v>74</v>
      </c>
      <c r="G1626" s="4" t="s">
        <v>2276</v>
      </c>
      <c r="H1626" s="3" t="s">
        <v>523</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3" t="s">
        <v>4828</v>
      </c>
      <c r="AD1626" s="3"/>
    </row>
    <row r="1627" spans="1:30" ht="40" customHeight="1">
      <c r="A1627" s="11" t="s">
        <v>4803</v>
      </c>
      <c r="B1627" s="11" t="s">
        <v>4829</v>
      </c>
      <c r="C1627" s="3" t="s">
        <v>24</v>
      </c>
      <c r="D1627" s="3" t="s">
        <v>1242</v>
      </c>
      <c r="E1627" s="3" t="s">
        <v>2649</v>
      </c>
      <c r="F1627" s="4" t="s">
        <v>74</v>
      </c>
      <c r="G1627" s="4" t="s">
        <v>2276</v>
      </c>
      <c r="H1627" s="3" t="s">
        <v>524</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3"/>
    </row>
    <row r="1628" spans="1:30" ht="40" customHeight="1">
      <c r="A1628" s="11" t="s">
        <v>4804</v>
      </c>
      <c r="B1628" s="11" t="s">
        <v>4830</v>
      </c>
      <c r="C1628" s="3" t="s">
        <v>24</v>
      </c>
      <c r="D1628" s="3" t="s">
        <v>1242</v>
      </c>
      <c r="E1628" s="3" t="s">
        <v>2649</v>
      </c>
      <c r="F1628" s="4" t="s">
        <v>74</v>
      </c>
      <c r="G1628" s="4" t="s">
        <v>2276</v>
      </c>
      <c r="H1628" s="3" t="s">
        <v>524</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3"/>
    </row>
    <row r="1629" spans="1:30" ht="40" customHeight="1">
      <c r="A1629" s="11" t="s">
        <v>4805</v>
      </c>
      <c r="B1629" s="11" t="s">
        <v>4831</v>
      </c>
      <c r="C1629" s="3" t="s">
        <v>24</v>
      </c>
      <c r="D1629" s="3" t="s">
        <v>1242</v>
      </c>
      <c r="E1629" s="3" t="s">
        <v>2649</v>
      </c>
      <c r="F1629" s="4" t="s">
        <v>74</v>
      </c>
      <c r="G1629" s="4" t="s">
        <v>2276</v>
      </c>
      <c r="H1629" s="3" t="s">
        <v>524</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3"/>
    </row>
    <row r="1630" spans="1:30" ht="40.5" customHeight="1">
      <c r="A1630" s="11" t="s">
        <v>4799</v>
      </c>
      <c r="B1630" s="11" t="s">
        <v>6101</v>
      </c>
      <c r="C1630" s="3" t="s">
        <v>1105</v>
      </c>
      <c r="D1630" s="3" t="s">
        <v>2276</v>
      </c>
      <c r="E1630" s="3" t="s">
        <v>2276</v>
      </c>
      <c r="F1630" s="4" t="s">
        <v>2276</v>
      </c>
      <c r="G1630" s="3" t="s">
        <v>74</v>
      </c>
      <c r="H1630" s="3" t="s">
        <v>523</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3" t="s">
        <v>2276</v>
      </c>
      <c r="E1631" s="3" t="s">
        <v>2276</v>
      </c>
      <c r="F1631" s="4" t="s">
        <v>2276</v>
      </c>
      <c r="G1631" s="3" t="s">
        <v>74</v>
      </c>
      <c r="H1631" s="3" t="s">
        <v>523</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3" t="s">
        <v>2276</v>
      </c>
      <c r="E1632" s="3" t="s">
        <v>2276</v>
      </c>
      <c r="F1632" s="4" t="s">
        <v>2276</v>
      </c>
      <c r="G1632" s="3" t="s">
        <v>74</v>
      </c>
      <c r="H1632" s="3" t="s">
        <v>523</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3"/>
      <c r="AD1632" s="3"/>
    </row>
    <row r="1633" spans="1:30" ht="40.5" customHeight="1">
      <c r="A1633" s="11" t="s">
        <v>4804</v>
      </c>
      <c r="B1633" s="11" t="s">
        <v>6104</v>
      </c>
      <c r="C1633" s="3" t="s">
        <v>1105</v>
      </c>
      <c r="D1633" s="3" t="s">
        <v>2276</v>
      </c>
      <c r="E1633" s="3" t="s">
        <v>2276</v>
      </c>
      <c r="F1633" s="4" t="s">
        <v>2276</v>
      </c>
      <c r="G1633" s="3" t="s">
        <v>74</v>
      </c>
      <c r="H1633" s="3" t="s">
        <v>523</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3"/>
      <c r="AD1633" s="3"/>
    </row>
    <row r="1634" spans="1:30" ht="40.5" customHeight="1">
      <c r="A1634" s="11" t="s">
        <v>4805</v>
      </c>
      <c r="B1634" s="11" t="s">
        <v>6105</v>
      </c>
      <c r="C1634" s="3" t="s">
        <v>1105</v>
      </c>
      <c r="D1634" s="3" t="s">
        <v>2276</v>
      </c>
      <c r="E1634" s="3" t="s">
        <v>2276</v>
      </c>
      <c r="F1634" s="4" t="s">
        <v>2276</v>
      </c>
      <c r="G1634" s="3" t="s">
        <v>74</v>
      </c>
      <c r="H1634" s="3" t="s">
        <v>523</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3"/>
      <c r="AD1634" s="3"/>
    </row>
    <row r="1635" spans="1:30" ht="45.5" customHeight="1">
      <c r="A1635" s="11" t="s">
        <v>4848</v>
      </c>
      <c r="B1635" s="11" t="s">
        <v>4899</v>
      </c>
      <c r="C1635" s="3" t="s">
        <v>24</v>
      </c>
      <c r="D1635" s="3" t="s">
        <v>2276</v>
      </c>
      <c r="E1635" s="3" t="s">
        <v>45</v>
      </c>
      <c r="F1635" s="4" t="s">
        <v>2276</v>
      </c>
      <c r="G1635" s="4" t="s">
        <v>2662</v>
      </c>
      <c r="H1635" s="3" t="s">
        <v>523</v>
      </c>
      <c r="I1635" s="3"/>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3"/>
      <c r="AD1635" s="3"/>
    </row>
    <row r="1636" spans="1:30" ht="45.5" customHeight="1">
      <c r="A1636" s="11" t="s">
        <v>4850</v>
      </c>
      <c r="B1636" s="11" t="s">
        <v>4900</v>
      </c>
      <c r="C1636" s="3" t="s">
        <v>24</v>
      </c>
      <c r="D1636" s="3" t="s">
        <v>2276</v>
      </c>
      <c r="E1636" s="3" t="s">
        <v>45</v>
      </c>
      <c r="F1636" s="4" t="s">
        <v>2276</v>
      </c>
      <c r="G1636" s="4" t="s">
        <v>2662</v>
      </c>
      <c r="H1636" s="3" t="s">
        <v>523</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3"/>
      <c r="AD1636" s="3"/>
    </row>
    <row r="1637" spans="1:30" ht="45.5" customHeight="1">
      <c r="A1637" s="11" t="s">
        <v>4851</v>
      </c>
      <c r="B1637" s="11" t="s">
        <v>4901</v>
      </c>
      <c r="C1637" s="3" t="s">
        <v>24</v>
      </c>
      <c r="D1637" s="3" t="s">
        <v>2276</v>
      </c>
      <c r="E1637" s="3" t="s">
        <v>45</v>
      </c>
      <c r="F1637" s="4" t="s">
        <v>2276</v>
      </c>
      <c r="G1637" s="4" t="s">
        <v>2662</v>
      </c>
      <c r="H1637" s="3" t="s">
        <v>523</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3"/>
      <c r="AD1637" s="3"/>
    </row>
    <row r="1638" spans="1:30" ht="45.5" customHeight="1">
      <c r="A1638" s="11" t="s">
        <v>4852</v>
      </c>
      <c r="B1638" s="11" t="s">
        <v>4902</v>
      </c>
      <c r="C1638" s="3" t="s">
        <v>24</v>
      </c>
      <c r="D1638" s="3" t="s">
        <v>2276</v>
      </c>
      <c r="E1638" s="3" t="s">
        <v>45</v>
      </c>
      <c r="F1638" s="4" t="s">
        <v>2276</v>
      </c>
      <c r="G1638" s="4" t="s">
        <v>2662</v>
      </c>
      <c r="H1638" s="3" t="s">
        <v>523</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3"/>
      <c r="AD1638" s="3"/>
    </row>
    <row r="1639" spans="1:30" ht="45.5" customHeight="1">
      <c r="A1639" s="11" t="s">
        <v>4853</v>
      </c>
      <c r="B1639" s="11" t="s">
        <v>4903</v>
      </c>
      <c r="C1639" s="3" t="s">
        <v>24</v>
      </c>
      <c r="D1639" s="3" t="s">
        <v>2276</v>
      </c>
      <c r="E1639" s="3" t="s">
        <v>45</v>
      </c>
      <c r="F1639" s="4" t="s">
        <v>2276</v>
      </c>
      <c r="G1639" s="4" t="s">
        <v>2662</v>
      </c>
      <c r="H1639" s="3" t="s">
        <v>523</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3"/>
      <c r="AD1639" s="3"/>
    </row>
    <row r="1640" spans="1:30" ht="45.5" customHeight="1">
      <c r="A1640" s="11" t="s">
        <v>4854</v>
      </c>
      <c r="B1640" s="11" t="s">
        <v>4904</v>
      </c>
      <c r="C1640" s="3" t="s">
        <v>24</v>
      </c>
      <c r="D1640" s="3" t="s">
        <v>2276</v>
      </c>
      <c r="E1640" s="3" t="s">
        <v>45</v>
      </c>
      <c r="F1640" s="4" t="s">
        <v>2276</v>
      </c>
      <c r="G1640" s="4" t="s">
        <v>2662</v>
      </c>
      <c r="H1640" s="3" t="s">
        <v>523</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3"/>
      <c r="AD1640" s="3"/>
    </row>
    <row r="1641" spans="1:30" ht="45.5" customHeight="1">
      <c r="A1641" s="11" t="s">
        <v>4855</v>
      </c>
      <c r="B1641" s="11" t="s">
        <v>4905</v>
      </c>
      <c r="C1641" s="3" t="s">
        <v>24</v>
      </c>
      <c r="D1641" s="3" t="s">
        <v>2276</v>
      </c>
      <c r="E1641" s="3" t="s">
        <v>45</v>
      </c>
      <c r="F1641" s="4" t="s">
        <v>2276</v>
      </c>
      <c r="G1641" s="4" t="s">
        <v>2662</v>
      </c>
      <c r="H1641" s="3" t="s">
        <v>523</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3"/>
      <c r="AD1641" s="3"/>
    </row>
    <row r="1642" spans="1:30" ht="45.5" customHeight="1">
      <c r="A1642" s="11" t="s">
        <v>4856</v>
      </c>
      <c r="B1642" s="11" t="s">
        <v>4906</v>
      </c>
      <c r="C1642" s="3" t="s">
        <v>24</v>
      </c>
      <c r="D1642" s="3" t="s">
        <v>2276</v>
      </c>
      <c r="E1642" s="3" t="s">
        <v>45</v>
      </c>
      <c r="F1642" s="4" t="s">
        <v>2276</v>
      </c>
      <c r="G1642" s="4" t="s">
        <v>2662</v>
      </c>
      <c r="H1642" s="3" t="s">
        <v>523</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3"/>
      <c r="AD1642" s="3"/>
    </row>
    <row r="1643" spans="1:30" ht="45.5" customHeight="1">
      <c r="A1643" s="11" t="s">
        <v>4857</v>
      </c>
      <c r="B1643" s="11" t="s">
        <v>4907</v>
      </c>
      <c r="C1643" s="3" t="s">
        <v>24</v>
      </c>
      <c r="D1643" s="3" t="s">
        <v>2276</v>
      </c>
      <c r="E1643" s="3" t="s">
        <v>45</v>
      </c>
      <c r="F1643" s="4" t="s">
        <v>2276</v>
      </c>
      <c r="G1643" s="4" t="s">
        <v>2662</v>
      </c>
      <c r="H1643" s="3" t="s">
        <v>523</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3"/>
      <c r="AD1643" s="3"/>
    </row>
    <row r="1644" spans="1:30" ht="45.5" customHeight="1">
      <c r="A1644" s="11" t="s">
        <v>4858</v>
      </c>
      <c r="B1644" s="11" t="s">
        <v>4908</v>
      </c>
      <c r="C1644" s="3" t="s">
        <v>24</v>
      </c>
      <c r="D1644" s="3" t="s">
        <v>2276</v>
      </c>
      <c r="E1644" s="3" t="s">
        <v>45</v>
      </c>
      <c r="F1644" s="4" t="s">
        <v>2276</v>
      </c>
      <c r="G1644" s="4" t="s">
        <v>2662</v>
      </c>
      <c r="H1644" s="3" t="s">
        <v>523</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3"/>
      <c r="AD1644" s="3"/>
    </row>
    <row r="1645" spans="1:30" ht="45.5" customHeight="1">
      <c r="A1645" s="11" t="s">
        <v>4859</v>
      </c>
      <c r="B1645" s="11" t="s">
        <v>4909</v>
      </c>
      <c r="C1645" s="3" t="s">
        <v>24</v>
      </c>
      <c r="D1645" s="3" t="s">
        <v>2276</v>
      </c>
      <c r="E1645" s="3" t="s">
        <v>45</v>
      </c>
      <c r="F1645" s="4" t="s">
        <v>2276</v>
      </c>
      <c r="G1645" s="4" t="s">
        <v>2662</v>
      </c>
      <c r="H1645" s="3" t="s">
        <v>523</v>
      </c>
      <c r="I1645" s="3"/>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3"/>
      <c r="AD1645" s="3"/>
    </row>
    <row r="1646" spans="1:30" ht="45.5" customHeight="1">
      <c r="A1646" s="11" t="s">
        <v>4860</v>
      </c>
      <c r="B1646" s="11" t="s">
        <v>4910</v>
      </c>
      <c r="C1646" s="3" t="s">
        <v>24</v>
      </c>
      <c r="D1646" s="3" t="s">
        <v>2276</v>
      </c>
      <c r="E1646" s="3" t="s">
        <v>45</v>
      </c>
      <c r="F1646" s="4" t="s">
        <v>2276</v>
      </c>
      <c r="G1646" s="4" t="s">
        <v>2662</v>
      </c>
      <c r="H1646" s="3" t="s">
        <v>523</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3"/>
      <c r="AD1646" s="3"/>
    </row>
    <row r="1647" spans="1:30" ht="45.5" customHeight="1">
      <c r="A1647" s="11" t="s">
        <v>4861</v>
      </c>
      <c r="B1647" s="11" t="s">
        <v>4911</v>
      </c>
      <c r="C1647" s="3" t="s">
        <v>24</v>
      </c>
      <c r="D1647" s="3" t="s">
        <v>2276</v>
      </c>
      <c r="E1647" s="3" t="s">
        <v>45</v>
      </c>
      <c r="F1647" s="4" t="s">
        <v>2276</v>
      </c>
      <c r="G1647" s="4" t="s">
        <v>2662</v>
      </c>
      <c r="H1647" s="3" t="s">
        <v>523</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3"/>
      <c r="AD1647" s="3"/>
    </row>
    <row r="1648" spans="1:30" ht="45.5" customHeight="1">
      <c r="A1648" s="11" t="s">
        <v>4862</v>
      </c>
      <c r="B1648" s="11" t="s">
        <v>4912</v>
      </c>
      <c r="C1648" s="3" t="s">
        <v>24</v>
      </c>
      <c r="D1648" s="3" t="s">
        <v>2276</v>
      </c>
      <c r="E1648" s="3" t="s">
        <v>45</v>
      </c>
      <c r="F1648" s="4" t="s">
        <v>2276</v>
      </c>
      <c r="G1648" s="4" t="s">
        <v>2662</v>
      </c>
      <c r="H1648" s="3" t="s">
        <v>523</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3"/>
      <c r="AD1648" s="3"/>
    </row>
    <row r="1649" spans="1:30" ht="45.5" customHeight="1">
      <c r="A1649" s="11" t="s">
        <v>4863</v>
      </c>
      <c r="B1649" s="11" t="s">
        <v>4913</v>
      </c>
      <c r="C1649" s="3" t="s">
        <v>24</v>
      </c>
      <c r="D1649" s="3" t="s">
        <v>2276</v>
      </c>
      <c r="E1649" s="3" t="s">
        <v>45</v>
      </c>
      <c r="F1649" s="4" t="s">
        <v>2276</v>
      </c>
      <c r="G1649" s="4" t="s">
        <v>2662</v>
      </c>
      <c r="H1649" s="3" t="s">
        <v>524</v>
      </c>
      <c r="I1649" s="3"/>
      <c r="J1649" s="1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3"/>
      <c r="AD1649" s="3"/>
    </row>
    <row r="1650" spans="1:30" ht="45.5" customHeight="1">
      <c r="A1650" s="11" t="s">
        <v>4864</v>
      </c>
      <c r="B1650" s="11" t="s">
        <v>4914</v>
      </c>
      <c r="C1650" s="3" t="s">
        <v>24</v>
      </c>
      <c r="D1650" s="3" t="s">
        <v>2276</v>
      </c>
      <c r="E1650" s="3" t="s">
        <v>45</v>
      </c>
      <c r="F1650" s="4" t="s">
        <v>2276</v>
      </c>
      <c r="G1650" s="4" t="s">
        <v>2662</v>
      </c>
      <c r="H1650" s="3" t="s">
        <v>523</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3"/>
      <c r="AD1650" s="3"/>
    </row>
    <row r="1651" spans="1:30" ht="45.5" customHeight="1">
      <c r="A1651" s="11" t="s">
        <v>4865</v>
      </c>
      <c r="B1651" s="11" t="s">
        <v>4915</v>
      </c>
      <c r="C1651" s="3" t="s">
        <v>24</v>
      </c>
      <c r="D1651" s="3" t="s">
        <v>2276</v>
      </c>
      <c r="E1651" s="3" t="s">
        <v>45</v>
      </c>
      <c r="F1651" s="4" t="s">
        <v>2276</v>
      </c>
      <c r="G1651" s="4" t="s">
        <v>2662</v>
      </c>
      <c r="H1651" s="3" t="s">
        <v>523</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3"/>
      <c r="AD1651" s="3"/>
    </row>
    <row r="1652" spans="1:30" ht="45.5" customHeight="1">
      <c r="A1652" s="11" t="s">
        <v>4866</v>
      </c>
      <c r="B1652" s="11" t="s">
        <v>4916</v>
      </c>
      <c r="C1652" s="3" t="s">
        <v>24</v>
      </c>
      <c r="D1652" s="3" t="s">
        <v>2276</v>
      </c>
      <c r="E1652" s="3" t="s">
        <v>45</v>
      </c>
      <c r="F1652" s="4" t="s">
        <v>2276</v>
      </c>
      <c r="G1652" s="4" t="s">
        <v>2662</v>
      </c>
      <c r="H1652" s="3" t="s">
        <v>523</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3"/>
      <c r="AD1652" s="3"/>
    </row>
    <row r="1653" spans="1:30" ht="45.5" customHeight="1">
      <c r="A1653" s="11" t="s">
        <v>4867</v>
      </c>
      <c r="B1653" s="11" t="s">
        <v>4917</v>
      </c>
      <c r="C1653" s="3" t="s">
        <v>24</v>
      </c>
      <c r="D1653" s="3" t="s">
        <v>2276</v>
      </c>
      <c r="E1653" s="3" t="s">
        <v>45</v>
      </c>
      <c r="F1653" s="4" t="s">
        <v>2276</v>
      </c>
      <c r="G1653" s="4" t="s">
        <v>2662</v>
      </c>
      <c r="H1653" s="3" t="s">
        <v>523</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3"/>
      <c r="AD1653" s="3"/>
    </row>
    <row r="1654" spans="1:30" ht="45.5" customHeight="1">
      <c r="A1654" s="11" t="s">
        <v>4868</v>
      </c>
      <c r="B1654" s="11" t="s">
        <v>4918</v>
      </c>
      <c r="C1654" s="3" t="s">
        <v>24</v>
      </c>
      <c r="D1654" s="3" t="s">
        <v>2276</v>
      </c>
      <c r="E1654" s="3" t="s">
        <v>45</v>
      </c>
      <c r="F1654" s="4" t="s">
        <v>2276</v>
      </c>
      <c r="G1654" s="4" t="s">
        <v>2662</v>
      </c>
      <c r="H1654" s="3" t="s">
        <v>523</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3"/>
      <c r="AD1654" s="3"/>
    </row>
    <row r="1655" spans="1:30" ht="45.5" customHeight="1">
      <c r="A1655" s="11" t="s">
        <v>4869</v>
      </c>
      <c r="B1655" s="11" t="s">
        <v>4919</v>
      </c>
      <c r="C1655" s="3" t="s">
        <v>24</v>
      </c>
      <c r="D1655" s="3" t="s">
        <v>2276</v>
      </c>
      <c r="E1655" s="3" t="s">
        <v>45</v>
      </c>
      <c r="F1655" s="4" t="s">
        <v>2276</v>
      </c>
      <c r="G1655" s="4" t="s">
        <v>2662</v>
      </c>
      <c r="H1655" s="3" t="s">
        <v>523</v>
      </c>
      <c r="I1655" s="3"/>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3"/>
      <c r="AD1655" s="3"/>
    </row>
    <row r="1656" spans="1:30" ht="45.5" customHeight="1">
      <c r="A1656" s="11" t="s">
        <v>4870</v>
      </c>
      <c r="B1656" s="11" t="s">
        <v>4920</v>
      </c>
      <c r="C1656" s="3" t="s">
        <v>24</v>
      </c>
      <c r="D1656" s="3" t="s">
        <v>2276</v>
      </c>
      <c r="E1656" s="3" t="s">
        <v>45</v>
      </c>
      <c r="F1656" s="4" t="s">
        <v>2276</v>
      </c>
      <c r="G1656" s="4" t="s">
        <v>2662</v>
      </c>
      <c r="H1656" s="3" t="s">
        <v>523</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3"/>
      <c r="AD1656" s="3"/>
    </row>
    <row r="1657" spans="1:30" ht="45.5" customHeight="1">
      <c r="A1657" s="11" t="s">
        <v>4871</v>
      </c>
      <c r="B1657" s="11" t="s">
        <v>4921</v>
      </c>
      <c r="C1657" s="3" t="s">
        <v>24</v>
      </c>
      <c r="D1657" s="3" t="s">
        <v>2276</v>
      </c>
      <c r="E1657" s="3" t="s">
        <v>45</v>
      </c>
      <c r="F1657" s="4" t="s">
        <v>2276</v>
      </c>
      <c r="G1657" s="4" t="s">
        <v>2662</v>
      </c>
      <c r="H1657" s="3" t="s">
        <v>523</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3"/>
      <c r="AD1657" s="3"/>
    </row>
    <row r="1658" spans="1:30" ht="45.5" customHeight="1">
      <c r="A1658" s="11" t="s">
        <v>4872</v>
      </c>
      <c r="B1658" s="11" t="s">
        <v>4922</v>
      </c>
      <c r="C1658" s="3" t="s">
        <v>24</v>
      </c>
      <c r="D1658" s="3" t="s">
        <v>2276</v>
      </c>
      <c r="E1658" s="3" t="s">
        <v>45</v>
      </c>
      <c r="F1658" s="4" t="s">
        <v>2276</v>
      </c>
      <c r="G1658" s="4" t="s">
        <v>2662</v>
      </c>
      <c r="H1658" s="3" t="s">
        <v>523</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3"/>
      <c r="AD1658" s="3"/>
    </row>
    <row r="1659" spans="1:30" ht="45.5" customHeight="1">
      <c r="A1659" s="11" t="s">
        <v>4873</v>
      </c>
      <c r="B1659" s="11" t="s">
        <v>4923</v>
      </c>
      <c r="C1659" s="3" t="s">
        <v>24</v>
      </c>
      <c r="D1659" s="3" t="s">
        <v>2276</v>
      </c>
      <c r="E1659" s="3" t="s">
        <v>45</v>
      </c>
      <c r="F1659" s="4" t="s">
        <v>2276</v>
      </c>
      <c r="G1659" s="4" t="s">
        <v>2662</v>
      </c>
      <c r="H1659" s="3" t="s">
        <v>523</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3"/>
      <c r="AD1659" s="3"/>
    </row>
    <row r="1660" spans="1:30" ht="35.5" customHeight="1">
      <c r="A1660" s="11" t="s">
        <v>4939</v>
      </c>
      <c r="B1660" s="11" t="s">
        <v>4944</v>
      </c>
      <c r="C1660" s="3" t="s">
        <v>1105</v>
      </c>
      <c r="D1660" s="3" t="s">
        <v>1105</v>
      </c>
      <c r="E1660" s="3" t="s">
        <v>1105</v>
      </c>
      <c r="F1660" s="4" t="s">
        <v>1105</v>
      </c>
      <c r="G1660" s="3" t="s">
        <v>1105</v>
      </c>
      <c r="H1660" s="3" t="s">
        <v>523</v>
      </c>
      <c r="I1660" s="3"/>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3" t="s">
        <v>34</v>
      </c>
      <c r="AA1660" s="3" t="s">
        <v>68</v>
      </c>
      <c r="AB1660" s="3" t="s">
        <v>2655</v>
      </c>
      <c r="AC1660" s="3"/>
      <c r="AD1660" s="3" t="s">
        <v>4948</v>
      </c>
    </row>
    <row r="1661" spans="1:30" ht="52" customHeight="1">
      <c r="A1661" s="11" t="s">
        <v>4939</v>
      </c>
      <c r="B1661" s="11" t="s">
        <v>4945</v>
      </c>
      <c r="C1661" s="3" t="s">
        <v>1105</v>
      </c>
      <c r="D1661" s="3" t="s">
        <v>2276</v>
      </c>
      <c r="E1661" s="4" t="s">
        <v>396</v>
      </c>
      <c r="F1661" s="4" t="s">
        <v>28</v>
      </c>
      <c r="G1661" s="3" t="s">
        <v>28</v>
      </c>
      <c r="H1661" s="3" t="s">
        <v>523</v>
      </c>
      <c r="I1661" s="3"/>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3" t="s">
        <v>34</v>
      </c>
      <c r="AA1661" s="3" t="s">
        <v>68</v>
      </c>
      <c r="AB1661" s="3" t="s">
        <v>2655</v>
      </c>
      <c r="AC1661" s="4" t="s">
        <v>4946</v>
      </c>
      <c r="AD1661" s="4" t="s">
        <v>4955</v>
      </c>
    </row>
    <row r="1662" spans="1:30" ht="52" customHeight="1">
      <c r="A1662" s="11" t="s">
        <v>4939</v>
      </c>
      <c r="B1662" s="11" t="s">
        <v>4947</v>
      </c>
      <c r="C1662" s="3" t="s">
        <v>24</v>
      </c>
      <c r="D1662" s="3" t="s">
        <v>2659</v>
      </c>
      <c r="E1662" s="4" t="s">
        <v>396</v>
      </c>
      <c r="F1662" s="4" t="s">
        <v>28</v>
      </c>
      <c r="G1662" s="3" t="s">
        <v>2276</v>
      </c>
      <c r="H1662" s="3" t="s">
        <v>523</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3" t="s">
        <v>34</v>
      </c>
      <c r="AA1662" s="3" t="s">
        <v>68</v>
      </c>
      <c r="AB1662" s="3" t="s">
        <v>2655</v>
      </c>
      <c r="AC1662" s="4" t="s">
        <v>4946</v>
      </c>
      <c r="AD1662" s="4" t="s">
        <v>4955</v>
      </c>
    </row>
    <row r="1663" spans="1:30" ht="62" customHeight="1">
      <c r="A1663" s="11" t="s">
        <v>4939</v>
      </c>
      <c r="B1663" s="11" t="s">
        <v>4949</v>
      </c>
      <c r="C1663" s="3" t="s">
        <v>1105</v>
      </c>
      <c r="D1663" s="3" t="s">
        <v>1105</v>
      </c>
      <c r="E1663" s="4" t="s">
        <v>2650</v>
      </c>
      <c r="F1663" s="4" t="s">
        <v>2276</v>
      </c>
      <c r="G1663" s="3" t="s">
        <v>28</v>
      </c>
      <c r="H1663" s="3" t="s">
        <v>523</v>
      </c>
      <c r="I1663" s="3"/>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3" t="s">
        <v>34</v>
      </c>
      <c r="AA1663" s="3" t="s">
        <v>68</v>
      </c>
      <c r="AB1663" s="3" t="s">
        <v>2655</v>
      </c>
      <c r="AC1663" s="4"/>
      <c r="AD1663" s="4" t="s">
        <v>4956</v>
      </c>
    </row>
    <row r="1664" spans="1:30" ht="52" customHeight="1">
      <c r="A1664" s="11" t="s">
        <v>4939</v>
      </c>
      <c r="B1664" s="11" t="s">
        <v>4950</v>
      </c>
      <c r="C1664" s="3" t="s">
        <v>1105</v>
      </c>
      <c r="D1664" s="3" t="s">
        <v>1105</v>
      </c>
      <c r="E1664" s="4" t="s">
        <v>45</v>
      </c>
      <c r="F1664" s="4" t="s">
        <v>2276</v>
      </c>
      <c r="G1664" s="3" t="s">
        <v>29</v>
      </c>
      <c r="H1664" s="3" t="s">
        <v>523</v>
      </c>
      <c r="I1664" s="3"/>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3" t="s">
        <v>34</v>
      </c>
      <c r="AA1664" s="3" t="s">
        <v>68</v>
      </c>
      <c r="AB1664" s="3" t="s">
        <v>2655</v>
      </c>
      <c r="AC1664" s="4"/>
      <c r="AD1664" s="4" t="s">
        <v>4955</v>
      </c>
    </row>
    <row r="1665" spans="1:30" ht="37" customHeight="1">
      <c r="A1665" s="11" t="s">
        <v>4939</v>
      </c>
      <c r="B1665" s="11" t="s">
        <v>4953</v>
      </c>
      <c r="C1665" s="3" t="s">
        <v>1105</v>
      </c>
      <c r="D1665" s="3" t="s">
        <v>1105</v>
      </c>
      <c r="E1665" s="3" t="s">
        <v>2276</v>
      </c>
      <c r="F1665" s="4" t="s">
        <v>2276</v>
      </c>
      <c r="G1665" s="3" t="s">
        <v>74</v>
      </c>
      <c r="H1665" s="3" t="s">
        <v>523</v>
      </c>
      <c r="I1665" s="3"/>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3" t="s">
        <v>34</v>
      </c>
      <c r="AA1665" s="3" t="s">
        <v>68</v>
      </c>
      <c r="AB1665" s="3" t="s">
        <v>2655</v>
      </c>
      <c r="AC1665" s="3"/>
      <c r="AD1665" s="4" t="s">
        <v>4952</v>
      </c>
    </row>
    <row r="1666" spans="1:30" ht="41" customHeight="1">
      <c r="A1666" s="11" t="s">
        <v>4939</v>
      </c>
      <c r="B1666" s="11" t="s">
        <v>4954</v>
      </c>
      <c r="C1666" s="3" t="s">
        <v>1105</v>
      </c>
      <c r="D1666" s="3" t="s">
        <v>1105</v>
      </c>
      <c r="E1666" s="3" t="s">
        <v>2276</v>
      </c>
      <c r="F1666" s="4" t="s">
        <v>2276</v>
      </c>
      <c r="G1666" s="3" t="s">
        <v>74</v>
      </c>
      <c r="H1666" s="3" t="s">
        <v>523</v>
      </c>
      <c r="I1666" s="3"/>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3" t="s">
        <v>34</v>
      </c>
      <c r="AA1666" s="3" t="s">
        <v>68</v>
      </c>
      <c r="AB1666" s="3" t="s">
        <v>2655</v>
      </c>
      <c r="AC1666" s="3"/>
      <c r="AD1666" s="4" t="s">
        <v>4952</v>
      </c>
    </row>
    <row r="1667" spans="1:30" ht="32.5" customHeight="1">
      <c r="A1667" s="11" t="s">
        <v>4960</v>
      </c>
      <c r="B1667" s="11" t="s">
        <v>4963</v>
      </c>
      <c r="C1667" s="3" t="s">
        <v>24</v>
      </c>
      <c r="D1667" s="3" t="s">
        <v>3476</v>
      </c>
      <c r="E1667" s="3" t="s">
        <v>863</v>
      </c>
      <c r="F1667" s="4" t="s">
        <v>74</v>
      </c>
      <c r="G1667" s="3" t="s">
        <v>2276</v>
      </c>
      <c r="H1667" s="3" t="s">
        <v>523</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3"/>
      <c r="AD1667" s="3"/>
    </row>
    <row r="1668" spans="1:30" ht="84.5" customHeight="1">
      <c r="A1668" s="11" t="s">
        <v>4964</v>
      </c>
      <c r="B1668" s="11" t="s">
        <v>4966</v>
      </c>
      <c r="C1668" s="3" t="s">
        <v>24</v>
      </c>
      <c r="D1668" s="3" t="s">
        <v>25</v>
      </c>
      <c r="E1668" s="3" t="s">
        <v>5005</v>
      </c>
      <c r="F1668" s="4" t="s">
        <v>2662</v>
      </c>
      <c r="G1668" s="3" t="s">
        <v>2276</v>
      </c>
      <c r="H1668" s="3" t="s">
        <v>524</v>
      </c>
      <c r="I1668" s="3"/>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3"/>
    </row>
    <row r="1669" spans="1:30" ht="47.5" customHeight="1">
      <c r="A1669" s="11" t="s">
        <v>4977</v>
      </c>
      <c r="B1669" s="11" t="s">
        <v>4983</v>
      </c>
      <c r="C1669" s="3" t="s">
        <v>24</v>
      </c>
      <c r="D1669" s="3" t="s">
        <v>25</v>
      </c>
      <c r="E1669" s="3" t="s">
        <v>5005</v>
      </c>
      <c r="F1669" s="4" t="s">
        <v>2662</v>
      </c>
      <c r="G1669" s="3" t="s">
        <v>2276</v>
      </c>
      <c r="H1669" s="3" t="s">
        <v>523</v>
      </c>
      <c r="I1669" s="3">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3"/>
      <c r="AD1669" s="3"/>
    </row>
    <row r="1670" spans="1:30" ht="47.5" customHeight="1">
      <c r="A1670" s="11" t="s">
        <v>4977</v>
      </c>
      <c r="B1670" s="11" t="s">
        <v>4984</v>
      </c>
      <c r="C1670" s="3" t="s">
        <v>24</v>
      </c>
      <c r="D1670" s="3" t="s">
        <v>26</v>
      </c>
      <c r="E1670" s="3" t="s">
        <v>5005</v>
      </c>
      <c r="F1670" s="4" t="s">
        <v>2662</v>
      </c>
      <c r="G1670" s="3" t="s">
        <v>2276</v>
      </c>
      <c r="H1670" s="3" t="s">
        <v>523</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3" t="s">
        <v>38</v>
      </c>
      <c r="AA1670" s="3" t="s">
        <v>68</v>
      </c>
      <c r="AB1670" s="4" t="s">
        <v>2276</v>
      </c>
      <c r="AC1670" s="3"/>
      <c r="AD1670" s="3"/>
    </row>
    <row r="1671" spans="1:30" ht="47.5" customHeight="1">
      <c r="A1671" s="11" t="s">
        <v>4977</v>
      </c>
      <c r="B1671" s="11" t="s">
        <v>4985</v>
      </c>
      <c r="C1671" s="3" t="s">
        <v>24</v>
      </c>
      <c r="D1671" s="3" t="s">
        <v>1245</v>
      </c>
      <c r="E1671" s="3" t="s">
        <v>116</v>
      </c>
      <c r="F1671" s="4" t="s">
        <v>2662</v>
      </c>
      <c r="G1671" s="3" t="s">
        <v>2276</v>
      </c>
      <c r="H1671" s="3" t="s">
        <v>523</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3"/>
      <c r="AD1671" s="3"/>
    </row>
    <row r="1672" spans="1:30" ht="47.5" customHeight="1">
      <c r="A1672" s="11" t="s">
        <v>4977</v>
      </c>
      <c r="B1672" s="11" t="s">
        <v>4986</v>
      </c>
      <c r="C1672" s="3" t="s">
        <v>24</v>
      </c>
      <c r="D1672" s="3" t="s">
        <v>25</v>
      </c>
      <c r="E1672" s="3" t="s">
        <v>5005</v>
      </c>
      <c r="F1672" s="4" t="s">
        <v>2662</v>
      </c>
      <c r="G1672" s="3" t="s">
        <v>2276</v>
      </c>
      <c r="H1672" s="3" t="s">
        <v>524</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3"/>
      <c r="AD1672" s="3"/>
    </row>
    <row r="1673" spans="1:30" ht="47.5" customHeight="1">
      <c r="A1673" s="11" t="s">
        <v>4977</v>
      </c>
      <c r="B1673" s="11" t="s">
        <v>4987</v>
      </c>
      <c r="C1673" s="3" t="s">
        <v>24</v>
      </c>
      <c r="D1673" s="3" t="s">
        <v>26</v>
      </c>
      <c r="E1673" s="3" t="s">
        <v>5005</v>
      </c>
      <c r="F1673" s="4" t="s">
        <v>2662</v>
      </c>
      <c r="G1673" s="3" t="s">
        <v>2276</v>
      </c>
      <c r="H1673" s="3" t="s">
        <v>524</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3"/>
      <c r="AD1673" s="3"/>
    </row>
    <row r="1674" spans="1:30" ht="47.5" customHeight="1">
      <c r="A1674" s="11" t="s">
        <v>4977</v>
      </c>
      <c r="B1674" s="11" t="s">
        <v>4988</v>
      </c>
      <c r="C1674" s="3" t="s">
        <v>24</v>
      </c>
      <c r="D1674" s="3" t="s">
        <v>1245</v>
      </c>
      <c r="E1674" s="3" t="s">
        <v>116</v>
      </c>
      <c r="F1674" s="4" t="s">
        <v>2662</v>
      </c>
      <c r="G1674" s="3" t="s">
        <v>2276</v>
      </c>
      <c r="H1674" s="3" t="s">
        <v>524</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3"/>
      <c r="AD1674" s="3"/>
    </row>
    <row r="1675" spans="1:30" ht="38" customHeight="1">
      <c r="A1675" s="11" t="s">
        <v>4977</v>
      </c>
      <c r="B1675" s="11" t="s">
        <v>4989</v>
      </c>
      <c r="C1675" s="3" t="s">
        <v>24</v>
      </c>
      <c r="D1675" s="3" t="s">
        <v>2276</v>
      </c>
      <c r="E1675" s="3" t="s">
        <v>5005</v>
      </c>
      <c r="F1675" s="4" t="s">
        <v>2662</v>
      </c>
      <c r="G1675" s="3" t="s">
        <v>2276</v>
      </c>
      <c r="H1675" s="3" t="s">
        <v>523</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3" t="s">
        <v>38</v>
      </c>
      <c r="AA1675" s="3" t="s">
        <v>68</v>
      </c>
      <c r="AB1675" s="4" t="s">
        <v>2276</v>
      </c>
      <c r="AC1675" s="4" t="s">
        <v>4991</v>
      </c>
      <c r="AD1675" s="3"/>
    </row>
    <row r="1676" spans="1:30" ht="37" customHeight="1">
      <c r="A1676" s="11" t="s">
        <v>4977</v>
      </c>
      <c r="B1676" s="11" t="s">
        <v>4990</v>
      </c>
      <c r="C1676" s="3" t="s">
        <v>24</v>
      </c>
      <c r="D1676" s="3" t="s">
        <v>2276</v>
      </c>
      <c r="E1676" s="3" t="s">
        <v>116</v>
      </c>
      <c r="F1676" s="4" t="s">
        <v>2662</v>
      </c>
      <c r="G1676" s="3" t="s">
        <v>2276</v>
      </c>
      <c r="H1676" s="3" t="s">
        <v>523</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3" t="s">
        <v>38</v>
      </c>
      <c r="AA1676" s="3" t="s">
        <v>68</v>
      </c>
      <c r="AB1676" s="4" t="s">
        <v>2276</v>
      </c>
      <c r="AC1676" s="4" t="s">
        <v>4991</v>
      </c>
      <c r="AD1676" s="3"/>
    </row>
    <row r="1677" spans="1:30" ht="46" customHeight="1">
      <c r="A1677" s="11" t="s">
        <v>4994</v>
      </c>
      <c r="B1677" s="11" t="s">
        <v>4998</v>
      </c>
      <c r="C1677" s="3" t="s">
        <v>24</v>
      </c>
      <c r="D1677" s="3" t="s">
        <v>25</v>
      </c>
      <c r="E1677" s="3" t="s">
        <v>5005</v>
      </c>
      <c r="F1677" s="4" t="s">
        <v>2662</v>
      </c>
      <c r="G1677" s="3" t="s">
        <v>2276</v>
      </c>
      <c r="H1677" s="3" t="s">
        <v>523</v>
      </c>
      <c r="I1677" s="3"/>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3"/>
      <c r="AD1677" s="3"/>
    </row>
    <row r="1678" spans="1:30" ht="46" customHeight="1">
      <c r="A1678" s="11" t="s">
        <v>4994</v>
      </c>
      <c r="B1678" s="11" t="s">
        <v>4999</v>
      </c>
      <c r="C1678" s="3" t="s">
        <v>24</v>
      </c>
      <c r="D1678" s="3" t="s">
        <v>1245</v>
      </c>
      <c r="E1678" s="3" t="s">
        <v>116</v>
      </c>
      <c r="F1678" s="4" t="s">
        <v>2662</v>
      </c>
      <c r="G1678" s="3" t="s">
        <v>2276</v>
      </c>
      <c r="H1678" s="3" t="s">
        <v>523</v>
      </c>
      <c r="I1678" s="3"/>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3"/>
      <c r="AD1678" s="3"/>
    </row>
    <row r="1679" spans="1:30" ht="46" customHeight="1">
      <c r="A1679" s="11" t="s">
        <v>4994</v>
      </c>
      <c r="B1679" s="11" t="s">
        <v>5000</v>
      </c>
      <c r="C1679" s="3" t="s">
        <v>24</v>
      </c>
      <c r="D1679" s="3" t="s">
        <v>1131</v>
      </c>
      <c r="E1679" s="3" t="s">
        <v>5005</v>
      </c>
      <c r="F1679" s="4" t="s">
        <v>2662</v>
      </c>
      <c r="G1679" s="3" t="s">
        <v>2276</v>
      </c>
      <c r="H1679" s="3" t="s">
        <v>523</v>
      </c>
      <c r="I1679" s="3"/>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3" t="s">
        <v>5002</v>
      </c>
      <c r="AD1679" s="3"/>
    </row>
    <row r="1680" spans="1:30" ht="46" customHeight="1">
      <c r="A1680" s="11" t="s">
        <v>4994</v>
      </c>
      <c r="B1680" s="11" t="s">
        <v>5001</v>
      </c>
      <c r="C1680" s="3" t="s">
        <v>24</v>
      </c>
      <c r="D1680" s="3" t="s">
        <v>1131</v>
      </c>
      <c r="E1680" s="3" t="s">
        <v>116</v>
      </c>
      <c r="F1680" s="4" t="s">
        <v>2662</v>
      </c>
      <c r="G1680" s="3" t="s">
        <v>2276</v>
      </c>
      <c r="H1680" s="3" t="s">
        <v>523</v>
      </c>
      <c r="I1680" s="3"/>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3" t="s">
        <v>5002</v>
      </c>
      <c r="AD1680" s="3"/>
    </row>
    <row r="1681" spans="1:30" ht="51" customHeight="1">
      <c r="A1681" s="11" t="s">
        <v>5088</v>
      </c>
      <c r="B1681" s="11" t="s">
        <v>5094</v>
      </c>
      <c r="C1681" s="3" t="s">
        <v>24</v>
      </c>
      <c r="D1681" s="3" t="s">
        <v>25</v>
      </c>
      <c r="E1681" s="3" t="s">
        <v>5005</v>
      </c>
      <c r="F1681" s="4" t="s">
        <v>74</v>
      </c>
      <c r="G1681" s="3" t="s">
        <v>2276</v>
      </c>
      <c r="H1681" s="3" t="s">
        <v>524</v>
      </c>
      <c r="I1681" s="3"/>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4" t="s">
        <v>2276</v>
      </c>
      <c r="Z1681" s="4" t="s">
        <v>2276</v>
      </c>
      <c r="AA1681" s="4" t="s">
        <v>2276</v>
      </c>
      <c r="AB1681" s="4" t="s">
        <v>2276</v>
      </c>
      <c r="AC1681" s="4" t="s">
        <v>5098</v>
      </c>
      <c r="AD1681" s="3"/>
    </row>
    <row r="1682" spans="1:30" ht="53.5" customHeight="1">
      <c r="A1682" s="11" t="s">
        <v>5088</v>
      </c>
      <c r="B1682" s="11" t="s">
        <v>5095</v>
      </c>
      <c r="C1682" s="3" t="s">
        <v>24</v>
      </c>
      <c r="D1682" s="3" t="s">
        <v>61</v>
      </c>
      <c r="E1682" s="3" t="s">
        <v>5005</v>
      </c>
      <c r="F1682" s="4" t="s">
        <v>74</v>
      </c>
      <c r="G1682" s="3" t="s">
        <v>2276</v>
      </c>
      <c r="H1682" s="3" t="s">
        <v>524</v>
      </c>
      <c r="I1682" s="3"/>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4" t="s">
        <v>2276</v>
      </c>
      <c r="Z1682" s="4" t="s">
        <v>2276</v>
      </c>
      <c r="AA1682" s="4" t="s">
        <v>2276</v>
      </c>
      <c r="AB1682" s="4" t="s">
        <v>2276</v>
      </c>
      <c r="AC1682" s="4" t="s">
        <v>5098</v>
      </c>
      <c r="AD1682" s="3"/>
    </row>
    <row r="1683" spans="1:30" ht="42" customHeight="1">
      <c r="A1683" s="11" t="s">
        <v>5088</v>
      </c>
      <c r="B1683" s="11" t="s">
        <v>5096</v>
      </c>
      <c r="C1683" s="3" t="s">
        <v>24</v>
      </c>
      <c r="D1683" s="3" t="s">
        <v>144</v>
      </c>
      <c r="E1683" s="3" t="s">
        <v>137</v>
      </c>
      <c r="F1683" s="4" t="s">
        <v>74</v>
      </c>
      <c r="G1683" s="3" t="s">
        <v>2276</v>
      </c>
      <c r="H1683" s="3" t="s">
        <v>523</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3"/>
    </row>
    <row r="1684" spans="1:30" ht="39" customHeight="1">
      <c r="A1684" s="3" t="s">
        <v>5100</v>
      </c>
      <c r="B1684" s="11" t="s">
        <v>5106</v>
      </c>
      <c r="C1684" s="3" t="s">
        <v>24</v>
      </c>
      <c r="D1684" s="3" t="s">
        <v>2804</v>
      </c>
      <c r="E1684" s="3" t="s">
        <v>5005</v>
      </c>
      <c r="F1684" s="4" t="s">
        <v>2662</v>
      </c>
      <c r="G1684" s="3" t="s">
        <v>2276</v>
      </c>
      <c r="H1684" s="3" t="s">
        <v>523</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3"/>
      <c r="AD1684" s="3"/>
    </row>
    <row r="1685" spans="1:30" ht="97" customHeight="1">
      <c r="A1685" s="3" t="s">
        <v>5109</v>
      </c>
      <c r="B1685" s="11" t="s">
        <v>5111</v>
      </c>
      <c r="C1685" s="3" t="s">
        <v>24</v>
      </c>
      <c r="D1685" s="3" t="s">
        <v>26</v>
      </c>
      <c r="E1685" s="3" t="s">
        <v>5005</v>
      </c>
      <c r="F1685" s="4" t="s">
        <v>2662</v>
      </c>
      <c r="G1685" s="3" t="s">
        <v>2276</v>
      </c>
      <c r="H1685" s="3" t="s">
        <v>523</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3"/>
    </row>
    <row r="1686" spans="1:30" ht="51" customHeight="1">
      <c r="A1686" s="3" t="s">
        <v>5109</v>
      </c>
      <c r="B1686" s="11" t="s">
        <v>5112</v>
      </c>
      <c r="C1686" s="3" t="s">
        <v>24</v>
      </c>
      <c r="D1686" s="3" t="s">
        <v>26</v>
      </c>
      <c r="E1686" s="3" t="s">
        <v>45</v>
      </c>
      <c r="F1686" s="4" t="s">
        <v>2662</v>
      </c>
      <c r="G1686" s="3" t="s">
        <v>2276</v>
      </c>
      <c r="H1686" s="3" t="s">
        <v>523</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3"/>
    </row>
    <row r="1687" spans="1:30" ht="32" customHeight="1">
      <c r="A1687" s="5" t="s">
        <v>5117</v>
      </c>
      <c r="B1687" s="11" t="s">
        <v>5121</v>
      </c>
      <c r="C1687" s="3" t="s">
        <v>24</v>
      </c>
      <c r="D1687" s="3" t="s">
        <v>2804</v>
      </c>
      <c r="E1687" s="3" t="s">
        <v>5005</v>
      </c>
      <c r="F1687" s="4" t="s">
        <v>2662</v>
      </c>
      <c r="G1687" s="3" t="s">
        <v>2276</v>
      </c>
      <c r="H1687" s="3" t="s">
        <v>523</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3"/>
      <c r="AD1687" s="3"/>
    </row>
    <row r="1688" spans="1:30" ht="33.5" customHeight="1">
      <c r="A1688" s="11" t="s">
        <v>5123</v>
      </c>
      <c r="B1688" s="3" t="s">
        <v>5140</v>
      </c>
      <c r="C1688" s="3" t="s">
        <v>24</v>
      </c>
      <c r="D1688" s="3" t="s">
        <v>1242</v>
      </c>
      <c r="E1688" s="3" t="s">
        <v>137</v>
      </c>
      <c r="F1688" s="4" t="s">
        <v>2662</v>
      </c>
      <c r="G1688" s="4" t="s">
        <v>2662</v>
      </c>
      <c r="H1688" s="3" t="s">
        <v>524</v>
      </c>
      <c r="I1688" s="3"/>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4" t="s">
        <v>2276</v>
      </c>
      <c r="Z1688" s="4" t="s">
        <v>2276</v>
      </c>
      <c r="AA1688" s="4" t="s">
        <v>2276</v>
      </c>
      <c r="AB1688" s="4" t="s">
        <v>2276</v>
      </c>
      <c r="AC1688" s="3"/>
      <c r="AD1688" s="3"/>
    </row>
    <row r="1689" spans="1:30" ht="33.5" customHeight="1">
      <c r="A1689" s="11" t="s">
        <v>5124</v>
      </c>
      <c r="B1689" s="3" t="s">
        <v>5141</v>
      </c>
      <c r="C1689" s="3" t="s">
        <v>24</v>
      </c>
      <c r="D1689" s="3" t="s">
        <v>1242</v>
      </c>
      <c r="E1689" s="3" t="s">
        <v>137</v>
      </c>
      <c r="F1689" s="4" t="s">
        <v>2662</v>
      </c>
      <c r="G1689" s="4" t="s">
        <v>2662</v>
      </c>
      <c r="H1689" s="3" t="s">
        <v>524</v>
      </c>
      <c r="I1689" s="3"/>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4" t="s">
        <v>2276</v>
      </c>
      <c r="Z1689" s="4" t="s">
        <v>2276</v>
      </c>
      <c r="AA1689" s="4" t="s">
        <v>2276</v>
      </c>
      <c r="AB1689" s="4" t="s">
        <v>2276</v>
      </c>
      <c r="AC1689" s="3"/>
      <c r="AD1689" s="3"/>
    </row>
    <row r="1690" spans="1:30" ht="33.5" customHeight="1">
      <c r="A1690" s="11" t="s">
        <v>5125</v>
      </c>
      <c r="B1690" s="3" t="s">
        <v>5142</v>
      </c>
      <c r="C1690" s="3" t="s">
        <v>24</v>
      </c>
      <c r="D1690" s="3" t="s">
        <v>1242</v>
      </c>
      <c r="E1690" s="3" t="s">
        <v>137</v>
      </c>
      <c r="F1690" s="4" t="s">
        <v>2662</v>
      </c>
      <c r="G1690" s="4" t="s">
        <v>2662</v>
      </c>
      <c r="H1690" s="3" t="s">
        <v>524</v>
      </c>
      <c r="I1690" s="3"/>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4" t="s">
        <v>2276</v>
      </c>
      <c r="Z1690" s="4" t="s">
        <v>2276</v>
      </c>
      <c r="AA1690" s="4" t="s">
        <v>2276</v>
      </c>
      <c r="AB1690" s="4" t="s">
        <v>2276</v>
      </c>
      <c r="AC1690" s="3"/>
      <c r="AD1690" s="3"/>
    </row>
    <row r="1691" spans="1:30" ht="33.5" customHeight="1">
      <c r="A1691" s="11" t="s">
        <v>5126</v>
      </c>
      <c r="B1691" s="3" t="s">
        <v>5143</v>
      </c>
      <c r="C1691" s="3" t="s">
        <v>24</v>
      </c>
      <c r="D1691" s="3" t="s">
        <v>1242</v>
      </c>
      <c r="E1691" s="3" t="s">
        <v>137</v>
      </c>
      <c r="F1691" s="4" t="s">
        <v>2662</v>
      </c>
      <c r="G1691" s="4" t="s">
        <v>2662</v>
      </c>
      <c r="H1691" s="3" t="s">
        <v>524</v>
      </c>
      <c r="I1691" s="3"/>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4" t="s">
        <v>2276</v>
      </c>
      <c r="Z1691" s="4" t="s">
        <v>2276</v>
      </c>
      <c r="AA1691" s="4" t="s">
        <v>2276</v>
      </c>
      <c r="AB1691" s="4" t="s">
        <v>2276</v>
      </c>
      <c r="AC1691" s="3"/>
      <c r="AD1691" s="3"/>
    </row>
    <row r="1692" spans="1:30" ht="33.5" customHeight="1">
      <c r="A1692" s="11" t="s">
        <v>5127</v>
      </c>
      <c r="B1692" s="3" t="s">
        <v>5144</v>
      </c>
      <c r="C1692" s="3" t="s">
        <v>24</v>
      </c>
      <c r="D1692" s="3" t="s">
        <v>1242</v>
      </c>
      <c r="E1692" s="3" t="s">
        <v>137</v>
      </c>
      <c r="F1692" s="4" t="s">
        <v>2662</v>
      </c>
      <c r="G1692" s="4" t="s">
        <v>2662</v>
      </c>
      <c r="H1692" s="3" t="s">
        <v>524</v>
      </c>
      <c r="I1692" s="3"/>
      <c r="J1692" s="3">
        <v>0</v>
      </c>
      <c r="K1692" s="3">
        <v>0</v>
      </c>
      <c r="L1692" s="3">
        <v>0</v>
      </c>
      <c r="M1692" s="3">
        <v>0</v>
      </c>
      <c r="N1692" s="3">
        <v>0</v>
      </c>
      <c r="O1692" s="3">
        <v>0</v>
      </c>
      <c r="P1692" s="3">
        <v>0</v>
      </c>
      <c r="Q1692" s="3">
        <v>0</v>
      </c>
      <c r="R1692" s="3">
        <v>0</v>
      </c>
      <c r="S1692" s="3">
        <v>0</v>
      </c>
      <c r="T1692" s="3">
        <v>0</v>
      </c>
      <c r="U1692" s="3">
        <v>0</v>
      </c>
      <c r="V1692" s="3">
        <v>0</v>
      </c>
      <c r="W1692" s="3">
        <v>0</v>
      </c>
      <c r="X1692" s="3">
        <v>0</v>
      </c>
      <c r="Y1692" s="4" t="s">
        <v>2276</v>
      </c>
      <c r="Z1692" s="4" t="s">
        <v>2276</v>
      </c>
      <c r="AA1692" s="4" t="s">
        <v>2276</v>
      </c>
      <c r="AB1692" s="4" t="s">
        <v>2276</v>
      </c>
      <c r="AC1692" s="3"/>
      <c r="AD1692" s="3"/>
    </row>
    <row r="1693" spans="1:30" ht="91" customHeight="1">
      <c r="A1693" s="11" t="s">
        <v>5128</v>
      </c>
      <c r="B1693" s="3" t="s">
        <v>5145</v>
      </c>
      <c r="C1693" s="3" t="s">
        <v>24</v>
      </c>
      <c r="D1693" s="3" t="s">
        <v>1242</v>
      </c>
      <c r="E1693" s="3" t="s">
        <v>137</v>
      </c>
      <c r="F1693" s="4" t="s">
        <v>2662</v>
      </c>
      <c r="G1693" s="4" t="s">
        <v>2662</v>
      </c>
      <c r="H1693" s="3" t="s">
        <v>523</v>
      </c>
      <c r="I1693" s="3"/>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3" t="s">
        <v>2655</v>
      </c>
      <c r="AC1693" s="3" t="s">
        <v>5165</v>
      </c>
      <c r="AD1693" s="4" t="s">
        <v>5184</v>
      </c>
    </row>
    <row r="1694" spans="1:30" ht="91" customHeight="1">
      <c r="A1694" s="11" t="s">
        <v>5129</v>
      </c>
      <c r="B1694" s="3" t="s">
        <v>5146</v>
      </c>
      <c r="C1694" s="3" t="s">
        <v>24</v>
      </c>
      <c r="D1694" s="3" t="s">
        <v>1242</v>
      </c>
      <c r="E1694" s="3" t="s">
        <v>137</v>
      </c>
      <c r="F1694" s="4" t="s">
        <v>2662</v>
      </c>
      <c r="G1694" s="4" t="s">
        <v>2662</v>
      </c>
      <c r="H1694" s="3" t="s">
        <v>523</v>
      </c>
      <c r="I1694" s="3"/>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3" t="s">
        <v>2655</v>
      </c>
      <c r="AC1694" s="3" t="s">
        <v>5165</v>
      </c>
      <c r="AD1694" s="4" t="s">
        <v>5184</v>
      </c>
    </row>
    <row r="1695" spans="1:30" ht="91" customHeight="1">
      <c r="A1695" s="11" t="s">
        <v>5130</v>
      </c>
      <c r="B1695" s="3" t="s">
        <v>5147</v>
      </c>
      <c r="C1695" s="3" t="s">
        <v>24</v>
      </c>
      <c r="D1695" s="3" t="s">
        <v>1242</v>
      </c>
      <c r="E1695" s="3" t="s">
        <v>137</v>
      </c>
      <c r="F1695" s="4" t="s">
        <v>2662</v>
      </c>
      <c r="G1695" s="4" t="s">
        <v>2662</v>
      </c>
      <c r="H1695" s="3" t="s">
        <v>523</v>
      </c>
      <c r="I1695" s="3"/>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3" t="s">
        <v>2655</v>
      </c>
      <c r="AC1695" s="3" t="s">
        <v>5165</v>
      </c>
      <c r="AD1695" s="4" t="s">
        <v>5184</v>
      </c>
    </row>
    <row r="1696" spans="1:30" ht="91" customHeight="1">
      <c r="A1696" s="11" t="s">
        <v>5131</v>
      </c>
      <c r="B1696" s="3" t="s">
        <v>5148</v>
      </c>
      <c r="C1696" s="3" t="s">
        <v>24</v>
      </c>
      <c r="D1696" s="3" t="s">
        <v>1242</v>
      </c>
      <c r="E1696" s="3" t="s">
        <v>137</v>
      </c>
      <c r="F1696" s="4" t="s">
        <v>2662</v>
      </c>
      <c r="G1696" s="4" t="s">
        <v>2662</v>
      </c>
      <c r="H1696" s="3" t="s">
        <v>523</v>
      </c>
      <c r="I1696" s="3"/>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3" t="s">
        <v>2655</v>
      </c>
      <c r="AC1696" s="3" t="s">
        <v>5165</v>
      </c>
      <c r="AD1696" s="4" t="s">
        <v>5184</v>
      </c>
    </row>
    <row r="1697" spans="1:30" ht="91" customHeight="1">
      <c r="A1697" s="11" t="s">
        <v>5132</v>
      </c>
      <c r="B1697" s="3" t="s">
        <v>5149</v>
      </c>
      <c r="C1697" s="3" t="s">
        <v>24</v>
      </c>
      <c r="D1697" s="3" t="s">
        <v>1242</v>
      </c>
      <c r="E1697" s="3" t="s">
        <v>137</v>
      </c>
      <c r="F1697" s="4" t="s">
        <v>2662</v>
      </c>
      <c r="G1697" s="4" t="s">
        <v>2662</v>
      </c>
      <c r="H1697" s="3" t="s">
        <v>523</v>
      </c>
      <c r="I1697" s="3"/>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3" t="s">
        <v>2655</v>
      </c>
      <c r="AC1697" s="3" t="s">
        <v>5165</v>
      </c>
      <c r="AD1697" s="4" t="s">
        <v>5184</v>
      </c>
    </row>
    <row r="1698" spans="1:30" ht="39" customHeight="1">
      <c r="A1698" s="11" t="s">
        <v>5123</v>
      </c>
      <c r="B1698" s="3" t="s">
        <v>5166</v>
      </c>
      <c r="C1698" s="3" t="s">
        <v>1105</v>
      </c>
      <c r="D1698" s="3" t="s">
        <v>1105</v>
      </c>
      <c r="E1698" s="3" t="s">
        <v>1105</v>
      </c>
      <c r="F1698" s="3" t="s">
        <v>2276</v>
      </c>
      <c r="G1698" s="4" t="s">
        <v>2662</v>
      </c>
      <c r="H1698" s="3" t="s">
        <v>523</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3" t="s">
        <v>2276</v>
      </c>
      <c r="AC1698" s="3"/>
      <c r="AD1698" s="3"/>
    </row>
    <row r="1699" spans="1:30" ht="39" customHeight="1">
      <c r="A1699" s="11" t="s">
        <v>5124</v>
      </c>
      <c r="B1699" s="3" t="s">
        <v>5167</v>
      </c>
      <c r="C1699" s="3" t="s">
        <v>1105</v>
      </c>
      <c r="D1699" s="3" t="s">
        <v>1105</v>
      </c>
      <c r="E1699" s="3" t="s">
        <v>1105</v>
      </c>
      <c r="F1699" s="3" t="s">
        <v>2276</v>
      </c>
      <c r="G1699" s="4" t="s">
        <v>2662</v>
      </c>
      <c r="H1699" s="3" t="s">
        <v>523</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3" t="s">
        <v>2276</v>
      </c>
      <c r="AC1699" s="3"/>
      <c r="AD1699" s="3"/>
    </row>
    <row r="1700" spans="1:30" ht="39" customHeight="1">
      <c r="A1700" s="11" t="s">
        <v>5125</v>
      </c>
      <c r="B1700" s="3" t="s">
        <v>5168</v>
      </c>
      <c r="C1700" s="3" t="s">
        <v>1105</v>
      </c>
      <c r="D1700" s="3" t="s">
        <v>1105</v>
      </c>
      <c r="E1700" s="3" t="s">
        <v>1105</v>
      </c>
      <c r="F1700" s="3" t="s">
        <v>2276</v>
      </c>
      <c r="G1700" s="4" t="s">
        <v>2662</v>
      </c>
      <c r="H1700" s="3" t="s">
        <v>523</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3" t="s">
        <v>2276</v>
      </c>
      <c r="AC1700" s="3"/>
      <c r="AD1700" s="3"/>
    </row>
    <row r="1701" spans="1:30" ht="39" customHeight="1">
      <c r="A1701" s="11" t="s">
        <v>5126</v>
      </c>
      <c r="B1701" s="3" t="s">
        <v>5169</v>
      </c>
      <c r="C1701" s="3" t="s">
        <v>1105</v>
      </c>
      <c r="D1701" s="3" t="s">
        <v>1105</v>
      </c>
      <c r="E1701" s="3" t="s">
        <v>1105</v>
      </c>
      <c r="F1701" s="3" t="s">
        <v>2276</v>
      </c>
      <c r="G1701" s="4" t="s">
        <v>2662</v>
      </c>
      <c r="H1701" s="3" t="s">
        <v>523</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3" t="s">
        <v>2276</v>
      </c>
      <c r="AC1701" s="3"/>
      <c r="AD1701" s="3"/>
    </row>
    <row r="1702" spans="1:30" ht="39" customHeight="1">
      <c r="A1702" s="11" t="s">
        <v>5127</v>
      </c>
      <c r="B1702" s="3" t="s">
        <v>5170</v>
      </c>
      <c r="C1702" s="3" t="s">
        <v>1105</v>
      </c>
      <c r="D1702" s="3" t="s">
        <v>1105</v>
      </c>
      <c r="E1702" s="3" t="s">
        <v>1105</v>
      </c>
      <c r="F1702" s="3" t="s">
        <v>2276</v>
      </c>
      <c r="G1702" s="4" t="s">
        <v>2662</v>
      </c>
      <c r="H1702" s="3" t="s">
        <v>523</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3" t="s">
        <v>2276</v>
      </c>
      <c r="AC1702" s="3"/>
      <c r="AD1702" s="3"/>
    </row>
    <row r="1703" spans="1:30" ht="39" customHeight="1">
      <c r="A1703" s="11" t="s">
        <v>5128</v>
      </c>
      <c r="B1703" s="3" t="s">
        <v>5150</v>
      </c>
      <c r="C1703" s="3" t="s">
        <v>1105</v>
      </c>
      <c r="D1703" s="3" t="s">
        <v>1105</v>
      </c>
      <c r="E1703" s="3" t="s">
        <v>1105</v>
      </c>
      <c r="F1703" s="3" t="s">
        <v>2276</v>
      </c>
      <c r="G1703" s="4" t="s">
        <v>2662</v>
      </c>
      <c r="H1703" s="3" t="s">
        <v>523</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3" t="s">
        <v>2276</v>
      </c>
      <c r="AC1703" s="3"/>
      <c r="AD1703" s="3"/>
    </row>
    <row r="1704" spans="1:30" ht="39" customHeight="1">
      <c r="A1704" s="11" t="s">
        <v>5129</v>
      </c>
      <c r="B1704" s="3" t="s">
        <v>5151</v>
      </c>
      <c r="C1704" s="3" t="s">
        <v>1105</v>
      </c>
      <c r="D1704" s="3" t="s">
        <v>1105</v>
      </c>
      <c r="E1704" s="3" t="s">
        <v>1105</v>
      </c>
      <c r="F1704" s="3" t="s">
        <v>2276</v>
      </c>
      <c r="G1704" s="4" t="s">
        <v>2662</v>
      </c>
      <c r="H1704" s="3" t="s">
        <v>523</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3" t="s">
        <v>2276</v>
      </c>
      <c r="AC1704" s="3"/>
      <c r="AD1704" s="3"/>
    </row>
    <row r="1705" spans="1:30" ht="39" customHeight="1">
      <c r="A1705" s="11" t="s">
        <v>5130</v>
      </c>
      <c r="B1705" s="3" t="s">
        <v>5152</v>
      </c>
      <c r="C1705" s="3" t="s">
        <v>1105</v>
      </c>
      <c r="D1705" s="3" t="s">
        <v>1105</v>
      </c>
      <c r="E1705" s="3" t="s">
        <v>1105</v>
      </c>
      <c r="F1705" s="3" t="s">
        <v>2276</v>
      </c>
      <c r="G1705" s="4" t="s">
        <v>2662</v>
      </c>
      <c r="H1705" s="3" t="s">
        <v>523</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3" t="s">
        <v>2276</v>
      </c>
      <c r="AC1705" s="3"/>
      <c r="AD1705" s="3"/>
    </row>
    <row r="1706" spans="1:30" ht="39" customHeight="1">
      <c r="A1706" s="11" t="s">
        <v>5131</v>
      </c>
      <c r="B1706" s="3" t="s">
        <v>5153</v>
      </c>
      <c r="C1706" s="3" t="s">
        <v>1105</v>
      </c>
      <c r="D1706" s="3" t="s">
        <v>1105</v>
      </c>
      <c r="E1706" s="3" t="s">
        <v>1105</v>
      </c>
      <c r="F1706" s="3" t="s">
        <v>2276</v>
      </c>
      <c r="G1706" s="4" t="s">
        <v>2662</v>
      </c>
      <c r="H1706" s="3" t="s">
        <v>523</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3" t="s">
        <v>2276</v>
      </c>
      <c r="AC1706" s="3"/>
      <c r="AD1706" s="3"/>
    </row>
    <row r="1707" spans="1:30" ht="39" customHeight="1">
      <c r="A1707" s="11" t="s">
        <v>5132</v>
      </c>
      <c r="B1707" s="3" t="s">
        <v>5154</v>
      </c>
      <c r="C1707" s="3" t="s">
        <v>1105</v>
      </c>
      <c r="D1707" s="3" t="s">
        <v>1105</v>
      </c>
      <c r="E1707" s="3" t="s">
        <v>1105</v>
      </c>
      <c r="F1707" s="3" t="s">
        <v>2276</v>
      </c>
      <c r="G1707" s="4" t="s">
        <v>2662</v>
      </c>
      <c r="H1707" s="3" t="s">
        <v>523</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3" t="s">
        <v>2276</v>
      </c>
      <c r="AC1707" s="3"/>
      <c r="AD1707" s="3"/>
    </row>
    <row r="1708" spans="1:30" ht="42" customHeight="1">
      <c r="A1708" s="11" t="s">
        <v>5123</v>
      </c>
      <c r="B1708" s="3" t="s">
        <v>5171</v>
      </c>
      <c r="C1708" s="3" t="s">
        <v>1105</v>
      </c>
      <c r="D1708" s="3" t="s">
        <v>1105</v>
      </c>
      <c r="E1708" s="3" t="s">
        <v>1105</v>
      </c>
      <c r="F1708" s="3" t="s">
        <v>2276</v>
      </c>
      <c r="G1708" s="4" t="s">
        <v>2662</v>
      </c>
      <c r="H1708" s="3" t="s">
        <v>523</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3" t="s">
        <v>2276</v>
      </c>
      <c r="AC1708" s="3"/>
      <c r="AD1708" s="3"/>
    </row>
    <row r="1709" spans="1:30" ht="42" customHeight="1">
      <c r="A1709" s="11" t="s">
        <v>5124</v>
      </c>
      <c r="B1709" s="3" t="s">
        <v>5172</v>
      </c>
      <c r="C1709" s="3" t="s">
        <v>1105</v>
      </c>
      <c r="D1709" s="3" t="s">
        <v>1105</v>
      </c>
      <c r="E1709" s="3" t="s">
        <v>1105</v>
      </c>
      <c r="F1709" s="3" t="s">
        <v>2276</v>
      </c>
      <c r="G1709" s="4" t="s">
        <v>2662</v>
      </c>
      <c r="H1709" s="3" t="s">
        <v>523</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3" t="s">
        <v>2276</v>
      </c>
      <c r="AC1709" s="3"/>
      <c r="AD1709" s="3"/>
    </row>
    <row r="1710" spans="1:30" ht="42" customHeight="1">
      <c r="A1710" s="11" t="s">
        <v>5125</v>
      </c>
      <c r="B1710" s="3" t="s">
        <v>5173</v>
      </c>
      <c r="C1710" s="3" t="s">
        <v>1105</v>
      </c>
      <c r="D1710" s="3" t="s">
        <v>1105</v>
      </c>
      <c r="E1710" s="3" t="s">
        <v>1105</v>
      </c>
      <c r="F1710" s="3" t="s">
        <v>2276</v>
      </c>
      <c r="G1710" s="4" t="s">
        <v>2662</v>
      </c>
      <c r="H1710" s="3" t="s">
        <v>523</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3" t="s">
        <v>2276</v>
      </c>
      <c r="AC1710" s="3"/>
      <c r="AD1710" s="3"/>
    </row>
    <row r="1711" spans="1:30" ht="42" customHeight="1">
      <c r="A1711" s="11" t="s">
        <v>5126</v>
      </c>
      <c r="B1711" s="3" t="s">
        <v>5174</v>
      </c>
      <c r="C1711" s="3" t="s">
        <v>1105</v>
      </c>
      <c r="D1711" s="3" t="s">
        <v>1105</v>
      </c>
      <c r="E1711" s="3" t="s">
        <v>1105</v>
      </c>
      <c r="F1711" s="3" t="s">
        <v>2276</v>
      </c>
      <c r="G1711" s="4" t="s">
        <v>2662</v>
      </c>
      <c r="H1711" s="3" t="s">
        <v>523</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3" t="s">
        <v>2276</v>
      </c>
      <c r="AC1711" s="3"/>
      <c r="AD1711" s="3"/>
    </row>
    <row r="1712" spans="1:30" ht="42" customHeight="1">
      <c r="A1712" s="11" t="s">
        <v>5127</v>
      </c>
      <c r="B1712" s="3" t="s">
        <v>5175</v>
      </c>
      <c r="C1712" s="3" t="s">
        <v>1105</v>
      </c>
      <c r="D1712" s="3" t="s">
        <v>1105</v>
      </c>
      <c r="E1712" s="3" t="s">
        <v>1105</v>
      </c>
      <c r="F1712" s="3" t="s">
        <v>2276</v>
      </c>
      <c r="G1712" s="4" t="s">
        <v>2662</v>
      </c>
      <c r="H1712" s="3" t="s">
        <v>523</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3" t="s">
        <v>2276</v>
      </c>
      <c r="AC1712" s="3"/>
      <c r="AD1712" s="3"/>
    </row>
    <row r="1713" spans="1:30" ht="42" customHeight="1">
      <c r="A1713" s="11" t="s">
        <v>5128</v>
      </c>
      <c r="B1713" s="3" t="s">
        <v>5158</v>
      </c>
      <c r="C1713" s="3" t="s">
        <v>2458</v>
      </c>
      <c r="D1713" s="3" t="s">
        <v>1242</v>
      </c>
      <c r="E1713" s="3" t="s">
        <v>137</v>
      </c>
      <c r="F1713" s="4" t="s">
        <v>2662</v>
      </c>
      <c r="G1713" s="4" t="s">
        <v>2662</v>
      </c>
      <c r="H1713" s="3" t="s">
        <v>523</v>
      </c>
      <c r="I1713" s="3">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3" t="s">
        <v>2276</v>
      </c>
      <c r="AC1713" s="3" t="s">
        <v>5185</v>
      </c>
      <c r="AD1713" s="3"/>
    </row>
    <row r="1714" spans="1:30" ht="42" customHeight="1">
      <c r="A1714" s="11" t="s">
        <v>5129</v>
      </c>
      <c r="B1714" s="3" t="s">
        <v>5159</v>
      </c>
      <c r="C1714" s="3" t="s">
        <v>2458</v>
      </c>
      <c r="D1714" s="3" t="s">
        <v>1242</v>
      </c>
      <c r="E1714" s="3" t="s">
        <v>137</v>
      </c>
      <c r="F1714" s="4" t="s">
        <v>2662</v>
      </c>
      <c r="G1714" s="4" t="s">
        <v>2662</v>
      </c>
      <c r="H1714" s="3" t="s">
        <v>523</v>
      </c>
      <c r="I1714" s="3">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3" t="s">
        <v>2276</v>
      </c>
      <c r="AC1714" s="3" t="s">
        <v>5185</v>
      </c>
      <c r="AD1714" s="3"/>
    </row>
    <row r="1715" spans="1:30" ht="42" customHeight="1">
      <c r="A1715" s="11" t="s">
        <v>5128</v>
      </c>
      <c r="B1715" s="3" t="s">
        <v>5176</v>
      </c>
      <c r="C1715" s="3" t="s">
        <v>31</v>
      </c>
      <c r="D1715" s="3" t="s">
        <v>30</v>
      </c>
      <c r="E1715" s="3" t="s">
        <v>2652</v>
      </c>
      <c r="F1715" s="3" t="s">
        <v>2276</v>
      </c>
      <c r="G1715" s="4" t="s">
        <v>2662</v>
      </c>
      <c r="H1715" s="3" t="s">
        <v>523</v>
      </c>
      <c r="I1715" s="3">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3" t="s">
        <v>2276</v>
      </c>
      <c r="AC1715" s="3" t="s">
        <v>5185</v>
      </c>
      <c r="AD1715" s="3"/>
    </row>
    <row r="1716" spans="1:30" ht="42" customHeight="1">
      <c r="A1716" s="11" t="s">
        <v>5129</v>
      </c>
      <c r="B1716" s="3" t="s">
        <v>5177</v>
      </c>
      <c r="C1716" s="3" t="s">
        <v>31</v>
      </c>
      <c r="D1716" s="3" t="s">
        <v>30</v>
      </c>
      <c r="E1716" s="3" t="s">
        <v>2652</v>
      </c>
      <c r="F1716" s="3" t="s">
        <v>2276</v>
      </c>
      <c r="G1716" s="4" t="s">
        <v>2662</v>
      </c>
      <c r="H1716" s="3" t="s">
        <v>523</v>
      </c>
      <c r="I1716" s="3">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3" t="s">
        <v>405</v>
      </c>
      <c r="AA1716" s="3" t="s">
        <v>35</v>
      </c>
      <c r="AB1716" s="3" t="s">
        <v>2276</v>
      </c>
      <c r="AC1716" s="3" t="s">
        <v>5185</v>
      </c>
      <c r="AD1716" s="3"/>
    </row>
    <row r="1717" spans="1:30" ht="42" customHeight="1">
      <c r="A1717" s="11" t="s">
        <v>5128</v>
      </c>
      <c r="B1717" s="3" t="s">
        <v>5178</v>
      </c>
      <c r="C1717" s="3" t="s">
        <v>31</v>
      </c>
      <c r="D1717" s="3" t="s">
        <v>30</v>
      </c>
      <c r="E1717" s="3" t="s">
        <v>2653</v>
      </c>
      <c r="F1717" s="3" t="s">
        <v>2276</v>
      </c>
      <c r="G1717" s="4" t="s">
        <v>2662</v>
      </c>
      <c r="H1717" s="3" t="s">
        <v>523</v>
      </c>
      <c r="I1717" s="3">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3" t="s">
        <v>405</v>
      </c>
      <c r="AA1717" s="3" t="s">
        <v>35</v>
      </c>
      <c r="AB1717" s="3" t="s">
        <v>2276</v>
      </c>
      <c r="AC1717" s="3" t="s">
        <v>5185</v>
      </c>
      <c r="AD1717" s="3"/>
    </row>
    <row r="1718" spans="1:30" ht="42" customHeight="1">
      <c r="A1718" s="11" t="s">
        <v>5129</v>
      </c>
      <c r="B1718" s="3" t="s">
        <v>5179</v>
      </c>
      <c r="C1718" s="3" t="s">
        <v>31</v>
      </c>
      <c r="D1718" s="3" t="s">
        <v>30</v>
      </c>
      <c r="E1718" s="3" t="s">
        <v>2653</v>
      </c>
      <c r="F1718" s="3" t="s">
        <v>2276</v>
      </c>
      <c r="G1718" s="4" t="s">
        <v>2662</v>
      </c>
      <c r="H1718" s="3" t="s">
        <v>523</v>
      </c>
      <c r="I1718" s="3">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3" t="s">
        <v>405</v>
      </c>
      <c r="AA1718" s="3" t="s">
        <v>35</v>
      </c>
      <c r="AB1718" s="3" t="s">
        <v>2276</v>
      </c>
      <c r="AC1718" s="3" t="s">
        <v>5185</v>
      </c>
      <c r="AD1718" s="3"/>
    </row>
    <row r="1719" spans="1:30" ht="42" customHeight="1">
      <c r="A1719" s="11" t="s">
        <v>5128</v>
      </c>
      <c r="B1719" s="3" t="s">
        <v>5180</v>
      </c>
      <c r="C1719" s="3" t="s">
        <v>24</v>
      </c>
      <c r="D1719" s="3" t="s">
        <v>1245</v>
      </c>
      <c r="E1719" s="3" t="s">
        <v>116</v>
      </c>
      <c r="F1719" s="3" t="s">
        <v>2276</v>
      </c>
      <c r="G1719" s="4" t="s">
        <v>2662</v>
      </c>
      <c r="H1719" s="3" t="s">
        <v>523</v>
      </c>
      <c r="I1719" s="3">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3" t="s">
        <v>405</v>
      </c>
      <c r="AA1719" s="3" t="s">
        <v>35</v>
      </c>
      <c r="AB1719" s="3" t="s">
        <v>2276</v>
      </c>
      <c r="AC1719" s="3" t="s">
        <v>5185</v>
      </c>
      <c r="AD1719" s="3"/>
    </row>
    <row r="1720" spans="1:30" ht="38.5" customHeight="1">
      <c r="A1720" s="11" t="s">
        <v>5129</v>
      </c>
      <c r="B1720" s="3" t="s">
        <v>5181</v>
      </c>
      <c r="C1720" s="3" t="s">
        <v>24</v>
      </c>
      <c r="D1720" s="3" t="s">
        <v>1245</v>
      </c>
      <c r="E1720" s="3" t="s">
        <v>116</v>
      </c>
      <c r="F1720" s="3" t="s">
        <v>2276</v>
      </c>
      <c r="G1720" s="4" t="s">
        <v>2662</v>
      </c>
      <c r="H1720" s="3" t="s">
        <v>523</v>
      </c>
      <c r="I1720" s="3">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3" t="s">
        <v>405</v>
      </c>
      <c r="AA1720" s="3" t="s">
        <v>35</v>
      </c>
      <c r="AB1720" s="3" t="s">
        <v>2276</v>
      </c>
      <c r="AC1720" s="3" t="s">
        <v>5185</v>
      </c>
      <c r="AD1720" s="3"/>
    </row>
    <row r="1721" spans="1:30" ht="33.5" customHeight="1">
      <c r="A1721" s="11" t="s">
        <v>5128</v>
      </c>
      <c r="B1721" s="3" t="s">
        <v>5182</v>
      </c>
      <c r="C1721" s="3" t="s">
        <v>2656</v>
      </c>
      <c r="D1721" s="3" t="s">
        <v>2276</v>
      </c>
      <c r="E1721" s="3" t="s">
        <v>2276</v>
      </c>
      <c r="F1721" s="3" t="s">
        <v>2276</v>
      </c>
      <c r="G1721" s="4" t="s">
        <v>2662</v>
      </c>
      <c r="H1721" s="3" t="s">
        <v>523</v>
      </c>
      <c r="I1721" s="3">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3" t="s">
        <v>405</v>
      </c>
      <c r="AA1721" s="3" t="s">
        <v>35</v>
      </c>
      <c r="AB1721" s="3" t="s">
        <v>2276</v>
      </c>
      <c r="AC1721" s="3" t="s">
        <v>5185</v>
      </c>
      <c r="AD1721" s="3"/>
    </row>
    <row r="1722" spans="1:30" ht="33.5" customHeight="1">
      <c r="A1722" s="11" t="s">
        <v>5129</v>
      </c>
      <c r="B1722" s="3" t="s">
        <v>5183</v>
      </c>
      <c r="C1722" s="3" t="s">
        <v>2656</v>
      </c>
      <c r="D1722" s="3" t="s">
        <v>2276</v>
      </c>
      <c r="E1722" s="3" t="s">
        <v>2276</v>
      </c>
      <c r="F1722" s="3" t="s">
        <v>2276</v>
      </c>
      <c r="G1722" s="4" t="s">
        <v>2662</v>
      </c>
      <c r="H1722" s="3" t="s">
        <v>523</v>
      </c>
      <c r="I1722" s="3">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3" t="s">
        <v>405</v>
      </c>
      <c r="AA1722" s="3" t="s">
        <v>35</v>
      </c>
      <c r="AB1722" s="3" t="s">
        <v>2276</v>
      </c>
      <c r="AC1722" s="3" t="s">
        <v>5185</v>
      </c>
      <c r="AD1722" s="3"/>
    </row>
    <row r="1723" spans="1:30" ht="38" customHeight="1">
      <c r="A1723" s="19" t="s">
        <v>5190</v>
      </c>
      <c r="B1723" s="19" t="s">
        <v>5193</v>
      </c>
      <c r="C1723" s="4" t="s">
        <v>24</v>
      </c>
      <c r="D1723" s="4" t="s">
        <v>2231</v>
      </c>
      <c r="E1723" s="4" t="s">
        <v>396</v>
      </c>
      <c r="F1723" s="4" t="s">
        <v>74</v>
      </c>
      <c r="G1723" s="3" t="s">
        <v>2276</v>
      </c>
      <c r="H1723" s="3" t="s">
        <v>523</v>
      </c>
      <c r="I1723" s="4"/>
      <c r="J1723" s="3" t="s">
        <v>2276</v>
      </c>
      <c r="K1723" s="3" t="s">
        <v>2276</v>
      </c>
      <c r="L1723" s="3" t="s">
        <v>2276</v>
      </c>
      <c r="M1723" s="3" t="s">
        <v>2276</v>
      </c>
      <c r="N1723" s="3" t="s">
        <v>2276</v>
      </c>
      <c r="O1723" s="3" t="s">
        <v>2276</v>
      </c>
      <c r="P1723" s="3" t="s">
        <v>2276</v>
      </c>
      <c r="Q1723" s="3" t="s">
        <v>2276</v>
      </c>
      <c r="R1723" s="3" t="s">
        <v>2276</v>
      </c>
      <c r="S1723" s="3" t="s">
        <v>2276</v>
      </c>
      <c r="T1723" s="3" t="s">
        <v>2276</v>
      </c>
      <c r="U1723" s="3" t="s">
        <v>2276</v>
      </c>
      <c r="V1723" s="3" t="s">
        <v>2276</v>
      </c>
      <c r="W1723" s="3" t="s">
        <v>2276</v>
      </c>
      <c r="X1723" s="3" t="s">
        <v>2276</v>
      </c>
      <c r="Y1723" s="3" t="s">
        <v>2276</v>
      </c>
      <c r="Z1723" s="3" t="s">
        <v>2276</v>
      </c>
      <c r="AA1723" s="3" t="s">
        <v>2276</v>
      </c>
      <c r="AB1723" s="3" t="s">
        <v>2276</v>
      </c>
      <c r="AC1723" s="4"/>
      <c r="AD1723" s="4"/>
    </row>
    <row r="1724" spans="1:30" ht="38" customHeight="1">
      <c r="A1724" s="19" t="s">
        <v>5190</v>
      </c>
      <c r="B1724" s="19" t="s">
        <v>5195</v>
      </c>
      <c r="C1724" s="4" t="s">
        <v>24</v>
      </c>
      <c r="D1724" s="4" t="s">
        <v>4162</v>
      </c>
      <c r="E1724" s="4" t="s">
        <v>863</v>
      </c>
      <c r="F1724" s="4" t="s">
        <v>74</v>
      </c>
      <c r="G1724" s="3" t="s">
        <v>2276</v>
      </c>
      <c r="H1724" s="3" t="s">
        <v>523</v>
      </c>
      <c r="I1724" s="4"/>
      <c r="J1724" s="3" t="s">
        <v>2276</v>
      </c>
      <c r="K1724" s="3" t="s">
        <v>2276</v>
      </c>
      <c r="L1724" s="3" t="s">
        <v>2276</v>
      </c>
      <c r="M1724" s="3" t="s">
        <v>2276</v>
      </c>
      <c r="N1724" s="3" t="s">
        <v>2276</v>
      </c>
      <c r="O1724" s="3" t="s">
        <v>2276</v>
      </c>
      <c r="P1724" s="3" t="s">
        <v>2276</v>
      </c>
      <c r="Q1724" s="3" t="s">
        <v>2276</v>
      </c>
      <c r="R1724" s="3" t="s">
        <v>2276</v>
      </c>
      <c r="S1724" s="3" t="s">
        <v>2276</v>
      </c>
      <c r="T1724" s="3" t="s">
        <v>2276</v>
      </c>
      <c r="U1724" s="3" t="s">
        <v>2276</v>
      </c>
      <c r="V1724" s="3" t="s">
        <v>2276</v>
      </c>
      <c r="W1724" s="3" t="s">
        <v>2276</v>
      </c>
      <c r="X1724" s="3" t="s">
        <v>2276</v>
      </c>
      <c r="Y1724" s="3" t="s">
        <v>2276</v>
      </c>
      <c r="Z1724" s="3" t="s">
        <v>2276</v>
      </c>
      <c r="AA1724" s="3" t="s">
        <v>2276</v>
      </c>
      <c r="AB1724" s="3" t="s">
        <v>2276</v>
      </c>
      <c r="AC1724" s="4"/>
      <c r="AD1724" s="4"/>
    </row>
    <row r="1725" spans="1:30" ht="33.5" customHeight="1">
      <c r="A1725" s="19" t="s">
        <v>5190</v>
      </c>
      <c r="B1725" s="19" t="s">
        <v>5196</v>
      </c>
      <c r="C1725" s="4" t="s">
        <v>24</v>
      </c>
      <c r="D1725" s="4" t="s">
        <v>3476</v>
      </c>
      <c r="E1725" s="4" t="s">
        <v>863</v>
      </c>
      <c r="F1725" s="4" t="s">
        <v>74</v>
      </c>
      <c r="G1725" s="3" t="s">
        <v>2276</v>
      </c>
      <c r="H1725" s="3" t="s">
        <v>523</v>
      </c>
      <c r="I1725" s="4"/>
      <c r="J1725" s="3" t="s">
        <v>2276</v>
      </c>
      <c r="K1725" s="3" t="s">
        <v>2276</v>
      </c>
      <c r="L1725" s="3" t="s">
        <v>2276</v>
      </c>
      <c r="M1725" s="3" t="s">
        <v>2276</v>
      </c>
      <c r="N1725" s="3" t="s">
        <v>2276</v>
      </c>
      <c r="O1725" s="3" t="s">
        <v>2276</v>
      </c>
      <c r="P1725" s="3" t="s">
        <v>2276</v>
      </c>
      <c r="Q1725" s="3" t="s">
        <v>2276</v>
      </c>
      <c r="R1725" s="3" t="s">
        <v>2276</v>
      </c>
      <c r="S1725" s="3" t="s">
        <v>2276</v>
      </c>
      <c r="T1725" s="3" t="s">
        <v>2276</v>
      </c>
      <c r="U1725" s="3" t="s">
        <v>2276</v>
      </c>
      <c r="V1725" s="3" t="s">
        <v>2276</v>
      </c>
      <c r="W1725" s="3" t="s">
        <v>2276</v>
      </c>
      <c r="X1725" s="3" t="s">
        <v>2276</v>
      </c>
      <c r="Y1725" s="3" t="s">
        <v>2276</v>
      </c>
      <c r="Z1725" s="3" t="s">
        <v>2276</v>
      </c>
      <c r="AA1725" s="3" t="s">
        <v>2276</v>
      </c>
      <c r="AB1725" s="3" t="s">
        <v>2276</v>
      </c>
      <c r="AC1725" s="4"/>
      <c r="AD1725" s="4"/>
    </row>
    <row r="1726" spans="1:30" ht="36.5" customHeight="1">
      <c r="A1726" s="19" t="s">
        <v>5190</v>
      </c>
      <c r="B1726" s="19" t="s">
        <v>5197</v>
      </c>
      <c r="C1726" s="4" t="s">
        <v>24</v>
      </c>
      <c r="D1726" s="3" t="s">
        <v>27</v>
      </c>
      <c r="E1726" s="3" t="s">
        <v>130</v>
      </c>
      <c r="F1726" s="4" t="s">
        <v>160</v>
      </c>
      <c r="G1726" s="3" t="s">
        <v>2276</v>
      </c>
      <c r="H1726" s="3" t="s">
        <v>523</v>
      </c>
      <c r="I1726" s="3"/>
      <c r="J1726" s="3" t="s">
        <v>2276</v>
      </c>
      <c r="K1726" s="3" t="s">
        <v>2276</v>
      </c>
      <c r="L1726" s="3" t="s">
        <v>2276</v>
      </c>
      <c r="M1726" s="3" t="s">
        <v>2276</v>
      </c>
      <c r="N1726" s="3" t="s">
        <v>2276</v>
      </c>
      <c r="O1726" s="3" t="s">
        <v>2276</v>
      </c>
      <c r="P1726" s="3" t="s">
        <v>2276</v>
      </c>
      <c r="Q1726" s="3" t="s">
        <v>2276</v>
      </c>
      <c r="R1726" s="3" t="s">
        <v>2276</v>
      </c>
      <c r="S1726" s="3" t="s">
        <v>2276</v>
      </c>
      <c r="T1726" s="3" t="s">
        <v>2276</v>
      </c>
      <c r="U1726" s="3" t="s">
        <v>2276</v>
      </c>
      <c r="V1726" s="3" t="s">
        <v>2276</v>
      </c>
      <c r="W1726" s="3" t="s">
        <v>2276</v>
      </c>
      <c r="X1726" s="3" t="s">
        <v>2276</v>
      </c>
      <c r="Y1726" s="3" t="s">
        <v>2276</v>
      </c>
      <c r="Z1726" s="3" t="s">
        <v>2276</v>
      </c>
      <c r="AA1726" s="3" t="s">
        <v>2276</v>
      </c>
      <c r="AB1726" s="3" t="s">
        <v>2276</v>
      </c>
      <c r="AC1726" s="4" t="s">
        <v>5202</v>
      </c>
      <c r="AD1726" s="3"/>
    </row>
    <row r="1727" spans="1:30" ht="36.5" customHeight="1">
      <c r="A1727" s="19" t="s">
        <v>5190</v>
      </c>
      <c r="B1727" s="19" t="s">
        <v>5198</v>
      </c>
      <c r="C1727" s="4" t="s">
        <v>24</v>
      </c>
      <c r="D1727" s="3" t="s">
        <v>1245</v>
      </c>
      <c r="E1727" s="4" t="s">
        <v>863</v>
      </c>
      <c r="F1727" s="4" t="s">
        <v>74</v>
      </c>
      <c r="G1727" s="3" t="s">
        <v>2276</v>
      </c>
      <c r="H1727" s="3" t="s">
        <v>523</v>
      </c>
      <c r="I1727" s="3"/>
      <c r="J1727" s="3" t="s">
        <v>2276</v>
      </c>
      <c r="K1727" s="3" t="s">
        <v>2276</v>
      </c>
      <c r="L1727" s="3" t="s">
        <v>2276</v>
      </c>
      <c r="M1727" s="3" t="s">
        <v>2276</v>
      </c>
      <c r="N1727" s="3" t="s">
        <v>2276</v>
      </c>
      <c r="O1727" s="3" t="s">
        <v>2276</v>
      </c>
      <c r="P1727" s="3" t="s">
        <v>2276</v>
      </c>
      <c r="Q1727" s="3" t="s">
        <v>2276</v>
      </c>
      <c r="R1727" s="3" t="s">
        <v>2276</v>
      </c>
      <c r="S1727" s="3" t="s">
        <v>2276</v>
      </c>
      <c r="T1727" s="3" t="s">
        <v>2276</v>
      </c>
      <c r="U1727" s="3" t="s">
        <v>2276</v>
      </c>
      <c r="V1727" s="3" t="s">
        <v>2276</v>
      </c>
      <c r="W1727" s="3" t="s">
        <v>2276</v>
      </c>
      <c r="X1727" s="3" t="s">
        <v>2276</v>
      </c>
      <c r="Y1727" s="3" t="s">
        <v>2276</v>
      </c>
      <c r="Z1727" s="3" t="s">
        <v>2276</v>
      </c>
      <c r="AA1727" s="3" t="s">
        <v>2276</v>
      </c>
      <c r="AB1727" s="3" t="s">
        <v>2276</v>
      </c>
      <c r="AC1727" s="4" t="s">
        <v>5202</v>
      </c>
      <c r="AD1727" s="3"/>
    </row>
    <row r="1728" spans="1:30" ht="36.5" customHeight="1">
      <c r="A1728" s="19" t="s">
        <v>5190</v>
      </c>
      <c r="B1728" s="19" t="s">
        <v>5199</v>
      </c>
      <c r="C1728" s="4" t="s">
        <v>24</v>
      </c>
      <c r="D1728" s="3" t="s">
        <v>2305</v>
      </c>
      <c r="E1728" s="4" t="s">
        <v>863</v>
      </c>
      <c r="F1728" s="4" t="s">
        <v>74</v>
      </c>
      <c r="G1728" s="3" t="s">
        <v>2276</v>
      </c>
      <c r="H1728" s="3" t="s">
        <v>523</v>
      </c>
      <c r="I1728" s="3"/>
      <c r="J1728" s="3" t="s">
        <v>2276</v>
      </c>
      <c r="K1728" s="3" t="s">
        <v>2276</v>
      </c>
      <c r="L1728" s="3" t="s">
        <v>2276</v>
      </c>
      <c r="M1728" s="3" t="s">
        <v>2276</v>
      </c>
      <c r="N1728" s="3" t="s">
        <v>2276</v>
      </c>
      <c r="O1728" s="3" t="s">
        <v>2276</v>
      </c>
      <c r="P1728" s="3" t="s">
        <v>2276</v>
      </c>
      <c r="Q1728" s="3" t="s">
        <v>2276</v>
      </c>
      <c r="R1728" s="3" t="s">
        <v>2276</v>
      </c>
      <c r="S1728" s="3" t="s">
        <v>2276</v>
      </c>
      <c r="T1728" s="3" t="s">
        <v>2276</v>
      </c>
      <c r="U1728" s="3" t="s">
        <v>2276</v>
      </c>
      <c r="V1728" s="3" t="s">
        <v>2276</v>
      </c>
      <c r="W1728" s="3" t="s">
        <v>2276</v>
      </c>
      <c r="X1728" s="3" t="s">
        <v>2276</v>
      </c>
      <c r="Y1728" s="3" t="s">
        <v>2276</v>
      </c>
      <c r="Z1728" s="3" t="s">
        <v>2276</v>
      </c>
      <c r="AA1728" s="3" t="s">
        <v>2276</v>
      </c>
      <c r="AB1728" s="3" t="s">
        <v>2276</v>
      </c>
      <c r="AC1728" s="4" t="s">
        <v>5202</v>
      </c>
      <c r="AD1728" s="3"/>
    </row>
    <row r="1729" spans="1:30" ht="40" customHeight="1">
      <c r="A1729" s="19" t="s">
        <v>5190</v>
      </c>
      <c r="B1729" s="19" t="s">
        <v>5200</v>
      </c>
      <c r="C1729" s="4" t="s">
        <v>24</v>
      </c>
      <c r="D1729" s="3" t="s">
        <v>3480</v>
      </c>
      <c r="E1729" s="4" t="s">
        <v>863</v>
      </c>
      <c r="F1729" s="4" t="s">
        <v>74</v>
      </c>
      <c r="G1729" s="3" t="s">
        <v>2276</v>
      </c>
      <c r="H1729" s="3" t="s">
        <v>523</v>
      </c>
      <c r="I1729" s="3"/>
      <c r="J1729" s="3" t="s">
        <v>2276</v>
      </c>
      <c r="K1729" s="3" t="s">
        <v>2276</v>
      </c>
      <c r="L1729" s="3" t="s">
        <v>2276</v>
      </c>
      <c r="M1729" s="3" t="s">
        <v>2276</v>
      </c>
      <c r="N1729" s="3" t="s">
        <v>2276</v>
      </c>
      <c r="O1729" s="3" t="s">
        <v>2276</v>
      </c>
      <c r="P1729" s="3" t="s">
        <v>2276</v>
      </c>
      <c r="Q1729" s="3" t="s">
        <v>2276</v>
      </c>
      <c r="R1729" s="3" t="s">
        <v>2276</v>
      </c>
      <c r="S1729" s="3" t="s">
        <v>2276</v>
      </c>
      <c r="T1729" s="3" t="s">
        <v>2276</v>
      </c>
      <c r="U1729" s="3" t="s">
        <v>2276</v>
      </c>
      <c r="V1729" s="3" t="s">
        <v>2276</v>
      </c>
      <c r="W1729" s="3" t="s">
        <v>2276</v>
      </c>
      <c r="X1729" s="3" t="s">
        <v>2276</v>
      </c>
      <c r="Y1729" s="3" t="s">
        <v>2276</v>
      </c>
      <c r="Z1729" s="3" t="s">
        <v>2276</v>
      </c>
      <c r="AA1729" s="3" t="s">
        <v>2276</v>
      </c>
      <c r="AB1729" s="3" t="s">
        <v>2276</v>
      </c>
      <c r="AC1729" s="4" t="s">
        <v>5202</v>
      </c>
      <c r="AD1729" s="3"/>
    </row>
    <row r="1730" spans="1:30" ht="34.5" customHeight="1">
      <c r="A1730" s="19" t="s">
        <v>5190</v>
      </c>
      <c r="B1730" s="19" t="s">
        <v>5201</v>
      </c>
      <c r="C1730" s="4" t="s">
        <v>24</v>
      </c>
      <c r="D1730" s="3" t="s">
        <v>2341</v>
      </c>
      <c r="E1730" s="4" t="s">
        <v>863</v>
      </c>
      <c r="F1730" s="4" t="s">
        <v>74</v>
      </c>
      <c r="G1730" s="3" t="s">
        <v>2276</v>
      </c>
      <c r="H1730" s="3" t="s">
        <v>523</v>
      </c>
      <c r="I1730" s="3"/>
      <c r="J1730" s="3" t="s">
        <v>2276</v>
      </c>
      <c r="K1730" s="3" t="s">
        <v>2276</v>
      </c>
      <c r="L1730" s="3" t="s">
        <v>2276</v>
      </c>
      <c r="M1730" s="3" t="s">
        <v>2276</v>
      </c>
      <c r="N1730" s="3" t="s">
        <v>2276</v>
      </c>
      <c r="O1730" s="3" t="s">
        <v>2276</v>
      </c>
      <c r="P1730" s="3" t="s">
        <v>2276</v>
      </c>
      <c r="Q1730" s="3" t="s">
        <v>2276</v>
      </c>
      <c r="R1730" s="3" t="s">
        <v>2276</v>
      </c>
      <c r="S1730" s="3" t="s">
        <v>2276</v>
      </c>
      <c r="T1730" s="3" t="s">
        <v>2276</v>
      </c>
      <c r="U1730" s="3" t="s">
        <v>2276</v>
      </c>
      <c r="V1730" s="3" t="s">
        <v>2276</v>
      </c>
      <c r="W1730" s="3" t="s">
        <v>2276</v>
      </c>
      <c r="X1730" s="3" t="s">
        <v>2276</v>
      </c>
      <c r="Y1730" s="3" t="s">
        <v>2276</v>
      </c>
      <c r="Z1730" s="3" t="s">
        <v>2276</v>
      </c>
      <c r="AA1730" s="3" t="s">
        <v>2276</v>
      </c>
      <c r="AB1730" s="3" t="s">
        <v>2276</v>
      </c>
      <c r="AC1730" s="4" t="s">
        <v>5203</v>
      </c>
      <c r="AD1730" s="3"/>
    </row>
    <row r="1731" spans="1:30" ht="94.5" customHeight="1">
      <c r="A1731" s="19" t="s">
        <v>5190</v>
      </c>
      <c r="B1731" s="19" t="s">
        <v>5204</v>
      </c>
      <c r="C1731" s="3" t="s">
        <v>2658</v>
      </c>
      <c r="D1731" s="3" t="s">
        <v>1105</v>
      </c>
      <c r="E1731" s="3" t="s">
        <v>1105</v>
      </c>
      <c r="F1731" s="3" t="s">
        <v>2276</v>
      </c>
      <c r="G1731" s="3" t="s">
        <v>2276</v>
      </c>
      <c r="H1731" s="3" t="s">
        <v>523</v>
      </c>
      <c r="I1731" s="3"/>
      <c r="J1731" s="3" t="s">
        <v>2276</v>
      </c>
      <c r="K1731" s="3" t="s">
        <v>2276</v>
      </c>
      <c r="L1731" s="3" t="s">
        <v>2276</v>
      </c>
      <c r="M1731" s="3" t="s">
        <v>2276</v>
      </c>
      <c r="N1731" s="3" t="s">
        <v>2276</v>
      </c>
      <c r="O1731" s="3" t="s">
        <v>2276</v>
      </c>
      <c r="P1731" s="3" t="s">
        <v>2276</v>
      </c>
      <c r="Q1731" s="3" t="s">
        <v>2276</v>
      </c>
      <c r="R1731" s="3" t="s">
        <v>2276</v>
      </c>
      <c r="S1731" s="3" t="s">
        <v>2276</v>
      </c>
      <c r="T1731" s="3" t="s">
        <v>2276</v>
      </c>
      <c r="U1731" s="3" t="s">
        <v>2276</v>
      </c>
      <c r="V1731" s="3" t="s">
        <v>2276</v>
      </c>
      <c r="W1731" s="3" t="s">
        <v>2276</v>
      </c>
      <c r="X1731" s="3" t="s">
        <v>2276</v>
      </c>
      <c r="Y1731" s="3" t="s">
        <v>2276</v>
      </c>
      <c r="Z1731" s="3" t="s">
        <v>2276</v>
      </c>
      <c r="AA1731" s="3" t="s">
        <v>2276</v>
      </c>
      <c r="AB1731" s="3" t="s">
        <v>2276</v>
      </c>
      <c r="AC1731" s="3"/>
      <c r="AD1731" s="4" t="s">
        <v>5205</v>
      </c>
    </row>
    <row r="1732" spans="1:30" ht="53.5" customHeight="1">
      <c r="A1732" s="19" t="s">
        <v>5209</v>
      </c>
      <c r="B1732" s="19" t="s">
        <v>5216</v>
      </c>
      <c r="C1732" s="4" t="s">
        <v>24</v>
      </c>
      <c r="D1732" s="3" t="s">
        <v>144</v>
      </c>
      <c r="E1732" s="3" t="s">
        <v>137</v>
      </c>
      <c r="F1732" s="4" t="s">
        <v>55</v>
      </c>
      <c r="G1732" s="3" t="s">
        <v>55</v>
      </c>
      <c r="H1732" s="3" t="s">
        <v>523</v>
      </c>
      <c r="I1732" s="3"/>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2276</v>
      </c>
      <c r="Y1732" s="3" t="s">
        <v>2276</v>
      </c>
      <c r="Z1732" s="3" t="s">
        <v>38</v>
      </c>
      <c r="AA1732" s="3" t="s">
        <v>86</v>
      </c>
      <c r="AB1732" s="3" t="s">
        <v>2276</v>
      </c>
      <c r="AC1732" s="4" t="s">
        <v>5218</v>
      </c>
      <c r="AD1732" s="3"/>
    </row>
    <row r="1733" spans="1:30" ht="62.5" customHeight="1">
      <c r="A1733" s="19" t="s">
        <v>5209</v>
      </c>
      <c r="B1733" s="19" t="s">
        <v>5217</v>
      </c>
      <c r="C1733" s="4" t="s">
        <v>24</v>
      </c>
      <c r="D1733" s="3" t="s">
        <v>406</v>
      </c>
      <c r="E1733" s="3" t="s">
        <v>137</v>
      </c>
      <c r="F1733" s="4" t="s">
        <v>55</v>
      </c>
      <c r="G1733" s="3" t="s">
        <v>55</v>
      </c>
      <c r="H1733" s="3" t="s">
        <v>523</v>
      </c>
      <c r="I1733" s="3"/>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2276</v>
      </c>
      <c r="Y1733" s="3" t="s">
        <v>2276</v>
      </c>
      <c r="Z1733" s="3" t="s">
        <v>38</v>
      </c>
      <c r="AA1733" s="3" t="s">
        <v>86</v>
      </c>
      <c r="AB1733" s="3" t="s">
        <v>2276</v>
      </c>
      <c r="AC1733" s="4" t="s">
        <v>5218</v>
      </c>
      <c r="AD1733" s="3"/>
    </row>
    <row r="1734" spans="1:30" ht="50" customHeight="1">
      <c r="A1734" s="19" t="s">
        <v>5223</v>
      </c>
      <c r="B1734" s="19" t="s">
        <v>5227</v>
      </c>
      <c r="C1734" s="4" t="s">
        <v>24</v>
      </c>
      <c r="D1734" s="3" t="s">
        <v>25</v>
      </c>
      <c r="E1734" s="3" t="s">
        <v>5005</v>
      </c>
      <c r="F1734" s="4" t="s">
        <v>55</v>
      </c>
      <c r="G1734" s="3" t="s">
        <v>2276</v>
      </c>
      <c r="H1734" s="3" t="s">
        <v>523</v>
      </c>
      <c r="I1734" s="3"/>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t="s">
        <v>2276</v>
      </c>
      <c r="AB1734" s="3" t="s">
        <v>2276</v>
      </c>
      <c r="AC1734" s="3"/>
      <c r="AD1734" s="3"/>
    </row>
    <row r="1735" spans="1:30" ht="50" customHeight="1">
      <c r="A1735" s="19" t="s">
        <v>5223</v>
      </c>
      <c r="B1735" s="19" t="s">
        <v>5228</v>
      </c>
      <c r="C1735" s="4" t="s">
        <v>24</v>
      </c>
      <c r="D1735" s="3" t="s">
        <v>2231</v>
      </c>
      <c r="E1735" s="4" t="s">
        <v>397</v>
      </c>
      <c r="F1735" s="4" t="s">
        <v>2662</v>
      </c>
      <c r="G1735" s="3" t="s">
        <v>2276</v>
      </c>
      <c r="H1735" s="3" t="s">
        <v>523</v>
      </c>
      <c r="I1735" s="3"/>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t="s">
        <v>2276</v>
      </c>
      <c r="AB1735" s="3" t="s">
        <v>2276</v>
      </c>
      <c r="AC1735" s="3"/>
      <c r="AD1735" s="3"/>
    </row>
    <row r="1736" spans="1:30" ht="50" customHeight="1">
      <c r="A1736" s="19" t="s">
        <v>5223</v>
      </c>
      <c r="B1736" s="19" t="s">
        <v>5229</v>
      </c>
      <c r="C1736" s="4" t="s">
        <v>24</v>
      </c>
      <c r="D1736" s="3" t="s">
        <v>1245</v>
      </c>
      <c r="E1736" s="3" t="s">
        <v>116</v>
      </c>
      <c r="F1736" s="4" t="s">
        <v>55</v>
      </c>
      <c r="G1736" s="3" t="s">
        <v>2276</v>
      </c>
      <c r="H1736" s="3" t="s">
        <v>523</v>
      </c>
      <c r="I1736" s="3"/>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t="s">
        <v>2276</v>
      </c>
      <c r="AB1736" s="3" t="s">
        <v>2276</v>
      </c>
      <c r="AC1736" s="3"/>
      <c r="AD1736" s="3"/>
    </row>
    <row r="1737" spans="1:30" ht="50" customHeight="1">
      <c r="A1737" s="19" t="s">
        <v>5223</v>
      </c>
      <c r="B1737" s="19" t="s">
        <v>5230</v>
      </c>
      <c r="C1737" s="4" t="s">
        <v>24</v>
      </c>
      <c r="D1737" s="3" t="s">
        <v>3480</v>
      </c>
      <c r="E1737" s="3" t="s">
        <v>116</v>
      </c>
      <c r="F1737" s="4" t="s">
        <v>74</v>
      </c>
      <c r="G1737" s="3" t="s">
        <v>2276</v>
      </c>
      <c r="H1737" s="3" t="s">
        <v>523</v>
      </c>
      <c r="I1737" s="3"/>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t="s">
        <v>2276</v>
      </c>
      <c r="AB1737" s="3" t="s">
        <v>2276</v>
      </c>
      <c r="AC1737" s="3"/>
      <c r="AD1737" s="3"/>
    </row>
    <row r="1738" spans="1:30" ht="50" customHeight="1">
      <c r="A1738" s="19" t="s">
        <v>5223</v>
      </c>
      <c r="B1738" s="19" t="s">
        <v>5231</v>
      </c>
      <c r="C1738" s="4" t="s">
        <v>24</v>
      </c>
      <c r="D1738" s="3" t="s">
        <v>4162</v>
      </c>
      <c r="E1738" s="3" t="s">
        <v>863</v>
      </c>
      <c r="F1738" s="4" t="s">
        <v>74</v>
      </c>
      <c r="G1738" s="3" t="s">
        <v>2276</v>
      </c>
      <c r="H1738" s="3" t="s">
        <v>523</v>
      </c>
      <c r="I1738" s="3"/>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t="s">
        <v>2276</v>
      </c>
      <c r="AB1738" s="3" t="s">
        <v>2276</v>
      </c>
      <c r="AC1738" s="3"/>
      <c r="AD1738" s="3"/>
    </row>
    <row r="1739" spans="1:30" ht="45.5" customHeight="1">
      <c r="A1739" s="3" t="s">
        <v>5234</v>
      </c>
      <c r="B1739" s="3" t="s">
        <v>5251</v>
      </c>
      <c r="C1739" s="4" t="s">
        <v>24</v>
      </c>
      <c r="D1739" s="3" t="s">
        <v>25</v>
      </c>
      <c r="E1739" s="3" t="s">
        <v>5005</v>
      </c>
      <c r="F1739" s="4" t="s">
        <v>74</v>
      </c>
      <c r="G1739" s="4" t="s">
        <v>74</v>
      </c>
      <c r="H1739" s="3" t="s">
        <v>523</v>
      </c>
      <c r="I1739" s="3"/>
      <c r="J1739" s="3" t="s">
        <v>2276</v>
      </c>
      <c r="K1739" s="3" t="s">
        <v>2276</v>
      </c>
      <c r="L1739" s="3" t="s">
        <v>2276</v>
      </c>
      <c r="M1739" s="3" t="s">
        <v>2276</v>
      </c>
      <c r="N1739" s="3" t="s">
        <v>2276</v>
      </c>
      <c r="O1739" s="3" t="s">
        <v>2276</v>
      </c>
      <c r="P1739" s="3" t="s">
        <v>2276</v>
      </c>
      <c r="Q1739" s="3" t="s">
        <v>2276</v>
      </c>
      <c r="R1739" s="3" t="s">
        <v>2276</v>
      </c>
      <c r="S1739" s="3" t="s">
        <v>2276</v>
      </c>
      <c r="T1739" s="3" t="s">
        <v>2276</v>
      </c>
      <c r="U1739" s="3" t="s">
        <v>2276</v>
      </c>
      <c r="V1739" s="3" t="s">
        <v>2276</v>
      </c>
      <c r="W1739" s="3" t="s">
        <v>2276</v>
      </c>
      <c r="X1739" s="3" t="s">
        <v>2276</v>
      </c>
      <c r="Y1739" s="3" t="s">
        <v>2276</v>
      </c>
      <c r="Z1739" s="3" t="s">
        <v>2276</v>
      </c>
      <c r="AA1739" s="3" t="s">
        <v>2276</v>
      </c>
      <c r="AB1739" s="3" t="s">
        <v>2276</v>
      </c>
      <c r="AC1739" s="3"/>
      <c r="AD1739" s="4" t="s">
        <v>5336</v>
      </c>
    </row>
    <row r="1740" spans="1:30" ht="45.5" customHeight="1">
      <c r="A1740" s="3" t="s">
        <v>5234</v>
      </c>
      <c r="B1740" s="3" t="s">
        <v>5252</v>
      </c>
      <c r="C1740" s="4" t="s">
        <v>24</v>
      </c>
      <c r="D1740" s="3" t="s">
        <v>3480</v>
      </c>
      <c r="E1740" s="3" t="s">
        <v>116</v>
      </c>
      <c r="F1740" s="4" t="s">
        <v>74</v>
      </c>
      <c r="G1740" s="4" t="s">
        <v>74</v>
      </c>
      <c r="H1740" s="3" t="s">
        <v>523</v>
      </c>
      <c r="I1740" s="3"/>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t="s">
        <v>2276</v>
      </c>
      <c r="AB1740" s="3" t="s">
        <v>2276</v>
      </c>
      <c r="AC1740" s="3"/>
      <c r="AD1740" s="3"/>
    </row>
    <row r="1741" spans="1:30" ht="45.5" customHeight="1">
      <c r="A1741" s="3" t="s">
        <v>5234</v>
      </c>
      <c r="B1741" s="3" t="s">
        <v>5253</v>
      </c>
      <c r="C1741" s="4" t="s">
        <v>24</v>
      </c>
      <c r="D1741" s="3" t="s">
        <v>1245</v>
      </c>
      <c r="E1741" s="3" t="s">
        <v>116</v>
      </c>
      <c r="F1741" s="4" t="s">
        <v>74</v>
      </c>
      <c r="G1741" s="4" t="s">
        <v>74</v>
      </c>
      <c r="H1741" s="3" t="s">
        <v>523</v>
      </c>
      <c r="I1741" s="3"/>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t="s">
        <v>2276</v>
      </c>
      <c r="AB1741" s="3" t="s">
        <v>2276</v>
      </c>
      <c r="AC1741" s="3"/>
      <c r="AD1741" s="3"/>
    </row>
    <row r="1742" spans="1:30" ht="45.5" customHeight="1">
      <c r="A1742" s="3" t="s">
        <v>5234</v>
      </c>
      <c r="B1742" s="3" t="s">
        <v>5254</v>
      </c>
      <c r="C1742" s="4" t="s">
        <v>24</v>
      </c>
      <c r="D1742" s="3" t="s">
        <v>4162</v>
      </c>
      <c r="E1742" s="3" t="s">
        <v>863</v>
      </c>
      <c r="F1742" s="4" t="s">
        <v>74</v>
      </c>
      <c r="G1742" s="4" t="s">
        <v>74</v>
      </c>
      <c r="H1742" s="3" t="s">
        <v>523</v>
      </c>
      <c r="I1742" s="3"/>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t="s">
        <v>2276</v>
      </c>
      <c r="AB1742" s="3" t="s">
        <v>2276</v>
      </c>
      <c r="AC1742" s="3"/>
      <c r="AD1742" s="3"/>
    </row>
    <row r="1743" spans="1:30" ht="45.5" customHeight="1">
      <c r="A1743" s="3" t="s">
        <v>5234</v>
      </c>
      <c r="B1743" s="3" t="s">
        <v>5255</v>
      </c>
      <c r="C1743" s="4" t="s">
        <v>24</v>
      </c>
      <c r="D1743" s="3" t="s">
        <v>2346</v>
      </c>
      <c r="E1743" s="3" t="s">
        <v>2276</v>
      </c>
      <c r="F1743" s="4" t="s">
        <v>2276</v>
      </c>
      <c r="G1743" s="4" t="s">
        <v>74</v>
      </c>
      <c r="H1743" s="3" t="s">
        <v>523</v>
      </c>
      <c r="I1743" s="3"/>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t="s">
        <v>2276</v>
      </c>
      <c r="AB1743" s="3" t="s">
        <v>2276</v>
      </c>
      <c r="AC1743" s="3"/>
      <c r="AD1743" s="3"/>
    </row>
    <row r="1744" spans="1:30" ht="45.5" customHeight="1">
      <c r="A1744" s="3" t="s">
        <v>5234</v>
      </c>
      <c r="B1744" s="3" t="s">
        <v>5256</v>
      </c>
      <c r="C1744" s="4" t="s">
        <v>24</v>
      </c>
      <c r="D1744" s="3" t="s">
        <v>27</v>
      </c>
      <c r="E1744" s="3" t="s">
        <v>130</v>
      </c>
      <c r="F1744" s="4" t="s">
        <v>74</v>
      </c>
      <c r="G1744" s="3" t="s">
        <v>2276</v>
      </c>
      <c r="H1744" s="3" t="s">
        <v>523</v>
      </c>
      <c r="I1744" s="3"/>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t="s">
        <v>2276</v>
      </c>
      <c r="AB1744" s="3" t="s">
        <v>2276</v>
      </c>
      <c r="AC1744" s="3"/>
      <c r="AD1744" s="3"/>
    </row>
    <row r="1745" spans="1:30" ht="45.5" customHeight="1">
      <c r="A1745" s="3" t="s">
        <v>5234</v>
      </c>
      <c r="B1745" s="3" t="s">
        <v>5257</v>
      </c>
      <c r="C1745" s="3" t="s">
        <v>2458</v>
      </c>
      <c r="D1745" s="3" t="s">
        <v>3476</v>
      </c>
      <c r="E1745" s="3" t="s">
        <v>2276</v>
      </c>
      <c r="F1745" s="4" t="s">
        <v>2276</v>
      </c>
      <c r="G1745" s="4" t="s">
        <v>74</v>
      </c>
      <c r="H1745" s="3" t="s">
        <v>523</v>
      </c>
      <c r="I1745" s="3"/>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t="s">
        <v>2276</v>
      </c>
      <c r="AB1745" s="3" t="s">
        <v>2276</v>
      </c>
      <c r="AC1745" s="3"/>
      <c r="AD1745" s="3"/>
    </row>
    <row r="1746" spans="1:30" ht="45.5" customHeight="1">
      <c r="A1746" s="3" t="s">
        <v>5234</v>
      </c>
      <c r="B1746" s="3" t="s">
        <v>5258</v>
      </c>
      <c r="C1746" s="3" t="s">
        <v>31</v>
      </c>
      <c r="D1746" s="3" t="s">
        <v>2276</v>
      </c>
      <c r="E1746" s="3" t="s">
        <v>1105</v>
      </c>
      <c r="F1746" s="4" t="s">
        <v>2276</v>
      </c>
      <c r="G1746" s="4" t="s">
        <v>74</v>
      </c>
      <c r="H1746" s="3" t="s">
        <v>523</v>
      </c>
      <c r="I1746" s="3"/>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t="s">
        <v>2276</v>
      </c>
      <c r="AB1746" s="3" t="s">
        <v>2276</v>
      </c>
      <c r="AC1746" s="3"/>
      <c r="AD1746" s="3"/>
    </row>
    <row r="1747" spans="1:30" ht="45.5" customHeight="1">
      <c r="A1747" s="3" t="s">
        <v>5234</v>
      </c>
      <c r="B1747" s="3" t="s">
        <v>5259</v>
      </c>
      <c r="C1747" s="3" t="s">
        <v>2458</v>
      </c>
      <c r="D1747" s="3" t="s">
        <v>406</v>
      </c>
      <c r="E1747" s="3" t="s">
        <v>1105</v>
      </c>
      <c r="F1747" s="4" t="s">
        <v>2276</v>
      </c>
      <c r="G1747" s="4" t="s">
        <v>74</v>
      </c>
      <c r="H1747" s="3" t="s">
        <v>523</v>
      </c>
      <c r="I1747" s="3"/>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t="s">
        <v>2276</v>
      </c>
      <c r="AB1747" s="3" t="s">
        <v>2276</v>
      </c>
      <c r="AC1747" s="3"/>
      <c r="AD1747" s="3"/>
    </row>
    <row r="1748" spans="1:30" ht="45.5" customHeight="1">
      <c r="A1748" s="3" t="s">
        <v>5234</v>
      </c>
      <c r="B1748" s="3" t="s">
        <v>5260</v>
      </c>
      <c r="C1748" s="3" t="s">
        <v>2458</v>
      </c>
      <c r="D1748" s="3" t="s">
        <v>2994</v>
      </c>
      <c r="E1748" s="3" t="s">
        <v>1105</v>
      </c>
      <c r="F1748" s="4" t="s">
        <v>2276</v>
      </c>
      <c r="G1748" s="4" t="s">
        <v>74</v>
      </c>
      <c r="H1748" s="3" t="s">
        <v>523</v>
      </c>
      <c r="I1748" s="3"/>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t="s">
        <v>2276</v>
      </c>
      <c r="AB1748" s="3" t="s">
        <v>2276</v>
      </c>
      <c r="AC1748" s="3"/>
      <c r="AD1748" s="3"/>
    </row>
    <row r="1749" spans="1:30" ht="45.5" customHeight="1">
      <c r="A1749" s="3" t="s">
        <v>5236</v>
      </c>
      <c r="B1749" s="3" t="s">
        <v>5263</v>
      </c>
      <c r="C1749" s="4" t="s">
        <v>24</v>
      </c>
      <c r="D1749" s="3" t="s">
        <v>25</v>
      </c>
      <c r="E1749" s="3" t="s">
        <v>5005</v>
      </c>
      <c r="F1749" s="4" t="s">
        <v>74</v>
      </c>
      <c r="G1749" s="4" t="s">
        <v>74</v>
      </c>
      <c r="H1749" s="3" t="s">
        <v>523</v>
      </c>
      <c r="I1749" s="3"/>
      <c r="J1749" s="3" t="s">
        <v>2276</v>
      </c>
      <c r="K1749" s="3" t="s">
        <v>2276</v>
      </c>
      <c r="L1749" s="3" t="s">
        <v>2276</v>
      </c>
      <c r="M1749" s="3" t="s">
        <v>2276</v>
      </c>
      <c r="N1749" s="3" t="s">
        <v>2276</v>
      </c>
      <c r="O1749" s="3" t="s">
        <v>2276</v>
      </c>
      <c r="P1749" s="3" t="s">
        <v>2276</v>
      </c>
      <c r="Q1749" s="3" t="s">
        <v>2276</v>
      </c>
      <c r="R1749" s="3" t="s">
        <v>2276</v>
      </c>
      <c r="S1749" s="3" t="s">
        <v>2276</v>
      </c>
      <c r="T1749" s="3" t="s">
        <v>2276</v>
      </c>
      <c r="U1749" s="3" t="s">
        <v>2276</v>
      </c>
      <c r="V1749" s="3" t="s">
        <v>2276</v>
      </c>
      <c r="W1749" s="3" t="s">
        <v>2276</v>
      </c>
      <c r="X1749" s="3" t="s">
        <v>2276</v>
      </c>
      <c r="Y1749" s="3" t="s">
        <v>2276</v>
      </c>
      <c r="Z1749" s="3" t="s">
        <v>2276</v>
      </c>
      <c r="AA1749" s="3" t="s">
        <v>2276</v>
      </c>
      <c r="AB1749" s="3" t="s">
        <v>2276</v>
      </c>
      <c r="AC1749" s="3"/>
      <c r="AD1749" s="4" t="s">
        <v>5336</v>
      </c>
    </row>
    <row r="1750" spans="1:30" ht="45.5" customHeight="1">
      <c r="A1750" s="3" t="s">
        <v>5236</v>
      </c>
      <c r="B1750" s="3" t="s">
        <v>5264</v>
      </c>
      <c r="C1750" s="4" t="s">
        <v>24</v>
      </c>
      <c r="D1750" s="3" t="s">
        <v>3480</v>
      </c>
      <c r="E1750" s="3" t="s">
        <v>116</v>
      </c>
      <c r="F1750" s="4" t="s">
        <v>74</v>
      </c>
      <c r="G1750" s="4" t="s">
        <v>74</v>
      </c>
      <c r="H1750" s="3" t="s">
        <v>523</v>
      </c>
      <c r="I1750" s="3"/>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t="s">
        <v>2276</v>
      </c>
      <c r="AB1750" s="3" t="s">
        <v>2276</v>
      </c>
      <c r="AC1750" s="3"/>
      <c r="AD1750" s="3"/>
    </row>
    <row r="1751" spans="1:30" ht="45.5" customHeight="1">
      <c r="A1751" s="3" t="s">
        <v>5236</v>
      </c>
      <c r="B1751" s="3" t="s">
        <v>5265</v>
      </c>
      <c r="C1751" s="4" t="s">
        <v>24</v>
      </c>
      <c r="D1751" s="3" t="s">
        <v>1245</v>
      </c>
      <c r="E1751" s="3" t="s">
        <v>116</v>
      </c>
      <c r="F1751" s="4" t="s">
        <v>74</v>
      </c>
      <c r="G1751" s="4" t="s">
        <v>74</v>
      </c>
      <c r="H1751" s="3" t="s">
        <v>523</v>
      </c>
      <c r="I1751" s="3"/>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t="s">
        <v>2276</v>
      </c>
      <c r="AB1751" s="3" t="s">
        <v>2276</v>
      </c>
      <c r="AC1751" s="3"/>
      <c r="AD1751" s="3"/>
    </row>
    <row r="1752" spans="1:30" ht="45.5" customHeight="1">
      <c r="A1752" s="3" t="s">
        <v>5236</v>
      </c>
      <c r="B1752" s="3" t="s">
        <v>5266</v>
      </c>
      <c r="C1752" s="4" t="s">
        <v>24</v>
      </c>
      <c r="D1752" s="3" t="s">
        <v>4162</v>
      </c>
      <c r="E1752" s="3" t="s">
        <v>863</v>
      </c>
      <c r="F1752" s="4" t="s">
        <v>74</v>
      </c>
      <c r="G1752" s="4" t="s">
        <v>74</v>
      </c>
      <c r="H1752" s="3" t="s">
        <v>523</v>
      </c>
      <c r="I1752" s="3"/>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t="s">
        <v>2276</v>
      </c>
      <c r="AB1752" s="3" t="s">
        <v>2276</v>
      </c>
      <c r="AC1752" s="3"/>
      <c r="AD1752" s="3"/>
    </row>
    <row r="1753" spans="1:30" ht="45.5" customHeight="1">
      <c r="A1753" s="3" t="s">
        <v>5236</v>
      </c>
      <c r="B1753" s="3" t="s">
        <v>5267</v>
      </c>
      <c r="C1753" s="4" t="s">
        <v>24</v>
      </c>
      <c r="D1753" s="3" t="s">
        <v>2346</v>
      </c>
      <c r="E1753" s="3" t="s">
        <v>2276</v>
      </c>
      <c r="F1753" s="4" t="s">
        <v>2276</v>
      </c>
      <c r="G1753" s="4" t="s">
        <v>74</v>
      </c>
      <c r="H1753" s="3" t="s">
        <v>523</v>
      </c>
      <c r="I1753" s="3"/>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t="s">
        <v>2276</v>
      </c>
      <c r="AB1753" s="3" t="s">
        <v>2276</v>
      </c>
      <c r="AC1753" s="3"/>
      <c r="AD1753" s="3"/>
    </row>
    <row r="1754" spans="1:30" ht="45.5" customHeight="1">
      <c r="A1754" s="3" t="s">
        <v>5236</v>
      </c>
      <c r="B1754" s="3" t="s">
        <v>5268</v>
      </c>
      <c r="C1754" s="4" t="s">
        <v>24</v>
      </c>
      <c r="D1754" s="3" t="s">
        <v>27</v>
      </c>
      <c r="E1754" s="3" t="s">
        <v>130</v>
      </c>
      <c r="F1754" s="4" t="s">
        <v>74</v>
      </c>
      <c r="G1754" s="3" t="s">
        <v>2276</v>
      </c>
      <c r="H1754" s="3" t="s">
        <v>523</v>
      </c>
      <c r="I1754" s="3"/>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t="s">
        <v>2276</v>
      </c>
      <c r="AB1754" s="3" t="s">
        <v>2276</v>
      </c>
      <c r="AC1754" s="3"/>
      <c r="AD1754" s="3"/>
    </row>
    <row r="1755" spans="1:30" ht="45.5" customHeight="1">
      <c r="A1755" s="3" t="s">
        <v>5236</v>
      </c>
      <c r="B1755" s="3" t="s">
        <v>5269</v>
      </c>
      <c r="C1755" s="3" t="s">
        <v>2458</v>
      </c>
      <c r="D1755" s="3" t="s">
        <v>3476</v>
      </c>
      <c r="E1755" s="3" t="s">
        <v>2276</v>
      </c>
      <c r="F1755" s="4" t="s">
        <v>2276</v>
      </c>
      <c r="G1755" s="4" t="s">
        <v>74</v>
      </c>
      <c r="H1755" s="3" t="s">
        <v>523</v>
      </c>
      <c r="I1755" s="3"/>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t="s">
        <v>2276</v>
      </c>
      <c r="AB1755" s="3" t="s">
        <v>2276</v>
      </c>
      <c r="AC1755" s="3"/>
      <c r="AD1755" s="3"/>
    </row>
    <row r="1756" spans="1:30" ht="45.5" customHeight="1">
      <c r="A1756" s="3" t="s">
        <v>5236</v>
      </c>
      <c r="B1756" s="3" t="s">
        <v>5270</v>
      </c>
      <c r="C1756" s="3" t="s">
        <v>31</v>
      </c>
      <c r="D1756" s="3" t="s">
        <v>2276</v>
      </c>
      <c r="E1756" s="3" t="s">
        <v>1105</v>
      </c>
      <c r="F1756" s="4" t="s">
        <v>2276</v>
      </c>
      <c r="G1756" s="4" t="s">
        <v>74</v>
      </c>
      <c r="H1756" s="3" t="s">
        <v>523</v>
      </c>
      <c r="I1756" s="3"/>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t="s">
        <v>2276</v>
      </c>
      <c r="AB1756" s="3" t="s">
        <v>2276</v>
      </c>
      <c r="AC1756" s="3"/>
      <c r="AD1756" s="3"/>
    </row>
    <row r="1757" spans="1:30" ht="45.5" customHeight="1">
      <c r="A1757" s="3" t="s">
        <v>5236</v>
      </c>
      <c r="B1757" s="3" t="s">
        <v>5271</v>
      </c>
      <c r="C1757" s="3" t="s">
        <v>2458</v>
      </c>
      <c r="D1757" s="3" t="s">
        <v>406</v>
      </c>
      <c r="E1757" s="3" t="s">
        <v>1105</v>
      </c>
      <c r="F1757" s="4" t="s">
        <v>2276</v>
      </c>
      <c r="G1757" s="4" t="s">
        <v>74</v>
      </c>
      <c r="H1757" s="3" t="s">
        <v>523</v>
      </c>
      <c r="I1757" s="3"/>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t="s">
        <v>2276</v>
      </c>
      <c r="AB1757" s="3" t="s">
        <v>2276</v>
      </c>
      <c r="AC1757" s="3"/>
      <c r="AD1757" s="3"/>
    </row>
    <row r="1758" spans="1:30" ht="45.5" customHeight="1">
      <c r="A1758" s="3" t="s">
        <v>5236</v>
      </c>
      <c r="B1758" s="3" t="s">
        <v>5272</v>
      </c>
      <c r="C1758" s="3" t="s">
        <v>2458</v>
      </c>
      <c r="D1758" s="3" t="s">
        <v>2994</v>
      </c>
      <c r="E1758" s="3" t="s">
        <v>1105</v>
      </c>
      <c r="F1758" s="4" t="s">
        <v>2276</v>
      </c>
      <c r="G1758" s="4" t="s">
        <v>74</v>
      </c>
      <c r="H1758" s="3" t="s">
        <v>523</v>
      </c>
      <c r="I1758" s="3"/>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t="s">
        <v>2276</v>
      </c>
      <c r="AB1758" s="3" t="s">
        <v>2276</v>
      </c>
      <c r="AC1758" s="3"/>
      <c r="AD1758" s="3"/>
    </row>
    <row r="1759" spans="1:30" ht="45.5" customHeight="1">
      <c r="A1759" s="3" t="s">
        <v>5237</v>
      </c>
      <c r="B1759" s="3" t="s">
        <v>5273</v>
      </c>
      <c r="C1759" s="4" t="s">
        <v>24</v>
      </c>
      <c r="D1759" s="3" t="s">
        <v>25</v>
      </c>
      <c r="E1759" s="3" t="s">
        <v>5005</v>
      </c>
      <c r="F1759" s="4" t="s">
        <v>74</v>
      </c>
      <c r="G1759" s="4" t="s">
        <v>74</v>
      </c>
      <c r="H1759" s="3" t="s">
        <v>523</v>
      </c>
      <c r="I1759" s="3"/>
      <c r="J1759" s="3" t="s">
        <v>2276</v>
      </c>
      <c r="K1759" s="3" t="s">
        <v>2276</v>
      </c>
      <c r="L1759" s="3" t="s">
        <v>2276</v>
      </c>
      <c r="M1759" s="3" t="s">
        <v>2276</v>
      </c>
      <c r="N1759" s="3" t="s">
        <v>2276</v>
      </c>
      <c r="O1759" s="3" t="s">
        <v>2276</v>
      </c>
      <c r="P1759" s="3" t="s">
        <v>2276</v>
      </c>
      <c r="Q1759" s="3" t="s">
        <v>2276</v>
      </c>
      <c r="R1759" s="3" t="s">
        <v>2276</v>
      </c>
      <c r="S1759" s="3" t="s">
        <v>2276</v>
      </c>
      <c r="T1759" s="3" t="s">
        <v>2276</v>
      </c>
      <c r="U1759" s="3" t="s">
        <v>2276</v>
      </c>
      <c r="V1759" s="3" t="s">
        <v>2276</v>
      </c>
      <c r="W1759" s="3" t="s">
        <v>2276</v>
      </c>
      <c r="X1759" s="3" t="s">
        <v>2276</v>
      </c>
      <c r="Y1759" s="3" t="s">
        <v>2276</v>
      </c>
      <c r="Z1759" s="3" t="s">
        <v>2276</v>
      </c>
      <c r="AA1759" s="3" t="s">
        <v>2276</v>
      </c>
      <c r="AB1759" s="3" t="s">
        <v>2276</v>
      </c>
      <c r="AC1759" s="3"/>
      <c r="AD1759" s="4" t="s">
        <v>5336</v>
      </c>
    </row>
    <row r="1760" spans="1:30" ht="45.5" customHeight="1">
      <c r="A1760" s="3" t="s">
        <v>5237</v>
      </c>
      <c r="B1760" s="3" t="s">
        <v>5274</v>
      </c>
      <c r="C1760" s="4" t="s">
        <v>24</v>
      </c>
      <c r="D1760" s="3" t="s">
        <v>3480</v>
      </c>
      <c r="E1760" s="3" t="s">
        <v>116</v>
      </c>
      <c r="F1760" s="4" t="s">
        <v>74</v>
      </c>
      <c r="G1760" s="4" t="s">
        <v>74</v>
      </c>
      <c r="H1760" s="3" t="s">
        <v>523</v>
      </c>
      <c r="I1760" s="3"/>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t="s">
        <v>2276</v>
      </c>
      <c r="AB1760" s="3" t="s">
        <v>2276</v>
      </c>
      <c r="AC1760" s="3"/>
      <c r="AD1760" s="3"/>
    </row>
    <row r="1761" spans="1:30" ht="45.5" customHeight="1">
      <c r="A1761" s="3" t="s">
        <v>5237</v>
      </c>
      <c r="B1761" s="3" t="s">
        <v>5275</v>
      </c>
      <c r="C1761" s="4" t="s">
        <v>24</v>
      </c>
      <c r="D1761" s="3" t="s">
        <v>1245</v>
      </c>
      <c r="E1761" s="3" t="s">
        <v>116</v>
      </c>
      <c r="F1761" s="4" t="s">
        <v>74</v>
      </c>
      <c r="G1761" s="4" t="s">
        <v>74</v>
      </c>
      <c r="H1761" s="3" t="s">
        <v>523</v>
      </c>
      <c r="I1761" s="3"/>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t="s">
        <v>2276</v>
      </c>
      <c r="AB1761" s="3" t="s">
        <v>2276</v>
      </c>
      <c r="AC1761" s="3"/>
      <c r="AD1761" s="3"/>
    </row>
    <row r="1762" spans="1:30" ht="45.5" customHeight="1">
      <c r="A1762" s="3" t="s">
        <v>5237</v>
      </c>
      <c r="B1762" s="3" t="s">
        <v>5276</v>
      </c>
      <c r="C1762" s="4" t="s">
        <v>24</v>
      </c>
      <c r="D1762" s="3" t="s">
        <v>4162</v>
      </c>
      <c r="E1762" s="3" t="s">
        <v>863</v>
      </c>
      <c r="F1762" s="4" t="s">
        <v>74</v>
      </c>
      <c r="G1762" s="4" t="s">
        <v>74</v>
      </c>
      <c r="H1762" s="3" t="s">
        <v>523</v>
      </c>
      <c r="I1762" s="3"/>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t="s">
        <v>2276</v>
      </c>
      <c r="AB1762" s="3" t="s">
        <v>2276</v>
      </c>
      <c r="AC1762" s="3"/>
      <c r="AD1762" s="3"/>
    </row>
    <row r="1763" spans="1:30" ht="45.5" customHeight="1">
      <c r="A1763" s="3" t="s">
        <v>5237</v>
      </c>
      <c r="B1763" s="3" t="s">
        <v>5277</v>
      </c>
      <c r="C1763" s="4" t="s">
        <v>24</v>
      </c>
      <c r="D1763" s="3" t="s">
        <v>2346</v>
      </c>
      <c r="E1763" s="3" t="s">
        <v>2276</v>
      </c>
      <c r="F1763" s="4" t="s">
        <v>2276</v>
      </c>
      <c r="G1763" s="4" t="s">
        <v>74</v>
      </c>
      <c r="H1763" s="3" t="s">
        <v>523</v>
      </c>
      <c r="I1763" s="3"/>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t="s">
        <v>2276</v>
      </c>
      <c r="AB1763" s="3" t="s">
        <v>2276</v>
      </c>
      <c r="AC1763" s="3"/>
      <c r="AD1763" s="3"/>
    </row>
    <row r="1764" spans="1:30" ht="45.5" customHeight="1">
      <c r="A1764" s="3" t="s">
        <v>5237</v>
      </c>
      <c r="B1764" s="3" t="s">
        <v>5278</v>
      </c>
      <c r="C1764" s="4" t="s">
        <v>24</v>
      </c>
      <c r="D1764" s="3" t="s">
        <v>27</v>
      </c>
      <c r="E1764" s="3" t="s">
        <v>130</v>
      </c>
      <c r="F1764" s="4" t="s">
        <v>74</v>
      </c>
      <c r="G1764" s="3" t="s">
        <v>2276</v>
      </c>
      <c r="H1764" s="3" t="s">
        <v>523</v>
      </c>
      <c r="I1764" s="3"/>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t="s">
        <v>2276</v>
      </c>
      <c r="AB1764" s="3" t="s">
        <v>2276</v>
      </c>
      <c r="AC1764" s="3"/>
      <c r="AD1764" s="3"/>
    </row>
    <row r="1765" spans="1:30" ht="45.5" customHeight="1">
      <c r="A1765" s="3" t="s">
        <v>5237</v>
      </c>
      <c r="B1765" s="3" t="s">
        <v>5279</v>
      </c>
      <c r="C1765" s="3" t="s">
        <v>2458</v>
      </c>
      <c r="D1765" s="3" t="s">
        <v>3476</v>
      </c>
      <c r="E1765" s="3" t="s">
        <v>2276</v>
      </c>
      <c r="F1765" s="4" t="s">
        <v>2276</v>
      </c>
      <c r="G1765" s="4" t="s">
        <v>74</v>
      </c>
      <c r="H1765" s="3" t="s">
        <v>523</v>
      </c>
      <c r="I1765" s="3"/>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t="s">
        <v>2276</v>
      </c>
      <c r="AB1765" s="3" t="s">
        <v>2276</v>
      </c>
      <c r="AC1765" s="3"/>
      <c r="AD1765" s="3"/>
    </row>
    <row r="1766" spans="1:30" ht="45.5" customHeight="1">
      <c r="A1766" s="3" t="s">
        <v>5237</v>
      </c>
      <c r="B1766" s="3" t="s">
        <v>5280</v>
      </c>
      <c r="C1766" s="3" t="s">
        <v>31</v>
      </c>
      <c r="D1766" s="3" t="s">
        <v>2276</v>
      </c>
      <c r="E1766" s="3" t="s">
        <v>1105</v>
      </c>
      <c r="F1766" s="4" t="s">
        <v>2276</v>
      </c>
      <c r="G1766" s="4" t="s">
        <v>74</v>
      </c>
      <c r="H1766" s="3" t="s">
        <v>523</v>
      </c>
      <c r="I1766" s="3"/>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t="s">
        <v>2276</v>
      </c>
      <c r="AB1766" s="3" t="s">
        <v>2276</v>
      </c>
      <c r="AC1766" s="3"/>
      <c r="AD1766" s="3"/>
    </row>
    <row r="1767" spans="1:30" ht="45.5" customHeight="1">
      <c r="A1767" s="3" t="s">
        <v>5237</v>
      </c>
      <c r="B1767" s="3" t="s">
        <v>5281</v>
      </c>
      <c r="C1767" s="3" t="s">
        <v>2458</v>
      </c>
      <c r="D1767" s="3" t="s">
        <v>406</v>
      </c>
      <c r="E1767" s="3" t="s">
        <v>1105</v>
      </c>
      <c r="F1767" s="4" t="s">
        <v>2276</v>
      </c>
      <c r="G1767" s="4" t="s">
        <v>74</v>
      </c>
      <c r="H1767" s="3" t="s">
        <v>523</v>
      </c>
      <c r="I1767" s="3"/>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t="s">
        <v>2276</v>
      </c>
      <c r="AB1767" s="3" t="s">
        <v>2276</v>
      </c>
      <c r="AC1767" s="3"/>
      <c r="AD1767" s="3"/>
    </row>
    <row r="1768" spans="1:30" ht="45.5" customHeight="1">
      <c r="A1768" s="3" t="s">
        <v>5237</v>
      </c>
      <c r="B1768" s="3" t="s">
        <v>5282</v>
      </c>
      <c r="C1768" s="3" t="s">
        <v>2458</v>
      </c>
      <c r="D1768" s="3" t="s">
        <v>2994</v>
      </c>
      <c r="E1768" s="3" t="s">
        <v>1105</v>
      </c>
      <c r="F1768" s="4" t="s">
        <v>2276</v>
      </c>
      <c r="G1768" s="4" t="s">
        <v>74</v>
      </c>
      <c r="H1768" s="3" t="s">
        <v>523</v>
      </c>
      <c r="I1768" s="3"/>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t="s">
        <v>2276</v>
      </c>
      <c r="AB1768" s="3" t="s">
        <v>2276</v>
      </c>
      <c r="AC1768" s="3"/>
      <c r="AD1768" s="3"/>
    </row>
    <row r="1769" spans="1:30" ht="45.5" customHeight="1">
      <c r="A1769" s="3" t="s">
        <v>5238</v>
      </c>
      <c r="B1769" s="3" t="s">
        <v>5283</v>
      </c>
      <c r="C1769" s="4" t="s">
        <v>24</v>
      </c>
      <c r="D1769" s="3" t="s">
        <v>25</v>
      </c>
      <c r="E1769" s="3" t="s">
        <v>5005</v>
      </c>
      <c r="F1769" s="4" t="s">
        <v>74</v>
      </c>
      <c r="G1769" s="4" t="s">
        <v>74</v>
      </c>
      <c r="H1769" s="3" t="s">
        <v>523</v>
      </c>
      <c r="I1769" s="3"/>
      <c r="J1769" s="3" t="s">
        <v>2276</v>
      </c>
      <c r="K1769" s="3" t="s">
        <v>2276</v>
      </c>
      <c r="L1769" s="3" t="s">
        <v>2276</v>
      </c>
      <c r="M1769" s="3" t="s">
        <v>2276</v>
      </c>
      <c r="N1769" s="3" t="s">
        <v>2276</v>
      </c>
      <c r="O1769" s="3" t="s">
        <v>2276</v>
      </c>
      <c r="P1769" s="3" t="s">
        <v>2276</v>
      </c>
      <c r="Q1769" s="3" t="s">
        <v>2276</v>
      </c>
      <c r="R1769" s="3" t="s">
        <v>2276</v>
      </c>
      <c r="S1769" s="3" t="s">
        <v>2276</v>
      </c>
      <c r="T1769" s="3" t="s">
        <v>2276</v>
      </c>
      <c r="U1769" s="3" t="s">
        <v>2276</v>
      </c>
      <c r="V1769" s="3" t="s">
        <v>2276</v>
      </c>
      <c r="W1769" s="3" t="s">
        <v>2276</v>
      </c>
      <c r="X1769" s="3" t="s">
        <v>2276</v>
      </c>
      <c r="Y1769" s="3" t="s">
        <v>2276</v>
      </c>
      <c r="Z1769" s="3" t="s">
        <v>2276</v>
      </c>
      <c r="AA1769" s="3" t="s">
        <v>2276</v>
      </c>
      <c r="AB1769" s="3" t="s">
        <v>2276</v>
      </c>
      <c r="AC1769" s="3"/>
      <c r="AD1769" s="4" t="s">
        <v>5336</v>
      </c>
    </row>
    <row r="1770" spans="1:30" ht="45.5" customHeight="1">
      <c r="A1770" s="3" t="s">
        <v>5238</v>
      </c>
      <c r="B1770" s="3" t="s">
        <v>5284</v>
      </c>
      <c r="C1770" s="4" t="s">
        <v>24</v>
      </c>
      <c r="D1770" s="3" t="s">
        <v>3480</v>
      </c>
      <c r="E1770" s="3" t="s">
        <v>116</v>
      </c>
      <c r="F1770" s="4" t="s">
        <v>74</v>
      </c>
      <c r="G1770" s="4" t="s">
        <v>74</v>
      </c>
      <c r="H1770" s="3" t="s">
        <v>523</v>
      </c>
      <c r="I1770" s="3"/>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t="s">
        <v>2276</v>
      </c>
      <c r="AB1770" s="3" t="s">
        <v>2276</v>
      </c>
      <c r="AC1770" s="3"/>
      <c r="AD1770" s="3"/>
    </row>
    <row r="1771" spans="1:30" ht="45.5" customHeight="1">
      <c r="A1771" s="3" t="s">
        <v>5238</v>
      </c>
      <c r="B1771" s="3" t="s">
        <v>5285</v>
      </c>
      <c r="C1771" s="4" t="s">
        <v>24</v>
      </c>
      <c r="D1771" s="3" t="s">
        <v>1245</v>
      </c>
      <c r="E1771" s="3" t="s">
        <v>116</v>
      </c>
      <c r="F1771" s="4" t="s">
        <v>74</v>
      </c>
      <c r="G1771" s="4" t="s">
        <v>74</v>
      </c>
      <c r="H1771" s="3" t="s">
        <v>523</v>
      </c>
      <c r="I1771" s="3"/>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t="s">
        <v>2276</v>
      </c>
      <c r="AB1771" s="3" t="s">
        <v>2276</v>
      </c>
      <c r="AC1771" s="3"/>
      <c r="AD1771" s="3"/>
    </row>
    <row r="1772" spans="1:30" ht="45.5" customHeight="1">
      <c r="A1772" s="3" t="s">
        <v>5238</v>
      </c>
      <c r="B1772" s="3" t="s">
        <v>5286</v>
      </c>
      <c r="C1772" s="4" t="s">
        <v>24</v>
      </c>
      <c r="D1772" s="3" t="s">
        <v>4162</v>
      </c>
      <c r="E1772" s="3" t="s">
        <v>863</v>
      </c>
      <c r="F1772" s="4" t="s">
        <v>74</v>
      </c>
      <c r="G1772" s="4" t="s">
        <v>74</v>
      </c>
      <c r="H1772" s="3" t="s">
        <v>523</v>
      </c>
      <c r="I1772" s="3"/>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t="s">
        <v>2276</v>
      </c>
      <c r="AB1772" s="3" t="s">
        <v>2276</v>
      </c>
      <c r="AC1772" s="3"/>
      <c r="AD1772" s="3"/>
    </row>
    <row r="1773" spans="1:30" ht="45.5" customHeight="1">
      <c r="A1773" s="3" t="s">
        <v>5238</v>
      </c>
      <c r="B1773" s="3" t="s">
        <v>5287</v>
      </c>
      <c r="C1773" s="4" t="s">
        <v>24</v>
      </c>
      <c r="D1773" s="3" t="s">
        <v>2346</v>
      </c>
      <c r="E1773" s="3" t="s">
        <v>2276</v>
      </c>
      <c r="F1773" s="4" t="s">
        <v>2276</v>
      </c>
      <c r="G1773" s="4" t="s">
        <v>74</v>
      </c>
      <c r="H1773" s="3" t="s">
        <v>523</v>
      </c>
      <c r="I1773" s="3"/>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t="s">
        <v>2276</v>
      </c>
      <c r="AB1773" s="3" t="s">
        <v>2276</v>
      </c>
      <c r="AC1773" s="3"/>
      <c r="AD1773" s="3"/>
    </row>
    <row r="1774" spans="1:30" ht="45.5" customHeight="1">
      <c r="A1774" s="3" t="s">
        <v>5238</v>
      </c>
      <c r="B1774" s="3" t="s">
        <v>5288</v>
      </c>
      <c r="C1774" s="4" t="s">
        <v>24</v>
      </c>
      <c r="D1774" s="3" t="s">
        <v>27</v>
      </c>
      <c r="E1774" s="3" t="s">
        <v>130</v>
      </c>
      <c r="F1774" s="4" t="s">
        <v>74</v>
      </c>
      <c r="G1774" s="3" t="s">
        <v>2276</v>
      </c>
      <c r="H1774" s="3" t="s">
        <v>523</v>
      </c>
      <c r="I1774" s="3"/>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t="s">
        <v>2276</v>
      </c>
      <c r="AB1774" s="3" t="s">
        <v>2276</v>
      </c>
      <c r="AC1774" s="3"/>
      <c r="AD1774" s="3"/>
    </row>
    <row r="1775" spans="1:30" ht="45.5" customHeight="1">
      <c r="A1775" s="3" t="s">
        <v>5238</v>
      </c>
      <c r="B1775" s="3" t="s">
        <v>5289</v>
      </c>
      <c r="C1775" s="3" t="s">
        <v>2458</v>
      </c>
      <c r="D1775" s="3" t="s">
        <v>3476</v>
      </c>
      <c r="E1775" s="3" t="s">
        <v>2276</v>
      </c>
      <c r="F1775" s="4" t="s">
        <v>2276</v>
      </c>
      <c r="G1775" s="4" t="s">
        <v>74</v>
      </c>
      <c r="H1775" s="3" t="s">
        <v>523</v>
      </c>
      <c r="I1775" s="3"/>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t="s">
        <v>2276</v>
      </c>
      <c r="AB1775" s="3" t="s">
        <v>2276</v>
      </c>
      <c r="AC1775" s="3"/>
      <c r="AD1775" s="3"/>
    </row>
    <row r="1776" spans="1:30" ht="45.5" customHeight="1">
      <c r="A1776" s="3" t="s">
        <v>5238</v>
      </c>
      <c r="B1776" s="3" t="s">
        <v>5290</v>
      </c>
      <c r="C1776" s="3" t="s">
        <v>31</v>
      </c>
      <c r="D1776" s="3" t="s">
        <v>2276</v>
      </c>
      <c r="E1776" s="3" t="s">
        <v>1105</v>
      </c>
      <c r="F1776" s="4" t="s">
        <v>2276</v>
      </c>
      <c r="G1776" s="4" t="s">
        <v>74</v>
      </c>
      <c r="H1776" s="3" t="s">
        <v>523</v>
      </c>
      <c r="I1776" s="3"/>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t="s">
        <v>2276</v>
      </c>
      <c r="AB1776" s="3" t="s">
        <v>2276</v>
      </c>
      <c r="AC1776" s="3"/>
      <c r="AD1776" s="3"/>
    </row>
    <row r="1777" spans="1:30" ht="45.5" customHeight="1">
      <c r="A1777" s="3" t="s">
        <v>5238</v>
      </c>
      <c r="B1777" s="3" t="s">
        <v>5291</v>
      </c>
      <c r="C1777" s="3" t="s">
        <v>2458</v>
      </c>
      <c r="D1777" s="3" t="s">
        <v>406</v>
      </c>
      <c r="E1777" s="3" t="s">
        <v>1105</v>
      </c>
      <c r="F1777" s="4" t="s">
        <v>2276</v>
      </c>
      <c r="G1777" s="4" t="s">
        <v>74</v>
      </c>
      <c r="H1777" s="3" t="s">
        <v>523</v>
      </c>
      <c r="I1777" s="3"/>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t="s">
        <v>2276</v>
      </c>
      <c r="AB1777" s="3" t="s">
        <v>2276</v>
      </c>
      <c r="AC1777" s="3"/>
      <c r="AD1777" s="3"/>
    </row>
    <row r="1778" spans="1:30" ht="45.5" customHeight="1">
      <c r="A1778" s="3" t="s">
        <v>5238</v>
      </c>
      <c r="B1778" s="3" t="s">
        <v>5292</v>
      </c>
      <c r="C1778" s="3" t="s">
        <v>2458</v>
      </c>
      <c r="D1778" s="3" t="s">
        <v>2994</v>
      </c>
      <c r="E1778" s="3" t="s">
        <v>1105</v>
      </c>
      <c r="F1778" s="4" t="s">
        <v>2276</v>
      </c>
      <c r="G1778" s="4" t="s">
        <v>74</v>
      </c>
      <c r="H1778" s="3" t="s">
        <v>523</v>
      </c>
      <c r="I1778" s="3"/>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t="s">
        <v>2276</v>
      </c>
      <c r="AB1778" s="3" t="s">
        <v>2276</v>
      </c>
      <c r="AC1778" s="3"/>
      <c r="AD1778" s="3"/>
    </row>
    <row r="1779" spans="1:30" ht="45.5" customHeight="1">
      <c r="A1779" s="3" t="s">
        <v>5239</v>
      </c>
      <c r="B1779" s="3" t="s">
        <v>5293</v>
      </c>
      <c r="C1779" s="4" t="s">
        <v>24</v>
      </c>
      <c r="D1779" s="3" t="s">
        <v>25</v>
      </c>
      <c r="E1779" s="3" t="s">
        <v>5005</v>
      </c>
      <c r="F1779" s="4" t="s">
        <v>74</v>
      </c>
      <c r="G1779" s="4" t="s">
        <v>74</v>
      </c>
      <c r="H1779" s="3" t="s">
        <v>523</v>
      </c>
      <c r="I1779" s="3"/>
      <c r="J1779" s="3" t="s">
        <v>2276</v>
      </c>
      <c r="K1779" s="3" t="s">
        <v>2276</v>
      </c>
      <c r="L1779" s="3" t="s">
        <v>2276</v>
      </c>
      <c r="M1779" s="3" t="s">
        <v>2276</v>
      </c>
      <c r="N1779" s="3" t="s">
        <v>2276</v>
      </c>
      <c r="O1779" s="3" t="s">
        <v>2276</v>
      </c>
      <c r="P1779" s="3" t="s">
        <v>2276</v>
      </c>
      <c r="Q1779" s="3" t="s">
        <v>2276</v>
      </c>
      <c r="R1779" s="3" t="s">
        <v>2276</v>
      </c>
      <c r="S1779" s="3" t="s">
        <v>2276</v>
      </c>
      <c r="T1779" s="3" t="s">
        <v>2276</v>
      </c>
      <c r="U1779" s="3" t="s">
        <v>2276</v>
      </c>
      <c r="V1779" s="3" t="s">
        <v>2276</v>
      </c>
      <c r="W1779" s="3" t="s">
        <v>2276</v>
      </c>
      <c r="X1779" s="3" t="s">
        <v>2276</v>
      </c>
      <c r="Y1779" s="3" t="s">
        <v>2276</v>
      </c>
      <c r="Z1779" s="3" t="s">
        <v>2276</v>
      </c>
      <c r="AA1779" s="3" t="s">
        <v>2276</v>
      </c>
      <c r="AB1779" s="3" t="s">
        <v>2276</v>
      </c>
      <c r="AC1779" s="3"/>
      <c r="AD1779" s="4" t="s">
        <v>5336</v>
      </c>
    </row>
    <row r="1780" spans="1:30" ht="45.5" customHeight="1">
      <c r="A1780" s="3" t="s">
        <v>5239</v>
      </c>
      <c r="B1780" s="3" t="s">
        <v>5294</v>
      </c>
      <c r="C1780" s="4" t="s">
        <v>24</v>
      </c>
      <c r="D1780" s="3" t="s">
        <v>3480</v>
      </c>
      <c r="E1780" s="3" t="s">
        <v>116</v>
      </c>
      <c r="F1780" s="4" t="s">
        <v>74</v>
      </c>
      <c r="G1780" s="4" t="s">
        <v>74</v>
      </c>
      <c r="H1780" s="3" t="s">
        <v>523</v>
      </c>
      <c r="I1780" s="3"/>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t="s">
        <v>2276</v>
      </c>
      <c r="AB1780" s="3" t="s">
        <v>2276</v>
      </c>
      <c r="AC1780" s="3"/>
      <c r="AD1780" s="3"/>
    </row>
    <row r="1781" spans="1:30" ht="45.5" customHeight="1">
      <c r="A1781" s="3" t="s">
        <v>5239</v>
      </c>
      <c r="B1781" s="3" t="s">
        <v>5295</v>
      </c>
      <c r="C1781" s="4" t="s">
        <v>24</v>
      </c>
      <c r="D1781" s="3" t="s">
        <v>1245</v>
      </c>
      <c r="E1781" s="3" t="s">
        <v>116</v>
      </c>
      <c r="F1781" s="4" t="s">
        <v>74</v>
      </c>
      <c r="G1781" s="4" t="s">
        <v>74</v>
      </c>
      <c r="H1781" s="3" t="s">
        <v>523</v>
      </c>
      <c r="I1781" s="3"/>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t="s">
        <v>2276</v>
      </c>
      <c r="AB1781" s="3" t="s">
        <v>2276</v>
      </c>
      <c r="AC1781" s="3"/>
      <c r="AD1781" s="3"/>
    </row>
    <row r="1782" spans="1:30" ht="45.5" customHeight="1">
      <c r="A1782" s="3" t="s">
        <v>5239</v>
      </c>
      <c r="B1782" s="3" t="s">
        <v>5296</v>
      </c>
      <c r="C1782" s="4" t="s">
        <v>24</v>
      </c>
      <c r="D1782" s="3" t="s">
        <v>4162</v>
      </c>
      <c r="E1782" s="3" t="s">
        <v>863</v>
      </c>
      <c r="F1782" s="4" t="s">
        <v>74</v>
      </c>
      <c r="G1782" s="4" t="s">
        <v>74</v>
      </c>
      <c r="H1782" s="3" t="s">
        <v>523</v>
      </c>
      <c r="I1782" s="3"/>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t="s">
        <v>2276</v>
      </c>
      <c r="AB1782" s="3" t="s">
        <v>2276</v>
      </c>
      <c r="AC1782" s="3"/>
      <c r="AD1782" s="3"/>
    </row>
    <row r="1783" spans="1:30" ht="45.5" customHeight="1">
      <c r="A1783" s="3" t="s">
        <v>5239</v>
      </c>
      <c r="B1783" s="3" t="s">
        <v>5297</v>
      </c>
      <c r="C1783" s="4" t="s">
        <v>24</v>
      </c>
      <c r="D1783" s="3" t="s">
        <v>2346</v>
      </c>
      <c r="E1783" s="3" t="s">
        <v>2276</v>
      </c>
      <c r="F1783" s="4" t="s">
        <v>2276</v>
      </c>
      <c r="G1783" s="4" t="s">
        <v>74</v>
      </c>
      <c r="H1783" s="3" t="s">
        <v>523</v>
      </c>
      <c r="I1783" s="3"/>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t="s">
        <v>2276</v>
      </c>
      <c r="AB1783" s="3" t="s">
        <v>2276</v>
      </c>
      <c r="AC1783" s="3"/>
      <c r="AD1783" s="3"/>
    </row>
    <row r="1784" spans="1:30" ht="45.5" customHeight="1">
      <c r="A1784" s="3" t="s">
        <v>5239</v>
      </c>
      <c r="B1784" s="3" t="s">
        <v>5298</v>
      </c>
      <c r="C1784" s="4" t="s">
        <v>24</v>
      </c>
      <c r="D1784" s="3" t="s">
        <v>27</v>
      </c>
      <c r="E1784" s="3" t="s">
        <v>130</v>
      </c>
      <c r="F1784" s="4" t="s">
        <v>74</v>
      </c>
      <c r="G1784" s="3" t="s">
        <v>2276</v>
      </c>
      <c r="H1784" s="3" t="s">
        <v>523</v>
      </c>
      <c r="I1784" s="3"/>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t="s">
        <v>2276</v>
      </c>
      <c r="AB1784" s="3" t="s">
        <v>2276</v>
      </c>
      <c r="AC1784" s="3"/>
      <c r="AD1784" s="3"/>
    </row>
    <row r="1785" spans="1:30" ht="45.5" customHeight="1">
      <c r="A1785" s="3" t="s">
        <v>5239</v>
      </c>
      <c r="B1785" s="3" t="s">
        <v>5299</v>
      </c>
      <c r="C1785" s="3" t="s">
        <v>2458</v>
      </c>
      <c r="D1785" s="3" t="s">
        <v>3476</v>
      </c>
      <c r="E1785" s="3" t="s">
        <v>2276</v>
      </c>
      <c r="F1785" s="4" t="s">
        <v>2276</v>
      </c>
      <c r="G1785" s="4" t="s">
        <v>74</v>
      </c>
      <c r="H1785" s="3" t="s">
        <v>523</v>
      </c>
      <c r="I1785" s="3"/>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t="s">
        <v>2276</v>
      </c>
      <c r="AB1785" s="3" t="s">
        <v>2276</v>
      </c>
      <c r="AC1785" s="3"/>
      <c r="AD1785" s="3"/>
    </row>
    <row r="1786" spans="1:30" ht="45.5" customHeight="1">
      <c r="A1786" s="3" t="s">
        <v>5239</v>
      </c>
      <c r="B1786" s="3" t="s">
        <v>5300</v>
      </c>
      <c r="C1786" s="3" t="s">
        <v>31</v>
      </c>
      <c r="D1786" s="3" t="s">
        <v>2276</v>
      </c>
      <c r="E1786" s="3" t="s">
        <v>1105</v>
      </c>
      <c r="F1786" s="4" t="s">
        <v>2276</v>
      </c>
      <c r="G1786" s="4" t="s">
        <v>74</v>
      </c>
      <c r="H1786" s="3" t="s">
        <v>523</v>
      </c>
      <c r="I1786" s="3"/>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t="s">
        <v>2276</v>
      </c>
      <c r="AB1786" s="3" t="s">
        <v>2276</v>
      </c>
      <c r="AC1786" s="3"/>
      <c r="AD1786" s="3"/>
    </row>
    <row r="1787" spans="1:30" ht="45.5" customHeight="1">
      <c r="A1787" s="3" t="s">
        <v>5239</v>
      </c>
      <c r="B1787" s="3" t="s">
        <v>5301</v>
      </c>
      <c r="C1787" s="3" t="s">
        <v>2458</v>
      </c>
      <c r="D1787" s="3" t="s">
        <v>406</v>
      </c>
      <c r="E1787" s="3" t="s">
        <v>1105</v>
      </c>
      <c r="F1787" s="4" t="s">
        <v>2276</v>
      </c>
      <c r="G1787" s="4" t="s">
        <v>74</v>
      </c>
      <c r="H1787" s="3" t="s">
        <v>523</v>
      </c>
      <c r="I1787" s="3"/>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t="s">
        <v>2276</v>
      </c>
      <c r="AB1787" s="3" t="s">
        <v>2276</v>
      </c>
      <c r="AC1787" s="3"/>
      <c r="AD1787" s="3"/>
    </row>
    <row r="1788" spans="1:30" ht="45.5" customHeight="1">
      <c r="A1788" s="3" t="s">
        <v>5239</v>
      </c>
      <c r="B1788" s="3" t="s">
        <v>5302</v>
      </c>
      <c r="C1788" s="3" t="s">
        <v>2458</v>
      </c>
      <c r="D1788" s="3" t="s">
        <v>2994</v>
      </c>
      <c r="E1788" s="3" t="s">
        <v>1105</v>
      </c>
      <c r="F1788" s="4" t="s">
        <v>2276</v>
      </c>
      <c r="G1788" s="4" t="s">
        <v>74</v>
      </c>
      <c r="H1788" s="3" t="s">
        <v>523</v>
      </c>
      <c r="I1788" s="3"/>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t="s">
        <v>2276</v>
      </c>
      <c r="AB1788" s="3" t="s">
        <v>2276</v>
      </c>
      <c r="AC1788" s="3"/>
      <c r="AD1788" s="3"/>
    </row>
    <row r="1789" spans="1:30" ht="45.5" customHeight="1">
      <c r="A1789" s="3" t="s">
        <v>5240</v>
      </c>
      <c r="B1789" s="3" t="s">
        <v>5303</v>
      </c>
      <c r="C1789" s="4" t="s">
        <v>24</v>
      </c>
      <c r="D1789" s="3" t="s">
        <v>25</v>
      </c>
      <c r="E1789" s="3" t="s">
        <v>5005</v>
      </c>
      <c r="F1789" s="4" t="s">
        <v>74</v>
      </c>
      <c r="G1789" s="4" t="s">
        <v>74</v>
      </c>
      <c r="H1789" s="3" t="s">
        <v>523</v>
      </c>
      <c r="I1789" s="3"/>
      <c r="J1789" s="3" t="s">
        <v>2276</v>
      </c>
      <c r="K1789" s="3" t="s">
        <v>2276</v>
      </c>
      <c r="L1789" s="3" t="s">
        <v>2276</v>
      </c>
      <c r="M1789" s="3" t="s">
        <v>2276</v>
      </c>
      <c r="N1789" s="3" t="s">
        <v>2276</v>
      </c>
      <c r="O1789" s="3" t="s">
        <v>2276</v>
      </c>
      <c r="P1789" s="3" t="s">
        <v>2276</v>
      </c>
      <c r="Q1789" s="3" t="s">
        <v>2276</v>
      </c>
      <c r="R1789" s="3" t="s">
        <v>2276</v>
      </c>
      <c r="S1789" s="3" t="s">
        <v>2276</v>
      </c>
      <c r="T1789" s="3" t="s">
        <v>2276</v>
      </c>
      <c r="U1789" s="3" t="s">
        <v>2276</v>
      </c>
      <c r="V1789" s="3" t="s">
        <v>2276</v>
      </c>
      <c r="W1789" s="3" t="s">
        <v>2276</v>
      </c>
      <c r="X1789" s="3" t="s">
        <v>2276</v>
      </c>
      <c r="Y1789" s="3" t="s">
        <v>2276</v>
      </c>
      <c r="Z1789" s="3" t="s">
        <v>2276</v>
      </c>
      <c r="AA1789" s="3" t="s">
        <v>2276</v>
      </c>
      <c r="AB1789" s="3" t="s">
        <v>2276</v>
      </c>
      <c r="AC1789" s="3"/>
      <c r="AD1789" s="4" t="s">
        <v>5336</v>
      </c>
    </row>
    <row r="1790" spans="1:30" ht="45.5" customHeight="1">
      <c r="A1790" s="3" t="s">
        <v>5240</v>
      </c>
      <c r="B1790" s="3" t="s">
        <v>5304</v>
      </c>
      <c r="C1790" s="4" t="s">
        <v>24</v>
      </c>
      <c r="D1790" s="3" t="s">
        <v>3480</v>
      </c>
      <c r="E1790" s="3" t="s">
        <v>116</v>
      </c>
      <c r="F1790" s="4" t="s">
        <v>74</v>
      </c>
      <c r="G1790" s="4" t="s">
        <v>74</v>
      </c>
      <c r="H1790" s="3" t="s">
        <v>523</v>
      </c>
      <c r="I1790" s="3"/>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t="s">
        <v>2276</v>
      </c>
      <c r="AB1790" s="3" t="s">
        <v>2276</v>
      </c>
      <c r="AC1790" s="3"/>
      <c r="AD1790" s="3"/>
    </row>
    <row r="1791" spans="1:30" ht="45.5" customHeight="1">
      <c r="A1791" s="3" t="s">
        <v>5240</v>
      </c>
      <c r="B1791" s="3" t="s">
        <v>5305</v>
      </c>
      <c r="C1791" s="4" t="s">
        <v>24</v>
      </c>
      <c r="D1791" s="3" t="s">
        <v>1245</v>
      </c>
      <c r="E1791" s="3" t="s">
        <v>116</v>
      </c>
      <c r="F1791" s="4" t="s">
        <v>74</v>
      </c>
      <c r="G1791" s="4" t="s">
        <v>74</v>
      </c>
      <c r="H1791" s="3" t="s">
        <v>523</v>
      </c>
      <c r="I1791" s="3"/>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t="s">
        <v>2276</v>
      </c>
      <c r="AB1791" s="3" t="s">
        <v>2276</v>
      </c>
      <c r="AC1791" s="3"/>
      <c r="AD1791" s="3"/>
    </row>
    <row r="1792" spans="1:30" ht="45.5" customHeight="1">
      <c r="A1792" s="3" t="s">
        <v>5240</v>
      </c>
      <c r="B1792" s="3" t="s">
        <v>5306</v>
      </c>
      <c r="C1792" s="4" t="s">
        <v>24</v>
      </c>
      <c r="D1792" s="3" t="s">
        <v>4162</v>
      </c>
      <c r="E1792" s="3" t="s">
        <v>863</v>
      </c>
      <c r="F1792" s="4" t="s">
        <v>74</v>
      </c>
      <c r="G1792" s="4" t="s">
        <v>74</v>
      </c>
      <c r="H1792" s="3" t="s">
        <v>523</v>
      </c>
      <c r="I1792" s="3"/>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t="s">
        <v>2276</v>
      </c>
      <c r="AB1792" s="3" t="s">
        <v>2276</v>
      </c>
      <c r="AC1792" s="3"/>
      <c r="AD1792" s="3"/>
    </row>
    <row r="1793" spans="1:30" ht="45.5" customHeight="1">
      <c r="A1793" s="3" t="s">
        <v>5240</v>
      </c>
      <c r="B1793" s="3" t="s">
        <v>5307</v>
      </c>
      <c r="C1793" s="4" t="s">
        <v>24</v>
      </c>
      <c r="D1793" s="3" t="s">
        <v>2346</v>
      </c>
      <c r="E1793" s="3" t="s">
        <v>2276</v>
      </c>
      <c r="F1793" s="4" t="s">
        <v>2276</v>
      </c>
      <c r="G1793" s="4" t="s">
        <v>74</v>
      </c>
      <c r="H1793" s="3" t="s">
        <v>523</v>
      </c>
      <c r="I1793" s="3"/>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t="s">
        <v>2276</v>
      </c>
      <c r="AB1793" s="3" t="s">
        <v>2276</v>
      </c>
      <c r="AC1793" s="3"/>
      <c r="AD1793" s="3"/>
    </row>
    <row r="1794" spans="1:30" ht="45.5" customHeight="1">
      <c r="A1794" s="3" t="s">
        <v>5240</v>
      </c>
      <c r="B1794" s="3" t="s">
        <v>5308</v>
      </c>
      <c r="C1794" s="4" t="s">
        <v>24</v>
      </c>
      <c r="D1794" s="3" t="s">
        <v>27</v>
      </c>
      <c r="E1794" s="3" t="s">
        <v>130</v>
      </c>
      <c r="F1794" s="4" t="s">
        <v>74</v>
      </c>
      <c r="G1794" s="3" t="s">
        <v>2276</v>
      </c>
      <c r="H1794" s="3" t="s">
        <v>523</v>
      </c>
      <c r="I1794" s="3"/>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t="s">
        <v>2276</v>
      </c>
      <c r="AB1794" s="3" t="s">
        <v>2276</v>
      </c>
      <c r="AC1794" s="3"/>
      <c r="AD1794" s="3"/>
    </row>
    <row r="1795" spans="1:30" ht="45.5" customHeight="1">
      <c r="A1795" s="3" t="s">
        <v>5240</v>
      </c>
      <c r="B1795" s="3" t="s">
        <v>5309</v>
      </c>
      <c r="C1795" s="3" t="s">
        <v>2458</v>
      </c>
      <c r="D1795" s="3" t="s">
        <v>3476</v>
      </c>
      <c r="E1795" s="3" t="s">
        <v>2276</v>
      </c>
      <c r="F1795" s="4" t="s">
        <v>2276</v>
      </c>
      <c r="G1795" s="4" t="s">
        <v>74</v>
      </c>
      <c r="H1795" s="3" t="s">
        <v>523</v>
      </c>
      <c r="I1795" s="3"/>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t="s">
        <v>2276</v>
      </c>
      <c r="AB1795" s="3" t="s">
        <v>2276</v>
      </c>
      <c r="AC1795" s="3"/>
      <c r="AD1795" s="3"/>
    </row>
    <row r="1796" spans="1:30" ht="45.5" customHeight="1">
      <c r="A1796" s="3" t="s">
        <v>5240</v>
      </c>
      <c r="B1796" s="3" t="s">
        <v>5310</v>
      </c>
      <c r="C1796" s="3" t="s">
        <v>31</v>
      </c>
      <c r="D1796" s="3" t="s">
        <v>2276</v>
      </c>
      <c r="E1796" s="3" t="s">
        <v>1105</v>
      </c>
      <c r="F1796" s="4" t="s">
        <v>2276</v>
      </c>
      <c r="G1796" s="4" t="s">
        <v>74</v>
      </c>
      <c r="H1796" s="3" t="s">
        <v>523</v>
      </c>
      <c r="I1796" s="3"/>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t="s">
        <v>2276</v>
      </c>
      <c r="AB1796" s="3" t="s">
        <v>2276</v>
      </c>
      <c r="AC1796" s="3"/>
      <c r="AD1796" s="3"/>
    </row>
    <row r="1797" spans="1:30" ht="45.5" customHeight="1">
      <c r="A1797" s="3" t="s">
        <v>5240</v>
      </c>
      <c r="B1797" s="3" t="s">
        <v>5311</v>
      </c>
      <c r="C1797" s="3" t="s">
        <v>2458</v>
      </c>
      <c r="D1797" s="3" t="s">
        <v>406</v>
      </c>
      <c r="E1797" s="3" t="s">
        <v>1105</v>
      </c>
      <c r="F1797" s="4" t="s">
        <v>2276</v>
      </c>
      <c r="G1797" s="4" t="s">
        <v>74</v>
      </c>
      <c r="H1797" s="3" t="s">
        <v>523</v>
      </c>
      <c r="I1797" s="3"/>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t="s">
        <v>2276</v>
      </c>
      <c r="AB1797" s="3" t="s">
        <v>2276</v>
      </c>
      <c r="AC1797" s="3"/>
      <c r="AD1797" s="3"/>
    </row>
    <row r="1798" spans="1:30" ht="45.5" customHeight="1">
      <c r="A1798" s="3" t="s">
        <v>5240</v>
      </c>
      <c r="B1798" s="3" t="s">
        <v>5312</v>
      </c>
      <c r="C1798" s="3" t="s">
        <v>2458</v>
      </c>
      <c r="D1798" s="3" t="s">
        <v>2994</v>
      </c>
      <c r="E1798" s="3" t="s">
        <v>1105</v>
      </c>
      <c r="F1798" s="4" t="s">
        <v>2276</v>
      </c>
      <c r="G1798" s="4" t="s">
        <v>74</v>
      </c>
      <c r="H1798" s="3" t="s">
        <v>523</v>
      </c>
      <c r="I1798" s="3"/>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t="s">
        <v>2276</v>
      </c>
      <c r="AB1798" s="3" t="s">
        <v>2276</v>
      </c>
      <c r="AC1798" s="3"/>
      <c r="AD1798" s="3"/>
    </row>
    <row r="1799" spans="1:30" ht="45.5" customHeight="1">
      <c r="A1799" s="3" t="s">
        <v>5241</v>
      </c>
      <c r="B1799" s="3" t="s">
        <v>5313</v>
      </c>
      <c r="C1799" s="4" t="s">
        <v>24</v>
      </c>
      <c r="D1799" s="3" t="s">
        <v>25</v>
      </c>
      <c r="E1799" s="3" t="s">
        <v>5005</v>
      </c>
      <c r="F1799" s="4" t="s">
        <v>74</v>
      </c>
      <c r="G1799" s="4" t="s">
        <v>74</v>
      </c>
      <c r="H1799" s="3" t="s">
        <v>523</v>
      </c>
      <c r="I1799" s="3"/>
      <c r="J1799" s="3" t="s">
        <v>2276</v>
      </c>
      <c r="K1799" s="3" t="s">
        <v>2276</v>
      </c>
      <c r="L1799" s="3" t="s">
        <v>2276</v>
      </c>
      <c r="M1799" s="3" t="s">
        <v>2276</v>
      </c>
      <c r="N1799" s="3" t="s">
        <v>2276</v>
      </c>
      <c r="O1799" s="3" t="s">
        <v>2276</v>
      </c>
      <c r="P1799" s="3" t="s">
        <v>2276</v>
      </c>
      <c r="Q1799" s="3" t="s">
        <v>2276</v>
      </c>
      <c r="R1799" s="3" t="s">
        <v>2276</v>
      </c>
      <c r="S1799" s="3" t="s">
        <v>2276</v>
      </c>
      <c r="T1799" s="3" t="s">
        <v>2276</v>
      </c>
      <c r="U1799" s="3" t="s">
        <v>2276</v>
      </c>
      <c r="V1799" s="3" t="s">
        <v>2276</v>
      </c>
      <c r="W1799" s="3" t="s">
        <v>2276</v>
      </c>
      <c r="X1799" s="3" t="s">
        <v>2276</v>
      </c>
      <c r="Y1799" s="3" t="s">
        <v>2276</v>
      </c>
      <c r="Z1799" s="3" t="s">
        <v>2276</v>
      </c>
      <c r="AA1799" s="3" t="s">
        <v>2276</v>
      </c>
      <c r="AB1799" s="3" t="s">
        <v>2276</v>
      </c>
      <c r="AC1799" s="3"/>
      <c r="AD1799" s="4" t="s">
        <v>5336</v>
      </c>
    </row>
    <row r="1800" spans="1:30" ht="45.5" customHeight="1">
      <c r="A1800" s="3" t="s">
        <v>5241</v>
      </c>
      <c r="B1800" s="3" t="s">
        <v>5314</v>
      </c>
      <c r="C1800" s="4" t="s">
        <v>24</v>
      </c>
      <c r="D1800" s="3" t="s">
        <v>3480</v>
      </c>
      <c r="E1800" s="3" t="s">
        <v>116</v>
      </c>
      <c r="F1800" s="4" t="s">
        <v>74</v>
      </c>
      <c r="G1800" s="4" t="s">
        <v>74</v>
      </c>
      <c r="H1800" s="3" t="s">
        <v>523</v>
      </c>
      <c r="I1800" s="3"/>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t="s">
        <v>2276</v>
      </c>
      <c r="AB1800" s="3" t="s">
        <v>2276</v>
      </c>
      <c r="AC1800" s="3"/>
      <c r="AD1800" s="3"/>
    </row>
    <row r="1801" spans="1:30" ht="45.5" customHeight="1">
      <c r="A1801" s="3" t="s">
        <v>5241</v>
      </c>
      <c r="B1801" s="3" t="s">
        <v>5315</v>
      </c>
      <c r="C1801" s="4" t="s">
        <v>24</v>
      </c>
      <c r="D1801" s="3" t="s">
        <v>1245</v>
      </c>
      <c r="E1801" s="3" t="s">
        <v>116</v>
      </c>
      <c r="F1801" s="4" t="s">
        <v>74</v>
      </c>
      <c r="G1801" s="4" t="s">
        <v>74</v>
      </c>
      <c r="H1801" s="3" t="s">
        <v>523</v>
      </c>
      <c r="I1801" s="3"/>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t="s">
        <v>2276</v>
      </c>
      <c r="AB1801" s="3" t="s">
        <v>2276</v>
      </c>
      <c r="AC1801" s="3"/>
      <c r="AD1801" s="3"/>
    </row>
    <row r="1802" spans="1:30" ht="45.5" customHeight="1">
      <c r="A1802" s="3" t="s">
        <v>5241</v>
      </c>
      <c r="B1802" s="3" t="s">
        <v>5316</v>
      </c>
      <c r="C1802" s="4" t="s">
        <v>24</v>
      </c>
      <c r="D1802" s="3" t="s">
        <v>4162</v>
      </c>
      <c r="E1802" s="3" t="s">
        <v>863</v>
      </c>
      <c r="F1802" s="4" t="s">
        <v>74</v>
      </c>
      <c r="G1802" s="4" t="s">
        <v>74</v>
      </c>
      <c r="H1802" s="3" t="s">
        <v>523</v>
      </c>
      <c r="I1802" s="3"/>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t="s">
        <v>2276</v>
      </c>
      <c r="AB1802" s="3" t="s">
        <v>2276</v>
      </c>
      <c r="AC1802" s="3"/>
      <c r="AD1802" s="3"/>
    </row>
    <row r="1803" spans="1:30" ht="45.5" customHeight="1">
      <c r="A1803" s="3" t="s">
        <v>5241</v>
      </c>
      <c r="B1803" s="3" t="s">
        <v>5317</v>
      </c>
      <c r="C1803" s="4" t="s">
        <v>24</v>
      </c>
      <c r="D1803" s="3" t="s">
        <v>2346</v>
      </c>
      <c r="E1803" s="3" t="s">
        <v>2276</v>
      </c>
      <c r="F1803" s="4" t="s">
        <v>2276</v>
      </c>
      <c r="G1803" s="4" t="s">
        <v>74</v>
      </c>
      <c r="H1803" s="3" t="s">
        <v>523</v>
      </c>
      <c r="I1803" s="3"/>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t="s">
        <v>2276</v>
      </c>
      <c r="AB1803" s="3" t="s">
        <v>2276</v>
      </c>
      <c r="AC1803" s="3"/>
      <c r="AD1803" s="3"/>
    </row>
    <row r="1804" spans="1:30" ht="45.5" customHeight="1">
      <c r="A1804" s="3" t="s">
        <v>5241</v>
      </c>
      <c r="B1804" s="3" t="s">
        <v>5318</v>
      </c>
      <c r="C1804" s="4" t="s">
        <v>24</v>
      </c>
      <c r="D1804" s="3" t="s">
        <v>27</v>
      </c>
      <c r="E1804" s="3" t="s">
        <v>130</v>
      </c>
      <c r="F1804" s="4" t="s">
        <v>74</v>
      </c>
      <c r="G1804" s="3" t="s">
        <v>2276</v>
      </c>
      <c r="H1804" s="3" t="s">
        <v>523</v>
      </c>
      <c r="I1804" s="3"/>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t="s">
        <v>2276</v>
      </c>
      <c r="AB1804" s="3" t="s">
        <v>2276</v>
      </c>
      <c r="AC1804" s="3"/>
      <c r="AD1804" s="3"/>
    </row>
    <row r="1805" spans="1:30" ht="45.5" customHeight="1">
      <c r="A1805" s="3" t="s">
        <v>5241</v>
      </c>
      <c r="B1805" s="3" t="s">
        <v>5319</v>
      </c>
      <c r="C1805" s="3" t="s">
        <v>2458</v>
      </c>
      <c r="D1805" s="3" t="s">
        <v>3476</v>
      </c>
      <c r="E1805" s="3" t="s">
        <v>2276</v>
      </c>
      <c r="F1805" s="4" t="s">
        <v>2276</v>
      </c>
      <c r="G1805" s="4" t="s">
        <v>74</v>
      </c>
      <c r="H1805" s="3" t="s">
        <v>523</v>
      </c>
      <c r="I1805" s="3"/>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t="s">
        <v>2276</v>
      </c>
      <c r="AB1805" s="3" t="s">
        <v>2276</v>
      </c>
      <c r="AC1805" s="3"/>
      <c r="AD1805" s="3"/>
    </row>
    <row r="1806" spans="1:30" ht="45.5" customHeight="1">
      <c r="A1806" s="3" t="s">
        <v>5241</v>
      </c>
      <c r="B1806" s="3" t="s">
        <v>5320</v>
      </c>
      <c r="C1806" s="3" t="s">
        <v>31</v>
      </c>
      <c r="D1806" s="3" t="s">
        <v>2276</v>
      </c>
      <c r="E1806" s="3" t="s">
        <v>1105</v>
      </c>
      <c r="F1806" s="4" t="s">
        <v>2276</v>
      </c>
      <c r="G1806" s="4" t="s">
        <v>74</v>
      </c>
      <c r="H1806" s="3" t="s">
        <v>523</v>
      </c>
      <c r="I1806" s="3"/>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t="s">
        <v>2276</v>
      </c>
      <c r="AB1806" s="3" t="s">
        <v>2276</v>
      </c>
      <c r="AC1806" s="3"/>
      <c r="AD1806" s="3"/>
    </row>
    <row r="1807" spans="1:30" ht="45.5" customHeight="1">
      <c r="A1807" s="3" t="s">
        <v>5241</v>
      </c>
      <c r="B1807" s="3" t="s">
        <v>5321</v>
      </c>
      <c r="C1807" s="3" t="s">
        <v>2458</v>
      </c>
      <c r="D1807" s="3" t="s">
        <v>406</v>
      </c>
      <c r="E1807" s="3" t="s">
        <v>1105</v>
      </c>
      <c r="F1807" s="4" t="s">
        <v>2276</v>
      </c>
      <c r="G1807" s="4" t="s">
        <v>74</v>
      </c>
      <c r="H1807" s="3" t="s">
        <v>523</v>
      </c>
      <c r="I1807" s="3"/>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t="s">
        <v>2276</v>
      </c>
      <c r="AB1807" s="3" t="s">
        <v>2276</v>
      </c>
      <c r="AC1807" s="3"/>
      <c r="AD1807" s="3"/>
    </row>
    <row r="1808" spans="1:30" ht="45.5" customHeight="1">
      <c r="A1808" s="3" t="s">
        <v>5241</v>
      </c>
      <c r="B1808" s="3" t="s">
        <v>5322</v>
      </c>
      <c r="C1808" s="3" t="s">
        <v>2458</v>
      </c>
      <c r="D1808" s="3" t="s">
        <v>2994</v>
      </c>
      <c r="E1808" s="3" t="s">
        <v>1105</v>
      </c>
      <c r="F1808" s="4" t="s">
        <v>2276</v>
      </c>
      <c r="G1808" s="4" t="s">
        <v>74</v>
      </c>
      <c r="H1808" s="3" t="s">
        <v>523</v>
      </c>
      <c r="I1808" s="3"/>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t="s">
        <v>2276</v>
      </c>
      <c r="AB1808" s="3" t="s">
        <v>2276</v>
      </c>
      <c r="AC1808" s="3"/>
      <c r="AD1808" s="3"/>
    </row>
    <row r="1809" spans="1:30" ht="45.5" customHeight="1">
      <c r="A1809" s="11" t="s">
        <v>5234</v>
      </c>
      <c r="B1809" s="11" t="s">
        <v>5261</v>
      </c>
      <c r="C1809" s="3" t="s">
        <v>1105</v>
      </c>
      <c r="D1809" s="3" t="s">
        <v>2276</v>
      </c>
      <c r="E1809" s="3" t="s">
        <v>1105</v>
      </c>
      <c r="F1809" s="4" t="s">
        <v>2276</v>
      </c>
      <c r="G1809" s="4" t="s">
        <v>74</v>
      </c>
      <c r="H1809" s="3" t="s">
        <v>523</v>
      </c>
      <c r="I1809" s="3">
        <v>2003</v>
      </c>
      <c r="J1809" s="3" t="s">
        <v>2276</v>
      </c>
      <c r="K1809" s="3" t="s">
        <v>2276</v>
      </c>
      <c r="L1809" s="3" t="s">
        <v>2276</v>
      </c>
      <c r="M1809" s="3" t="s">
        <v>2276</v>
      </c>
      <c r="N1809" s="3" t="s">
        <v>2276</v>
      </c>
      <c r="O1809" s="3" t="s">
        <v>2276</v>
      </c>
      <c r="P1809" s="3" t="s">
        <v>2276</v>
      </c>
      <c r="Q1809" s="3" t="s">
        <v>2276</v>
      </c>
      <c r="R1809" s="3" t="s">
        <v>2276</v>
      </c>
      <c r="S1809" s="3" t="s">
        <v>2276</v>
      </c>
      <c r="T1809" s="21">
        <v>279</v>
      </c>
      <c r="U1809" s="3" t="s">
        <v>2276</v>
      </c>
      <c r="V1809" s="21">
        <v>17</v>
      </c>
      <c r="W1809" s="3" t="s">
        <v>2276</v>
      </c>
      <c r="X1809" s="3" t="s">
        <v>2276</v>
      </c>
      <c r="Y1809" s="3" t="s">
        <v>2276</v>
      </c>
      <c r="Z1809" s="3" t="s">
        <v>399</v>
      </c>
      <c r="AA1809" s="3" t="s">
        <v>86</v>
      </c>
      <c r="AB1809" s="3" t="s">
        <v>76</v>
      </c>
      <c r="AC1809" s="3"/>
      <c r="AD1809" s="3" t="s">
        <v>5335</v>
      </c>
    </row>
    <row r="1810" spans="1:30" ht="45.5" customHeight="1">
      <c r="A1810" s="11" t="s">
        <v>5234</v>
      </c>
      <c r="B1810" s="11" t="s">
        <v>5262</v>
      </c>
      <c r="C1810" s="3" t="s">
        <v>1105</v>
      </c>
      <c r="D1810" s="3" t="s">
        <v>2276</v>
      </c>
      <c r="E1810" s="3" t="s">
        <v>1105</v>
      </c>
      <c r="F1810" s="4" t="s">
        <v>2276</v>
      </c>
      <c r="G1810" s="4" t="s">
        <v>74</v>
      </c>
      <c r="H1810" s="3" t="s">
        <v>523</v>
      </c>
      <c r="I1810" s="3">
        <v>2004</v>
      </c>
      <c r="J1810" s="3" t="s">
        <v>2276</v>
      </c>
      <c r="K1810" s="3" t="s">
        <v>2276</v>
      </c>
      <c r="L1810" s="3" t="s">
        <v>2276</v>
      </c>
      <c r="M1810" s="3" t="s">
        <v>2276</v>
      </c>
      <c r="N1810" s="3" t="s">
        <v>2276</v>
      </c>
      <c r="O1810" s="3" t="s">
        <v>2276</v>
      </c>
      <c r="P1810" s="3" t="s">
        <v>2276</v>
      </c>
      <c r="Q1810" s="3" t="s">
        <v>2276</v>
      </c>
      <c r="R1810" s="3" t="s">
        <v>2276</v>
      </c>
      <c r="S1810" s="3" t="s">
        <v>2276</v>
      </c>
      <c r="T1810" s="21">
        <v>199</v>
      </c>
      <c r="U1810" s="3" t="s">
        <v>2276</v>
      </c>
      <c r="V1810" s="21">
        <v>12</v>
      </c>
      <c r="W1810" s="3" t="s">
        <v>2276</v>
      </c>
      <c r="X1810" s="3" t="s">
        <v>2276</v>
      </c>
      <c r="Y1810" s="3" t="s">
        <v>2276</v>
      </c>
      <c r="Z1810" s="3" t="s">
        <v>399</v>
      </c>
      <c r="AA1810" s="3" t="s">
        <v>86</v>
      </c>
      <c r="AB1810" s="3" t="s">
        <v>76</v>
      </c>
      <c r="AC1810" s="3"/>
      <c r="AD1810" s="3" t="s">
        <v>5335</v>
      </c>
    </row>
    <row r="1811" spans="1:30" ht="45.5" customHeight="1">
      <c r="A1811" s="11" t="s">
        <v>5236</v>
      </c>
      <c r="B1811" s="11" t="s">
        <v>5323</v>
      </c>
      <c r="C1811" s="3" t="s">
        <v>1105</v>
      </c>
      <c r="D1811" s="3" t="s">
        <v>2276</v>
      </c>
      <c r="E1811" s="3" t="s">
        <v>1105</v>
      </c>
      <c r="F1811" s="4" t="s">
        <v>2276</v>
      </c>
      <c r="G1811" s="4" t="s">
        <v>74</v>
      </c>
      <c r="H1811" s="3" t="s">
        <v>523</v>
      </c>
      <c r="I1811" s="3">
        <v>2003</v>
      </c>
      <c r="J1811" s="3" t="s">
        <v>2276</v>
      </c>
      <c r="K1811" s="3" t="s">
        <v>2276</v>
      </c>
      <c r="L1811" s="3" t="s">
        <v>2276</v>
      </c>
      <c r="M1811" s="3" t="s">
        <v>2276</v>
      </c>
      <c r="N1811" s="3" t="s">
        <v>2276</v>
      </c>
      <c r="O1811" s="3" t="s">
        <v>2276</v>
      </c>
      <c r="P1811" s="3" t="s">
        <v>2276</v>
      </c>
      <c r="Q1811" s="3" t="s">
        <v>2276</v>
      </c>
      <c r="R1811" s="3" t="s">
        <v>2276</v>
      </c>
      <c r="S1811" s="3" t="s">
        <v>2276</v>
      </c>
      <c r="T1811" s="3" t="s">
        <v>2276</v>
      </c>
      <c r="U1811" s="3" t="s">
        <v>2276</v>
      </c>
      <c r="V1811" s="3" t="s">
        <v>2276</v>
      </c>
      <c r="W1811" s="3" t="s">
        <v>2276</v>
      </c>
      <c r="X1811" s="3" t="s">
        <v>2276</v>
      </c>
      <c r="Y1811" s="3" t="s">
        <v>2276</v>
      </c>
      <c r="Z1811" s="3" t="s">
        <v>399</v>
      </c>
      <c r="AA1811" s="3" t="s">
        <v>86</v>
      </c>
      <c r="AB1811" s="3" t="s">
        <v>76</v>
      </c>
      <c r="AC1811" s="3"/>
      <c r="AD1811" s="3" t="s">
        <v>5335</v>
      </c>
    </row>
    <row r="1812" spans="1:30" ht="45.5" customHeight="1">
      <c r="A1812" s="11" t="s">
        <v>5236</v>
      </c>
      <c r="B1812" s="11" t="s">
        <v>5324</v>
      </c>
      <c r="C1812" s="3" t="s">
        <v>1105</v>
      </c>
      <c r="D1812" s="3" t="s">
        <v>2276</v>
      </c>
      <c r="E1812" s="3" t="s">
        <v>1105</v>
      </c>
      <c r="F1812" s="4" t="s">
        <v>2276</v>
      </c>
      <c r="G1812" s="4" t="s">
        <v>74</v>
      </c>
      <c r="H1812" s="3" t="s">
        <v>523</v>
      </c>
      <c r="I1812" s="3">
        <v>2004</v>
      </c>
      <c r="J1812" s="3" t="s">
        <v>2276</v>
      </c>
      <c r="K1812" s="3" t="s">
        <v>2276</v>
      </c>
      <c r="L1812" s="3" t="s">
        <v>2276</v>
      </c>
      <c r="M1812" s="3" t="s">
        <v>2276</v>
      </c>
      <c r="N1812" s="3" t="s">
        <v>2276</v>
      </c>
      <c r="O1812" s="3" t="s">
        <v>2276</v>
      </c>
      <c r="P1812" s="3" t="s">
        <v>2276</v>
      </c>
      <c r="Q1812" s="3" t="s">
        <v>2276</v>
      </c>
      <c r="R1812" s="3" t="s">
        <v>2276</v>
      </c>
      <c r="S1812" s="3" t="s">
        <v>2276</v>
      </c>
      <c r="T1812" s="3" t="s">
        <v>2276</v>
      </c>
      <c r="U1812" s="3" t="s">
        <v>2276</v>
      </c>
      <c r="V1812" s="3" t="s">
        <v>2276</v>
      </c>
      <c r="W1812" s="3" t="s">
        <v>2276</v>
      </c>
      <c r="X1812" s="3" t="s">
        <v>2276</v>
      </c>
      <c r="Y1812" s="3" t="s">
        <v>2276</v>
      </c>
      <c r="Z1812" s="3" t="s">
        <v>399</v>
      </c>
      <c r="AA1812" s="3" t="s">
        <v>86</v>
      </c>
      <c r="AB1812" s="3" t="s">
        <v>76</v>
      </c>
      <c r="AC1812" s="3"/>
      <c r="AD1812" s="3" t="s">
        <v>5335</v>
      </c>
    </row>
    <row r="1813" spans="1:30" ht="45.5" customHeight="1">
      <c r="A1813" s="11" t="s">
        <v>5237</v>
      </c>
      <c r="B1813" s="11" t="s">
        <v>5325</v>
      </c>
      <c r="C1813" s="3" t="s">
        <v>1105</v>
      </c>
      <c r="D1813" s="3" t="s">
        <v>2276</v>
      </c>
      <c r="E1813" s="3" t="s">
        <v>1105</v>
      </c>
      <c r="F1813" s="4" t="s">
        <v>2276</v>
      </c>
      <c r="G1813" s="4" t="s">
        <v>74</v>
      </c>
      <c r="H1813" s="3" t="s">
        <v>523</v>
      </c>
      <c r="I1813" s="3">
        <v>2003</v>
      </c>
      <c r="J1813" s="3" t="s">
        <v>2276</v>
      </c>
      <c r="K1813" s="3" t="s">
        <v>2276</v>
      </c>
      <c r="L1813" s="3" t="s">
        <v>2276</v>
      </c>
      <c r="M1813" s="3" t="s">
        <v>2276</v>
      </c>
      <c r="N1813" s="3" t="s">
        <v>2276</v>
      </c>
      <c r="O1813" s="3" t="s">
        <v>2276</v>
      </c>
      <c r="P1813" s="3" t="s">
        <v>2276</v>
      </c>
      <c r="Q1813" s="3" t="s">
        <v>2276</v>
      </c>
      <c r="R1813" s="3" t="s">
        <v>2276</v>
      </c>
      <c r="S1813" s="3" t="s">
        <v>2276</v>
      </c>
      <c r="T1813" s="21">
        <v>30</v>
      </c>
      <c r="U1813" s="3" t="s">
        <v>2276</v>
      </c>
      <c r="V1813" s="21">
        <v>2</v>
      </c>
      <c r="W1813" s="3" t="s">
        <v>2276</v>
      </c>
      <c r="X1813" s="3" t="s">
        <v>2276</v>
      </c>
      <c r="Y1813" s="3" t="s">
        <v>2276</v>
      </c>
      <c r="Z1813" s="3" t="s">
        <v>399</v>
      </c>
      <c r="AA1813" s="3" t="s">
        <v>86</v>
      </c>
      <c r="AB1813" s="3" t="s">
        <v>76</v>
      </c>
      <c r="AC1813" s="3"/>
      <c r="AD1813" s="3" t="s">
        <v>5335</v>
      </c>
    </row>
    <row r="1814" spans="1:30" ht="45.5" customHeight="1">
      <c r="A1814" s="11" t="s">
        <v>5237</v>
      </c>
      <c r="B1814" s="11" t="s">
        <v>5326</v>
      </c>
      <c r="C1814" s="3" t="s">
        <v>1105</v>
      </c>
      <c r="D1814" s="3" t="s">
        <v>2276</v>
      </c>
      <c r="E1814" s="3" t="s">
        <v>1105</v>
      </c>
      <c r="F1814" s="4" t="s">
        <v>2276</v>
      </c>
      <c r="G1814" s="4" t="s">
        <v>74</v>
      </c>
      <c r="H1814" s="3" t="s">
        <v>523</v>
      </c>
      <c r="I1814" s="3">
        <v>2004</v>
      </c>
      <c r="J1814" s="3" t="s">
        <v>2276</v>
      </c>
      <c r="K1814" s="3" t="s">
        <v>2276</v>
      </c>
      <c r="L1814" s="3" t="s">
        <v>2276</v>
      </c>
      <c r="M1814" s="3" t="s">
        <v>2276</v>
      </c>
      <c r="N1814" s="3" t="s">
        <v>2276</v>
      </c>
      <c r="O1814" s="3" t="s">
        <v>2276</v>
      </c>
      <c r="P1814" s="3" t="s">
        <v>2276</v>
      </c>
      <c r="Q1814" s="3" t="s">
        <v>2276</v>
      </c>
      <c r="R1814" s="3" t="s">
        <v>2276</v>
      </c>
      <c r="S1814" s="3" t="s">
        <v>2276</v>
      </c>
      <c r="T1814" s="21">
        <v>30</v>
      </c>
      <c r="U1814" s="3" t="s">
        <v>2276</v>
      </c>
      <c r="V1814" s="21">
        <v>2</v>
      </c>
      <c r="W1814" s="3" t="s">
        <v>2276</v>
      </c>
      <c r="X1814" s="3" t="s">
        <v>2276</v>
      </c>
      <c r="Y1814" s="3" t="s">
        <v>2276</v>
      </c>
      <c r="Z1814" s="3" t="s">
        <v>399</v>
      </c>
      <c r="AA1814" s="3" t="s">
        <v>86</v>
      </c>
      <c r="AB1814" s="3" t="s">
        <v>76</v>
      </c>
      <c r="AC1814" s="3"/>
      <c r="AD1814" s="3" t="s">
        <v>5335</v>
      </c>
    </row>
    <row r="1815" spans="1:30" ht="45.5" customHeight="1">
      <c r="A1815" s="11" t="s">
        <v>5238</v>
      </c>
      <c r="B1815" s="11" t="s">
        <v>5327</v>
      </c>
      <c r="C1815" s="3" t="s">
        <v>1105</v>
      </c>
      <c r="D1815" s="3" t="s">
        <v>2276</v>
      </c>
      <c r="E1815" s="3" t="s">
        <v>1105</v>
      </c>
      <c r="F1815" s="4" t="s">
        <v>2276</v>
      </c>
      <c r="G1815" s="4" t="s">
        <v>74</v>
      </c>
      <c r="H1815" s="3" t="s">
        <v>523</v>
      </c>
      <c r="I1815" s="3">
        <v>2003</v>
      </c>
      <c r="J1815" s="3" t="s">
        <v>2276</v>
      </c>
      <c r="K1815" s="3" t="s">
        <v>2276</v>
      </c>
      <c r="L1815" s="3" t="s">
        <v>2276</v>
      </c>
      <c r="M1815" s="3" t="s">
        <v>2276</v>
      </c>
      <c r="N1815" s="3" t="s">
        <v>2276</v>
      </c>
      <c r="O1815" s="3" t="s">
        <v>2276</v>
      </c>
      <c r="P1815" s="3" t="s">
        <v>2276</v>
      </c>
      <c r="Q1815" s="3" t="s">
        <v>2276</v>
      </c>
      <c r="R1815" s="3" t="s">
        <v>2276</v>
      </c>
      <c r="S1815" s="3" t="s">
        <v>2276</v>
      </c>
      <c r="T1815" s="21">
        <v>195</v>
      </c>
      <c r="U1815" s="3" t="s">
        <v>2276</v>
      </c>
      <c r="V1815" s="21">
        <v>7</v>
      </c>
      <c r="W1815" s="3" t="s">
        <v>2276</v>
      </c>
      <c r="X1815" s="3" t="s">
        <v>2276</v>
      </c>
      <c r="Y1815" s="3" t="s">
        <v>2276</v>
      </c>
      <c r="Z1815" s="3" t="s">
        <v>399</v>
      </c>
      <c r="AA1815" s="3" t="s">
        <v>86</v>
      </c>
      <c r="AB1815" s="3" t="s">
        <v>76</v>
      </c>
      <c r="AC1815" s="3"/>
      <c r="AD1815" s="3" t="s">
        <v>5335</v>
      </c>
    </row>
    <row r="1816" spans="1:30" ht="45.5" customHeight="1">
      <c r="A1816" s="11" t="s">
        <v>5238</v>
      </c>
      <c r="B1816" s="11" t="s">
        <v>5328</v>
      </c>
      <c r="C1816" s="3" t="s">
        <v>1105</v>
      </c>
      <c r="D1816" s="3" t="s">
        <v>2276</v>
      </c>
      <c r="E1816" s="3" t="s">
        <v>1105</v>
      </c>
      <c r="F1816" s="4" t="s">
        <v>2276</v>
      </c>
      <c r="G1816" s="4" t="s">
        <v>74</v>
      </c>
      <c r="H1816" s="3" t="s">
        <v>523</v>
      </c>
      <c r="I1816" s="3">
        <v>2004</v>
      </c>
      <c r="J1816" s="3" t="s">
        <v>2276</v>
      </c>
      <c r="K1816" s="3" t="s">
        <v>2276</v>
      </c>
      <c r="L1816" s="3" t="s">
        <v>2276</v>
      </c>
      <c r="M1816" s="3" t="s">
        <v>2276</v>
      </c>
      <c r="N1816" s="3" t="s">
        <v>2276</v>
      </c>
      <c r="O1816" s="3" t="s">
        <v>2276</v>
      </c>
      <c r="P1816" s="3" t="s">
        <v>2276</v>
      </c>
      <c r="Q1816" s="3" t="s">
        <v>2276</v>
      </c>
      <c r="R1816" s="3" t="s">
        <v>2276</v>
      </c>
      <c r="S1816" s="3" t="s">
        <v>2276</v>
      </c>
      <c r="T1816" s="21">
        <v>800</v>
      </c>
      <c r="U1816" s="3" t="s">
        <v>2276</v>
      </c>
      <c r="V1816" s="21">
        <v>30</v>
      </c>
      <c r="W1816" s="3" t="s">
        <v>2276</v>
      </c>
      <c r="X1816" s="3" t="s">
        <v>2276</v>
      </c>
      <c r="Y1816" s="3" t="s">
        <v>2276</v>
      </c>
      <c r="Z1816" s="3" t="s">
        <v>399</v>
      </c>
      <c r="AA1816" s="3" t="s">
        <v>86</v>
      </c>
      <c r="AB1816" s="3" t="s">
        <v>76</v>
      </c>
      <c r="AC1816" s="3"/>
      <c r="AD1816" s="3" t="s">
        <v>5335</v>
      </c>
    </row>
    <row r="1817" spans="1:30" ht="45.5" customHeight="1">
      <c r="A1817" s="11" t="s">
        <v>5239</v>
      </c>
      <c r="B1817" s="11" t="s">
        <v>5329</v>
      </c>
      <c r="C1817" s="3" t="s">
        <v>1105</v>
      </c>
      <c r="D1817" s="3" t="s">
        <v>2276</v>
      </c>
      <c r="E1817" s="3" t="s">
        <v>1105</v>
      </c>
      <c r="F1817" s="4" t="s">
        <v>2276</v>
      </c>
      <c r="G1817" s="4" t="s">
        <v>74</v>
      </c>
      <c r="H1817" s="3" t="s">
        <v>523</v>
      </c>
      <c r="I1817" s="3">
        <v>2003</v>
      </c>
      <c r="J1817" s="3" t="s">
        <v>2276</v>
      </c>
      <c r="K1817" s="3" t="s">
        <v>2276</v>
      </c>
      <c r="L1817" s="3" t="s">
        <v>2276</v>
      </c>
      <c r="M1817" s="3" t="s">
        <v>2276</v>
      </c>
      <c r="N1817" s="3" t="s">
        <v>2276</v>
      </c>
      <c r="O1817" s="3" t="s">
        <v>2276</v>
      </c>
      <c r="P1817" s="3" t="s">
        <v>2276</v>
      </c>
      <c r="Q1817" s="3" t="s">
        <v>2276</v>
      </c>
      <c r="R1817" s="3" t="s">
        <v>2276</v>
      </c>
      <c r="S1817" s="3" t="s">
        <v>2276</v>
      </c>
      <c r="T1817" s="21">
        <v>75</v>
      </c>
      <c r="U1817" s="3" t="s">
        <v>2276</v>
      </c>
      <c r="V1817" s="21">
        <v>8</v>
      </c>
      <c r="W1817" s="3" t="s">
        <v>2276</v>
      </c>
      <c r="X1817" s="3" t="s">
        <v>2276</v>
      </c>
      <c r="Y1817" s="3" t="s">
        <v>2276</v>
      </c>
      <c r="Z1817" s="3" t="s">
        <v>399</v>
      </c>
      <c r="AA1817" s="3" t="s">
        <v>86</v>
      </c>
      <c r="AB1817" s="3" t="s">
        <v>76</v>
      </c>
      <c r="AC1817" s="3"/>
      <c r="AD1817" s="3" t="s">
        <v>5335</v>
      </c>
    </row>
    <row r="1818" spans="1:30" ht="45.5" customHeight="1">
      <c r="A1818" s="11" t="s">
        <v>5239</v>
      </c>
      <c r="B1818" s="11" t="s">
        <v>5330</v>
      </c>
      <c r="C1818" s="3" t="s">
        <v>1105</v>
      </c>
      <c r="D1818" s="3" t="s">
        <v>2276</v>
      </c>
      <c r="E1818" s="3" t="s">
        <v>1105</v>
      </c>
      <c r="F1818" s="4" t="s">
        <v>2276</v>
      </c>
      <c r="G1818" s="4" t="s">
        <v>74</v>
      </c>
      <c r="H1818" s="3" t="s">
        <v>523</v>
      </c>
      <c r="I1818" s="3">
        <v>2004</v>
      </c>
      <c r="J1818" s="3" t="s">
        <v>2276</v>
      </c>
      <c r="K1818" s="3" t="s">
        <v>2276</v>
      </c>
      <c r="L1818" s="3" t="s">
        <v>2276</v>
      </c>
      <c r="M1818" s="3" t="s">
        <v>2276</v>
      </c>
      <c r="N1818" s="3" t="s">
        <v>2276</v>
      </c>
      <c r="O1818" s="3" t="s">
        <v>2276</v>
      </c>
      <c r="P1818" s="3" t="s">
        <v>2276</v>
      </c>
      <c r="Q1818" s="3" t="s">
        <v>2276</v>
      </c>
      <c r="R1818" s="3" t="s">
        <v>2276</v>
      </c>
      <c r="S1818" s="3" t="s">
        <v>2276</v>
      </c>
      <c r="T1818" s="21">
        <v>135</v>
      </c>
      <c r="U1818" s="3" t="s">
        <v>2276</v>
      </c>
      <c r="V1818" s="21">
        <v>15</v>
      </c>
      <c r="W1818" s="3" t="s">
        <v>2276</v>
      </c>
      <c r="X1818" s="3" t="s">
        <v>2276</v>
      </c>
      <c r="Y1818" s="3" t="s">
        <v>2276</v>
      </c>
      <c r="Z1818" s="3" t="s">
        <v>399</v>
      </c>
      <c r="AA1818" s="3" t="s">
        <v>86</v>
      </c>
      <c r="AB1818" s="3" t="s">
        <v>76</v>
      </c>
      <c r="AC1818" s="3"/>
      <c r="AD1818" s="3" t="s">
        <v>5335</v>
      </c>
    </row>
    <row r="1819" spans="1:30" ht="45.5" customHeight="1">
      <c r="A1819" s="11" t="s">
        <v>5240</v>
      </c>
      <c r="B1819" s="11" t="s">
        <v>5331</v>
      </c>
      <c r="C1819" s="3" t="s">
        <v>1105</v>
      </c>
      <c r="D1819" s="3" t="s">
        <v>2276</v>
      </c>
      <c r="E1819" s="3" t="s">
        <v>1105</v>
      </c>
      <c r="F1819" s="4" t="s">
        <v>2276</v>
      </c>
      <c r="G1819" s="4" t="s">
        <v>74</v>
      </c>
      <c r="H1819" s="3" t="s">
        <v>523</v>
      </c>
      <c r="I1819" s="3">
        <v>2003</v>
      </c>
      <c r="J1819" s="3" t="s">
        <v>2276</v>
      </c>
      <c r="K1819" s="3" t="s">
        <v>2276</v>
      </c>
      <c r="L1819" s="3" t="s">
        <v>2276</v>
      </c>
      <c r="M1819" s="3" t="s">
        <v>2276</v>
      </c>
      <c r="N1819" s="3" t="s">
        <v>2276</v>
      </c>
      <c r="O1819" s="3" t="s">
        <v>2276</v>
      </c>
      <c r="P1819" s="3" t="s">
        <v>2276</v>
      </c>
      <c r="Q1819" s="3" t="s">
        <v>2276</v>
      </c>
      <c r="R1819" s="3" t="s">
        <v>2276</v>
      </c>
      <c r="S1819" s="3" t="s">
        <v>2276</v>
      </c>
      <c r="T1819" s="21">
        <v>924</v>
      </c>
      <c r="U1819" s="3" t="s">
        <v>2276</v>
      </c>
      <c r="V1819" s="21">
        <v>19</v>
      </c>
      <c r="W1819" s="3" t="s">
        <v>2276</v>
      </c>
      <c r="X1819" s="3" t="s">
        <v>2276</v>
      </c>
      <c r="Y1819" s="3" t="s">
        <v>2276</v>
      </c>
      <c r="Z1819" s="3" t="s">
        <v>399</v>
      </c>
      <c r="AA1819" s="3" t="s">
        <v>86</v>
      </c>
      <c r="AB1819" s="3" t="s">
        <v>76</v>
      </c>
      <c r="AC1819" s="3"/>
      <c r="AD1819" s="3" t="s">
        <v>5335</v>
      </c>
    </row>
    <row r="1820" spans="1:30" ht="45.5" customHeight="1">
      <c r="A1820" s="11" t="s">
        <v>5240</v>
      </c>
      <c r="B1820" s="11" t="s">
        <v>5332</v>
      </c>
      <c r="C1820" s="3" t="s">
        <v>1105</v>
      </c>
      <c r="D1820" s="3" t="s">
        <v>2276</v>
      </c>
      <c r="E1820" s="3" t="s">
        <v>1105</v>
      </c>
      <c r="F1820" s="4" t="s">
        <v>2276</v>
      </c>
      <c r="G1820" s="4" t="s">
        <v>74</v>
      </c>
      <c r="H1820" s="3" t="s">
        <v>523</v>
      </c>
      <c r="I1820" s="3">
        <v>2004</v>
      </c>
      <c r="J1820" s="3" t="s">
        <v>2276</v>
      </c>
      <c r="K1820" s="3" t="s">
        <v>2276</v>
      </c>
      <c r="L1820" s="3" t="s">
        <v>2276</v>
      </c>
      <c r="M1820" s="3" t="s">
        <v>2276</v>
      </c>
      <c r="N1820" s="3" t="s">
        <v>2276</v>
      </c>
      <c r="O1820" s="3" t="s">
        <v>2276</v>
      </c>
      <c r="P1820" s="3" t="s">
        <v>2276</v>
      </c>
      <c r="Q1820" s="3" t="s">
        <v>2276</v>
      </c>
      <c r="R1820" s="3" t="s">
        <v>2276</v>
      </c>
      <c r="S1820" s="3" t="s">
        <v>2276</v>
      </c>
      <c r="T1820" s="21">
        <v>1644</v>
      </c>
      <c r="U1820" s="3" t="s">
        <v>2276</v>
      </c>
      <c r="V1820" s="21">
        <v>34</v>
      </c>
      <c r="W1820" s="3" t="s">
        <v>2276</v>
      </c>
      <c r="X1820" s="3" t="s">
        <v>2276</v>
      </c>
      <c r="Y1820" s="3" t="s">
        <v>2276</v>
      </c>
      <c r="Z1820" s="3" t="s">
        <v>399</v>
      </c>
      <c r="AA1820" s="3" t="s">
        <v>86</v>
      </c>
      <c r="AB1820" s="3" t="s">
        <v>76</v>
      </c>
      <c r="AC1820" s="3"/>
      <c r="AD1820" s="3" t="s">
        <v>5335</v>
      </c>
    </row>
    <row r="1821" spans="1:30" ht="45.5" customHeight="1">
      <c r="A1821" s="11" t="s">
        <v>5241</v>
      </c>
      <c r="B1821" s="11" t="s">
        <v>5333</v>
      </c>
      <c r="C1821" s="3" t="s">
        <v>1105</v>
      </c>
      <c r="D1821" s="3" t="s">
        <v>2276</v>
      </c>
      <c r="E1821" s="3" t="s">
        <v>1105</v>
      </c>
      <c r="F1821" s="4" t="s">
        <v>2276</v>
      </c>
      <c r="G1821" s="4" t="s">
        <v>74</v>
      </c>
      <c r="H1821" s="3" t="s">
        <v>523</v>
      </c>
      <c r="I1821" s="3">
        <v>2003</v>
      </c>
      <c r="J1821" s="3" t="s">
        <v>2276</v>
      </c>
      <c r="K1821" s="3" t="s">
        <v>2276</v>
      </c>
      <c r="L1821" s="3" t="s">
        <v>2276</v>
      </c>
      <c r="M1821" s="3" t="s">
        <v>2276</v>
      </c>
      <c r="N1821" s="3" t="s">
        <v>2276</v>
      </c>
      <c r="O1821" s="3" t="s">
        <v>2276</v>
      </c>
      <c r="P1821" s="3" t="s">
        <v>2276</v>
      </c>
      <c r="Q1821" s="3" t="s">
        <v>2276</v>
      </c>
      <c r="R1821" s="3" t="s">
        <v>2276</v>
      </c>
      <c r="S1821" s="3" t="s">
        <v>2276</v>
      </c>
      <c r="T1821" s="21">
        <v>130</v>
      </c>
      <c r="U1821" s="3" t="s">
        <v>2276</v>
      </c>
      <c r="V1821" s="21">
        <v>16</v>
      </c>
      <c r="W1821" s="3" t="s">
        <v>2276</v>
      </c>
      <c r="X1821" s="3" t="s">
        <v>2276</v>
      </c>
      <c r="Y1821" s="3" t="s">
        <v>2276</v>
      </c>
      <c r="Z1821" s="3" t="s">
        <v>399</v>
      </c>
      <c r="AA1821" s="3" t="s">
        <v>86</v>
      </c>
      <c r="AB1821" s="3" t="s">
        <v>76</v>
      </c>
      <c r="AC1821" s="3"/>
      <c r="AD1821" s="3" t="s">
        <v>5335</v>
      </c>
    </row>
    <row r="1822" spans="1:30" ht="45.5" customHeight="1">
      <c r="A1822" s="11" t="s">
        <v>5241</v>
      </c>
      <c r="B1822" s="11" t="s">
        <v>5334</v>
      </c>
      <c r="C1822" s="3" t="s">
        <v>1105</v>
      </c>
      <c r="D1822" s="3" t="s">
        <v>2276</v>
      </c>
      <c r="E1822" s="3" t="s">
        <v>1105</v>
      </c>
      <c r="F1822" s="4" t="s">
        <v>2276</v>
      </c>
      <c r="G1822" s="4" t="s">
        <v>74</v>
      </c>
      <c r="H1822" s="3" t="s">
        <v>523</v>
      </c>
      <c r="I1822" s="3">
        <v>2004</v>
      </c>
      <c r="J1822" s="3" t="s">
        <v>2276</v>
      </c>
      <c r="K1822" s="3" t="s">
        <v>2276</v>
      </c>
      <c r="L1822" s="3" t="s">
        <v>2276</v>
      </c>
      <c r="M1822" s="3" t="s">
        <v>2276</v>
      </c>
      <c r="N1822" s="3" t="s">
        <v>2276</v>
      </c>
      <c r="O1822" s="3" t="s">
        <v>2276</v>
      </c>
      <c r="P1822" s="3" t="s">
        <v>2276</v>
      </c>
      <c r="Q1822" s="3" t="s">
        <v>2276</v>
      </c>
      <c r="R1822" s="3" t="s">
        <v>2276</v>
      </c>
      <c r="S1822" s="3" t="s">
        <v>2276</v>
      </c>
      <c r="T1822" s="21">
        <v>46</v>
      </c>
      <c r="U1822" s="3" t="s">
        <v>2276</v>
      </c>
      <c r="V1822" s="21">
        <v>6</v>
      </c>
      <c r="W1822" s="3" t="s">
        <v>2276</v>
      </c>
      <c r="X1822" s="3" t="s">
        <v>2276</v>
      </c>
      <c r="Y1822" s="3" t="s">
        <v>2276</v>
      </c>
      <c r="Z1822" s="3" t="s">
        <v>399</v>
      </c>
      <c r="AA1822" s="3" t="s">
        <v>86</v>
      </c>
      <c r="AB1822" s="3" t="s">
        <v>76</v>
      </c>
      <c r="AC1822" s="3"/>
      <c r="AD1822" s="3" t="s">
        <v>5335</v>
      </c>
    </row>
    <row r="1823" spans="1:30" ht="44.5" customHeight="1">
      <c r="A1823" s="11" t="s">
        <v>5337</v>
      </c>
      <c r="B1823" s="11" t="s">
        <v>5346</v>
      </c>
      <c r="C1823" s="3" t="s">
        <v>24</v>
      </c>
      <c r="D1823" s="3" t="s">
        <v>27</v>
      </c>
      <c r="E1823" s="3" t="s">
        <v>130</v>
      </c>
      <c r="F1823" s="4" t="s">
        <v>74</v>
      </c>
      <c r="G1823" s="4" t="s">
        <v>2276</v>
      </c>
      <c r="H1823" s="3"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3"/>
      <c r="AD1823" s="3"/>
    </row>
    <row r="1824" spans="1:30" ht="44.5" customHeight="1">
      <c r="A1824" s="11" t="s">
        <v>5337</v>
      </c>
      <c r="B1824" s="11" t="s">
        <v>5347</v>
      </c>
      <c r="C1824" s="3" t="s">
        <v>24</v>
      </c>
      <c r="D1824" s="3" t="s">
        <v>2231</v>
      </c>
      <c r="E1824" s="3" t="s">
        <v>130</v>
      </c>
      <c r="F1824" s="4" t="s">
        <v>74</v>
      </c>
      <c r="G1824" s="4" t="s">
        <v>2276</v>
      </c>
      <c r="H1824" s="3"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3"/>
      <c r="AD1824" s="3"/>
    </row>
    <row r="1825" spans="1:30" ht="44.5" customHeight="1">
      <c r="A1825" s="11" t="s">
        <v>5337</v>
      </c>
      <c r="B1825" s="11" t="s">
        <v>5348</v>
      </c>
      <c r="C1825" s="3" t="s">
        <v>24</v>
      </c>
      <c r="D1825" s="3" t="s">
        <v>2231</v>
      </c>
      <c r="E1825" s="4" t="s">
        <v>396</v>
      </c>
      <c r="F1825" s="4" t="s">
        <v>74</v>
      </c>
      <c r="G1825" s="4" t="s">
        <v>2276</v>
      </c>
      <c r="H1825" s="3"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3"/>
      <c r="AD1825" s="3"/>
    </row>
    <row r="1826" spans="1:30" ht="44.5" customHeight="1">
      <c r="A1826" s="11" t="s">
        <v>5338</v>
      </c>
      <c r="B1826" s="11" t="s">
        <v>5349</v>
      </c>
      <c r="C1826" s="3" t="s">
        <v>24</v>
      </c>
      <c r="D1826" s="3" t="s">
        <v>27</v>
      </c>
      <c r="E1826" s="3" t="s">
        <v>130</v>
      </c>
      <c r="F1826" s="4" t="s">
        <v>74</v>
      </c>
      <c r="G1826" s="4" t="s">
        <v>2276</v>
      </c>
      <c r="H1826" s="3" t="s">
        <v>524</v>
      </c>
      <c r="I1826" s="3"/>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4" t="s">
        <v>2276</v>
      </c>
      <c r="Z1826" s="4" t="s">
        <v>2276</v>
      </c>
      <c r="AA1826" s="4" t="s">
        <v>2276</v>
      </c>
      <c r="AB1826" s="4" t="s">
        <v>2276</v>
      </c>
      <c r="AC1826" s="4" t="s">
        <v>5352</v>
      </c>
      <c r="AD1826" s="3"/>
    </row>
    <row r="1827" spans="1:30" ht="44.5" customHeight="1">
      <c r="A1827" s="11" t="s">
        <v>5338</v>
      </c>
      <c r="B1827" s="11" t="s">
        <v>5350</v>
      </c>
      <c r="C1827" s="3" t="s">
        <v>24</v>
      </c>
      <c r="D1827" s="3" t="s">
        <v>2231</v>
      </c>
      <c r="E1827" s="3" t="s">
        <v>130</v>
      </c>
      <c r="F1827" s="4" t="s">
        <v>74</v>
      </c>
      <c r="G1827" s="4" t="s">
        <v>2276</v>
      </c>
      <c r="H1827" s="3" t="s">
        <v>524</v>
      </c>
      <c r="I1827" s="3"/>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4" t="s">
        <v>2276</v>
      </c>
      <c r="Z1827" s="4" t="s">
        <v>2276</v>
      </c>
      <c r="AA1827" s="4" t="s">
        <v>2276</v>
      </c>
      <c r="AB1827" s="4" t="s">
        <v>2276</v>
      </c>
      <c r="AC1827" s="4" t="s">
        <v>5352</v>
      </c>
      <c r="AD1827" s="3"/>
    </row>
    <row r="1828" spans="1:30" ht="44.5" customHeight="1">
      <c r="A1828" s="11" t="s">
        <v>5338</v>
      </c>
      <c r="B1828" s="11" t="s">
        <v>5351</v>
      </c>
      <c r="C1828" s="3" t="s">
        <v>24</v>
      </c>
      <c r="D1828" s="3" t="s">
        <v>2231</v>
      </c>
      <c r="E1828" s="4" t="s">
        <v>396</v>
      </c>
      <c r="F1828" s="4" t="s">
        <v>74</v>
      </c>
      <c r="G1828" s="4" t="s">
        <v>2276</v>
      </c>
      <c r="H1828" s="3" t="s">
        <v>524</v>
      </c>
      <c r="I1828" s="3"/>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4" t="s">
        <v>2276</v>
      </c>
      <c r="Z1828" s="4" t="s">
        <v>2276</v>
      </c>
      <c r="AA1828" s="4" t="s">
        <v>2276</v>
      </c>
      <c r="AB1828" s="4" t="s">
        <v>2276</v>
      </c>
      <c r="AC1828" s="4" t="s">
        <v>5352</v>
      </c>
      <c r="AD1828" s="3"/>
    </row>
    <row r="1829" spans="1:30" ht="29" customHeight="1">
      <c r="A1829" s="11" t="s">
        <v>5339</v>
      </c>
      <c r="B1829" s="11" t="s">
        <v>5353</v>
      </c>
      <c r="C1829" s="3" t="s">
        <v>24</v>
      </c>
      <c r="D1829" s="3" t="s">
        <v>27</v>
      </c>
      <c r="E1829" s="3" t="s">
        <v>130</v>
      </c>
      <c r="F1829" s="4" t="s">
        <v>74</v>
      </c>
      <c r="G1829" s="4" t="s">
        <v>2276</v>
      </c>
      <c r="H1829" s="3"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3"/>
      <c r="AD1829" s="3"/>
    </row>
    <row r="1830" spans="1:30" ht="28" customHeight="1">
      <c r="A1830" s="11" t="s">
        <v>5339</v>
      </c>
      <c r="B1830" s="11" t="s">
        <v>5354</v>
      </c>
      <c r="C1830" s="3" t="s">
        <v>24</v>
      </c>
      <c r="D1830" s="3" t="s">
        <v>2231</v>
      </c>
      <c r="E1830" s="3" t="s">
        <v>130</v>
      </c>
      <c r="F1830" s="4" t="s">
        <v>74</v>
      </c>
      <c r="G1830" s="4" t="s">
        <v>2276</v>
      </c>
      <c r="H1830" s="3"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3"/>
      <c r="AD1830" s="3"/>
    </row>
    <row r="1831" spans="1:30" ht="29">
      <c r="A1831" s="11" t="s">
        <v>5339</v>
      </c>
      <c r="B1831" s="11" t="s">
        <v>5355</v>
      </c>
      <c r="C1831" s="3" t="s">
        <v>24</v>
      </c>
      <c r="D1831" s="3" t="s">
        <v>2231</v>
      </c>
      <c r="E1831" s="4" t="s">
        <v>396</v>
      </c>
      <c r="F1831" s="4" t="s">
        <v>74</v>
      </c>
      <c r="G1831" s="4" t="s">
        <v>2276</v>
      </c>
      <c r="H1831" s="3"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3"/>
      <c r="AD1831" s="3"/>
    </row>
    <row r="1832" spans="1:30" ht="30" customHeight="1">
      <c r="A1832" s="11" t="s">
        <v>5361</v>
      </c>
      <c r="B1832" s="11" t="s">
        <v>5365</v>
      </c>
      <c r="C1832" s="3" t="s">
        <v>24</v>
      </c>
      <c r="D1832" s="52" t="s">
        <v>1245</v>
      </c>
      <c r="E1832" s="3" t="s">
        <v>116</v>
      </c>
      <c r="F1832" s="4" t="s">
        <v>2662</v>
      </c>
      <c r="G1832" s="4" t="s">
        <v>2276</v>
      </c>
      <c r="H1832" s="3"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3"/>
      <c r="AD1832" s="3"/>
    </row>
    <row r="1833" spans="1:30" ht="34.5" customHeight="1">
      <c r="A1833" s="11" t="s">
        <v>5361</v>
      </c>
      <c r="B1833" s="11" t="s">
        <v>5366</v>
      </c>
      <c r="C1833" s="3" t="s">
        <v>24</v>
      </c>
      <c r="D1833" s="52" t="s">
        <v>27</v>
      </c>
      <c r="E1833" s="3" t="s">
        <v>130</v>
      </c>
      <c r="F1833" s="4" t="s">
        <v>160</v>
      </c>
      <c r="G1833" s="4" t="s">
        <v>2276</v>
      </c>
      <c r="H1833" s="3"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3"/>
      <c r="AD1833" s="3"/>
    </row>
    <row r="1834" spans="1:30" ht="28" customHeight="1">
      <c r="A1834" s="11" t="s">
        <v>5370</v>
      </c>
      <c r="B1834" s="11" t="s">
        <v>5374</v>
      </c>
      <c r="C1834" s="3" t="s">
        <v>24</v>
      </c>
      <c r="D1834" s="3" t="s">
        <v>1242</v>
      </c>
      <c r="E1834" s="3" t="s">
        <v>116</v>
      </c>
      <c r="F1834" s="4" t="s">
        <v>74</v>
      </c>
      <c r="G1834" s="4" t="s">
        <v>2276</v>
      </c>
      <c r="H1834" s="3"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3"/>
      <c r="AD1834" s="3"/>
    </row>
    <row r="1835" spans="1:30" ht="30" customHeight="1">
      <c r="A1835" s="11" t="s">
        <v>5370</v>
      </c>
      <c r="B1835" s="11" t="s">
        <v>5375</v>
      </c>
      <c r="C1835" s="3" t="s">
        <v>24</v>
      </c>
      <c r="D1835" s="3" t="s">
        <v>25</v>
      </c>
      <c r="E1835" s="3" t="s">
        <v>45</v>
      </c>
      <c r="F1835" s="4" t="s">
        <v>55</v>
      </c>
      <c r="G1835" s="4" t="s">
        <v>2276</v>
      </c>
      <c r="H1835" s="3"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3"/>
    </row>
    <row r="1836" spans="1:30" ht="28" customHeight="1">
      <c r="A1836" s="11" t="s">
        <v>5370</v>
      </c>
      <c r="B1836" s="11" t="s">
        <v>5376</v>
      </c>
      <c r="C1836" s="3" t="s">
        <v>24</v>
      </c>
      <c r="D1836" s="3" t="s">
        <v>3480</v>
      </c>
      <c r="E1836" s="3" t="s">
        <v>116</v>
      </c>
      <c r="F1836" s="4" t="s">
        <v>74</v>
      </c>
      <c r="G1836" s="4" t="s">
        <v>2276</v>
      </c>
      <c r="H1836" s="3" t="s">
        <v>523</v>
      </c>
      <c r="I1836" s="3"/>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3" t="s">
        <v>189</v>
      </c>
      <c r="AA1836" s="3" t="s">
        <v>405</v>
      </c>
      <c r="AB1836" s="3" t="s">
        <v>2655</v>
      </c>
      <c r="AC1836" s="3"/>
      <c r="AD1836" s="3"/>
    </row>
    <row r="1837" spans="1:30" ht="51.5" customHeight="1">
      <c r="A1837" s="11" t="s">
        <v>5385</v>
      </c>
      <c r="B1837" s="11" t="s">
        <v>5388</v>
      </c>
      <c r="C1837" s="3" t="s">
        <v>24</v>
      </c>
      <c r="D1837" s="3" t="s">
        <v>1242</v>
      </c>
      <c r="E1837" s="3" t="s">
        <v>137</v>
      </c>
      <c r="F1837" s="4" t="s">
        <v>2662</v>
      </c>
      <c r="G1837" s="4" t="s">
        <v>2276</v>
      </c>
      <c r="H1837" s="3" t="s">
        <v>523</v>
      </c>
      <c r="I1837" s="3"/>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3" t="s">
        <v>405</v>
      </c>
      <c r="AA1837" s="3" t="s">
        <v>68</v>
      </c>
      <c r="AB1837" s="4" t="s">
        <v>2276</v>
      </c>
      <c r="AC1837" s="4" t="s">
        <v>5396</v>
      </c>
      <c r="AD1837" s="4" t="s">
        <v>5392</v>
      </c>
    </row>
    <row r="1838" spans="1:30" ht="50.5" customHeight="1">
      <c r="A1838" s="11" t="s">
        <v>5385</v>
      </c>
      <c r="B1838" s="11" t="s">
        <v>5389</v>
      </c>
      <c r="C1838" s="3" t="s">
        <v>24</v>
      </c>
      <c r="D1838" s="3" t="s">
        <v>1242</v>
      </c>
      <c r="E1838" s="3" t="s">
        <v>116</v>
      </c>
      <c r="F1838" s="4" t="s">
        <v>2662</v>
      </c>
      <c r="G1838" s="4" t="s">
        <v>2276</v>
      </c>
      <c r="H1838" s="3" t="s">
        <v>523</v>
      </c>
      <c r="I1838" s="3"/>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3" t="s">
        <v>405</v>
      </c>
      <c r="AA1838" s="3" t="s">
        <v>68</v>
      </c>
      <c r="AB1838" s="3" t="s">
        <v>2655</v>
      </c>
      <c r="AC1838" s="4" t="s">
        <v>5397</v>
      </c>
      <c r="AD1838" s="4" t="s">
        <v>5391</v>
      </c>
    </row>
    <row r="1839" spans="1:30" ht="59" customHeight="1">
      <c r="A1839" s="11" t="s">
        <v>5385</v>
      </c>
      <c r="B1839" s="11" t="s">
        <v>5390</v>
      </c>
      <c r="C1839" s="3" t="s">
        <v>2458</v>
      </c>
      <c r="D1839" s="3" t="s">
        <v>1242</v>
      </c>
      <c r="E1839" s="3" t="s">
        <v>137</v>
      </c>
      <c r="F1839" s="4" t="s">
        <v>2662</v>
      </c>
      <c r="G1839" s="4" t="s">
        <v>2276</v>
      </c>
      <c r="H1839" s="3" t="s">
        <v>523</v>
      </c>
      <c r="I1839" s="3"/>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3" t="s">
        <v>405</v>
      </c>
      <c r="AA1839" s="3" t="s">
        <v>68</v>
      </c>
      <c r="AB1839" s="4" t="s">
        <v>2276</v>
      </c>
      <c r="AC1839" s="4"/>
      <c r="AD1839" s="3"/>
    </row>
    <row r="1840" spans="1:30" ht="37" customHeight="1">
      <c r="A1840" s="11" t="s">
        <v>5403</v>
      </c>
      <c r="B1840" s="11" t="s">
        <v>5407</v>
      </c>
      <c r="C1840" s="3" t="s">
        <v>24</v>
      </c>
      <c r="D1840" s="3" t="s">
        <v>1242</v>
      </c>
      <c r="E1840" s="3" t="s">
        <v>116</v>
      </c>
      <c r="F1840" s="4" t="s">
        <v>2662</v>
      </c>
      <c r="G1840" s="4" t="s">
        <v>2276</v>
      </c>
      <c r="H1840" s="3" t="s">
        <v>523</v>
      </c>
      <c r="I1840" s="3"/>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3" t="s">
        <v>38</v>
      </c>
      <c r="AA1840" s="3" t="s">
        <v>68</v>
      </c>
      <c r="AB1840" s="4" t="s">
        <v>2276</v>
      </c>
      <c r="AC1840" s="3"/>
      <c r="AD1840" s="3"/>
    </row>
    <row r="1841" spans="1:30" ht="29">
      <c r="A1841" s="11" t="s">
        <v>5403</v>
      </c>
      <c r="B1841" s="11" t="s">
        <v>5408</v>
      </c>
      <c r="C1841" s="3" t="s">
        <v>24</v>
      </c>
      <c r="D1841" s="3" t="s">
        <v>1245</v>
      </c>
      <c r="E1841" s="3" t="s">
        <v>116</v>
      </c>
      <c r="F1841" s="4" t="s">
        <v>2662</v>
      </c>
      <c r="G1841" s="4" t="s">
        <v>2276</v>
      </c>
      <c r="H1841" s="3" t="s">
        <v>523</v>
      </c>
      <c r="I1841" s="3"/>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3" t="s">
        <v>38</v>
      </c>
      <c r="AA1841" s="3" t="s">
        <v>68</v>
      </c>
      <c r="AB1841" s="4" t="s">
        <v>2276</v>
      </c>
      <c r="AC1841" s="3"/>
      <c r="AD1841" s="3"/>
    </row>
    <row r="1842" spans="1:30" ht="29">
      <c r="A1842" s="11" t="s">
        <v>5403</v>
      </c>
      <c r="B1842" s="11" t="s">
        <v>5409</v>
      </c>
      <c r="C1842" s="3" t="s">
        <v>24</v>
      </c>
      <c r="D1842" s="3" t="s">
        <v>2276</v>
      </c>
      <c r="E1842" s="3" t="s">
        <v>116</v>
      </c>
      <c r="F1842" s="4" t="s">
        <v>2662</v>
      </c>
      <c r="G1842" s="4" t="s">
        <v>2276</v>
      </c>
      <c r="H1842" s="3" t="s">
        <v>523</v>
      </c>
      <c r="I1842" s="3"/>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3" t="s">
        <v>38</v>
      </c>
      <c r="AA1842" s="3" t="s">
        <v>68</v>
      </c>
      <c r="AB1842" s="4" t="s">
        <v>2276</v>
      </c>
      <c r="AC1842" s="3"/>
      <c r="AD1842" s="3"/>
    </row>
    <row r="1843" spans="1:30" ht="37" customHeight="1">
      <c r="A1843" s="11" t="s">
        <v>5403</v>
      </c>
      <c r="B1843" s="11" t="s">
        <v>5410</v>
      </c>
      <c r="C1843" s="3" t="s">
        <v>24</v>
      </c>
      <c r="D1843" s="3" t="s">
        <v>25</v>
      </c>
      <c r="E1843" s="3" t="s">
        <v>2647</v>
      </c>
      <c r="F1843" s="4" t="s">
        <v>29</v>
      </c>
      <c r="G1843" s="4" t="s">
        <v>2276</v>
      </c>
      <c r="H1843" s="3" t="s">
        <v>523</v>
      </c>
      <c r="I1843" s="3"/>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3" t="s">
        <v>38</v>
      </c>
      <c r="AA1843" s="3" t="s">
        <v>68</v>
      </c>
      <c r="AB1843" s="4" t="s">
        <v>2276</v>
      </c>
      <c r="AC1843" s="3"/>
      <c r="AD1843" s="3"/>
    </row>
    <row r="1844" spans="1:30" ht="37" customHeight="1">
      <c r="A1844" s="11" t="s">
        <v>5403</v>
      </c>
      <c r="B1844" s="11" t="s">
        <v>5411</v>
      </c>
      <c r="C1844" s="3" t="s">
        <v>24</v>
      </c>
      <c r="D1844" s="3" t="s">
        <v>1242</v>
      </c>
      <c r="E1844" s="3" t="s">
        <v>2647</v>
      </c>
      <c r="F1844" s="4" t="s">
        <v>29</v>
      </c>
      <c r="G1844" s="4" t="s">
        <v>2276</v>
      </c>
      <c r="H1844" s="3" t="s">
        <v>523</v>
      </c>
      <c r="I1844" s="3"/>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3" t="s">
        <v>38</v>
      </c>
      <c r="AA1844" s="3" t="s">
        <v>68</v>
      </c>
      <c r="AB1844" s="4" t="s">
        <v>2276</v>
      </c>
      <c r="AC1844" s="3"/>
      <c r="AD1844" s="3"/>
    </row>
    <row r="1845" spans="1:30" ht="28" customHeight="1">
      <c r="A1845" s="11" t="s">
        <v>5414</v>
      </c>
      <c r="B1845" s="11" t="s">
        <v>5416</v>
      </c>
      <c r="C1845" s="3" t="s">
        <v>24</v>
      </c>
      <c r="D1845" s="3" t="s">
        <v>1242</v>
      </c>
      <c r="E1845" s="3" t="s">
        <v>137</v>
      </c>
      <c r="F1845" s="4" t="s">
        <v>74</v>
      </c>
      <c r="G1845" s="4" t="s">
        <v>2276</v>
      </c>
      <c r="H1845" s="3" t="s">
        <v>523</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3"/>
      <c r="AD1845" s="3"/>
    </row>
    <row r="1846" spans="1:30" ht="32" customHeight="1">
      <c r="A1846" s="11" t="s">
        <v>5414</v>
      </c>
      <c r="B1846" s="11" t="s">
        <v>5417</v>
      </c>
      <c r="C1846" s="3" t="s">
        <v>24</v>
      </c>
      <c r="D1846" s="3" t="s">
        <v>3480</v>
      </c>
      <c r="E1846" s="3" t="s">
        <v>116</v>
      </c>
      <c r="F1846" s="4" t="s">
        <v>55</v>
      </c>
      <c r="G1846" s="4" t="s">
        <v>2276</v>
      </c>
      <c r="H1846" s="3" t="s">
        <v>523</v>
      </c>
      <c r="I1846" s="3"/>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3"/>
    </row>
    <row r="1847" spans="1:30" ht="37" customHeight="1">
      <c r="A1847" s="11" t="s">
        <v>5421</v>
      </c>
      <c r="B1847" s="11" t="s">
        <v>5423</v>
      </c>
      <c r="C1847" s="3" t="s">
        <v>24</v>
      </c>
      <c r="D1847" s="3" t="s">
        <v>1242</v>
      </c>
      <c r="E1847" s="3" t="s">
        <v>137</v>
      </c>
      <c r="F1847" s="4" t="s">
        <v>2662</v>
      </c>
      <c r="G1847" s="4" t="s">
        <v>2276</v>
      </c>
      <c r="H1847" s="3" t="s">
        <v>523</v>
      </c>
      <c r="I1847" s="3"/>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3" t="s">
        <v>38</v>
      </c>
      <c r="AA1847" s="3" t="s">
        <v>404</v>
      </c>
      <c r="AB1847" s="3" t="s">
        <v>2655</v>
      </c>
      <c r="AC1847" s="3"/>
      <c r="AD1847" s="3"/>
    </row>
    <row r="1848" spans="1:30" ht="35.5" customHeight="1">
      <c r="A1848" s="11" t="s">
        <v>5421</v>
      </c>
      <c r="B1848" s="11" t="s">
        <v>5424</v>
      </c>
      <c r="C1848" s="3" t="s">
        <v>24</v>
      </c>
      <c r="D1848" s="3" t="s">
        <v>1242</v>
      </c>
      <c r="E1848" s="3" t="s">
        <v>116</v>
      </c>
      <c r="F1848" s="4" t="s">
        <v>2662</v>
      </c>
      <c r="G1848" s="4" t="s">
        <v>2276</v>
      </c>
      <c r="H1848" s="3" t="s">
        <v>523</v>
      </c>
      <c r="I1848" s="3"/>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3" t="s">
        <v>38</v>
      </c>
      <c r="AA1848" s="3" t="s">
        <v>404</v>
      </c>
      <c r="AB1848" s="3" t="s">
        <v>2655</v>
      </c>
      <c r="AC1848" s="3"/>
      <c r="AD1848" s="3"/>
    </row>
    <row r="1849" spans="1:30" ht="45.5" customHeight="1">
      <c r="A1849" s="11" t="s">
        <v>5427</v>
      </c>
      <c r="B1849" s="11" t="s">
        <v>5430</v>
      </c>
      <c r="C1849" s="3" t="s">
        <v>24</v>
      </c>
      <c r="D1849" s="3" t="s">
        <v>1242</v>
      </c>
      <c r="E1849" s="3" t="s">
        <v>137</v>
      </c>
      <c r="F1849" s="4" t="s">
        <v>74</v>
      </c>
      <c r="G1849" s="4" t="s">
        <v>2276</v>
      </c>
      <c r="H1849" s="3" t="s">
        <v>524</v>
      </c>
      <c r="I1849" s="3">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3"/>
    </row>
    <row r="1850" spans="1:30" ht="45.5" customHeight="1">
      <c r="A1850" s="11" t="s">
        <v>5427</v>
      </c>
      <c r="B1850" s="11" t="s">
        <v>5431</v>
      </c>
      <c r="C1850" s="3" t="s">
        <v>24</v>
      </c>
      <c r="D1850" s="3" t="s">
        <v>1242</v>
      </c>
      <c r="E1850" s="3" t="s">
        <v>116</v>
      </c>
      <c r="F1850" s="4" t="s">
        <v>74</v>
      </c>
      <c r="G1850" s="4" t="s">
        <v>2276</v>
      </c>
      <c r="H1850" s="3" t="s">
        <v>524</v>
      </c>
      <c r="I1850" s="3">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3"/>
    </row>
    <row r="1851" spans="1:30" ht="45.5" customHeight="1">
      <c r="A1851" s="11" t="s">
        <v>5427</v>
      </c>
      <c r="B1851" s="11" t="s">
        <v>5432</v>
      </c>
      <c r="C1851" s="3" t="s">
        <v>2656</v>
      </c>
      <c r="D1851" s="3" t="s">
        <v>2276</v>
      </c>
      <c r="E1851" s="3" t="s">
        <v>2276</v>
      </c>
      <c r="F1851" s="4" t="s">
        <v>2276</v>
      </c>
      <c r="G1851" s="3" t="s">
        <v>74</v>
      </c>
      <c r="H1851" s="3" t="s">
        <v>523</v>
      </c>
      <c r="I1851" s="3">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3" t="s">
        <v>405</v>
      </c>
      <c r="AA1851" s="4" t="s">
        <v>2276</v>
      </c>
      <c r="AB1851" s="4" t="s">
        <v>2276</v>
      </c>
      <c r="AC1851" s="4" t="s">
        <v>5436</v>
      </c>
      <c r="AD1851" s="3"/>
    </row>
    <row r="1852" spans="1:30" ht="45.5" customHeight="1">
      <c r="A1852" s="45" t="s">
        <v>5427</v>
      </c>
      <c r="B1852" s="45" t="s">
        <v>5433</v>
      </c>
      <c r="C1852" s="3" t="s">
        <v>24</v>
      </c>
      <c r="D1852" s="3" t="s">
        <v>1242</v>
      </c>
      <c r="E1852" s="3" t="s">
        <v>137</v>
      </c>
      <c r="F1852" s="4" t="s">
        <v>74</v>
      </c>
      <c r="G1852" s="4" t="s">
        <v>2276</v>
      </c>
      <c r="H1852" s="3"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3"/>
    </row>
    <row r="1853" spans="1:30" ht="45.5" customHeight="1">
      <c r="A1853" s="11" t="s">
        <v>5427</v>
      </c>
      <c r="B1853" s="11" t="s">
        <v>5434</v>
      </c>
      <c r="C1853" s="3" t="s">
        <v>24</v>
      </c>
      <c r="D1853" s="3" t="s">
        <v>1242</v>
      </c>
      <c r="E1853" s="3" t="s">
        <v>116</v>
      </c>
      <c r="F1853" s="4" t="s">
        <v>74</v>
      </c>
      <c r="G1853" s="4" t="s">
        <v>2276</v>
      </c>
      <c r="H1853" s="3"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3"/>
    </row>
    <row r="1854" spans="1:30" ht="47" customHeight="1">
      <c r="A1854" s="11" t="s">
        <v>5440</v>
      </c>
      <c r="B1854" s="11" t="s">
        <v>5456</v>
      </c>
      <c r="C1854" s="3" t="s">
        <v>24</v>
      </c>
      <c r="D1854" s="3" t="s">
        <v>27</v>
      </c>
      <c r="E1854" s="3" t="s">
        <v>130</v>
      </c>
      <c r="F1854" s="4" t="s">
        <v>160</v>
      </c>
      <c r="G1854" s="4" t="s">
        <v>2276</v>
      </c>
      <c r="H1854" s="3" t="s">
        <v>523</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3" t="s">
        <v>86</v>
      </c>
      <c r="AA1854" s="3" t="s">
        <v>86</v>
      </c>
      <c r="AB1854" s="4" t="s">
        <v>2276</v>
      </c>
      <c r="AC1854" s="3"/>
      <c r="AD1854" s="19"/>
    </row>
    <row r="1855" spans="1:30" ht="40" customHeight="1">
      <c r="A1855" s="11" t="s">
        <v>5440</v>
      </c>
      <c r="B1855" s="11" t="s">
        <v>5457</v>
      </c>
      <c r="C1855" s="3" t="s">
        <v>24</v>
      </c>
      <c r="D1855" s="3" t="s">
        <v>27</v>
      </c>
      <c r="E1855" s="3" t="s">
        <v>130</v>
      </c>
      <c r="F1855" s="4" t="s">
        <v>28</v>
      </c>
      <c r="G1855" s="4" t="s">
        <v>2276</v>
      </c>
      <c r="H1855" s="3" t="s">
        <v>523</v>
      </c>
      <c r="I1855" s="3"/>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3" t="s">
        <v>86</v>
      </c>
      <c r="AA1855" s="3" t="s">
        <v>86</v>
      </c>
      <c r="AB1855" s="4" t="s">
        <v>2276</v>
      </c>
      <c r="AC1855" s="3"/>
      <c r="AD1855" s="3"/>
    </row>
    <row r="1856" spans="1:30" ht="40" customHeight="1">
      <c r="A1856" s="11" t="s">
        <v>5440</v>
      </c>
      <c r="B1856" s="11" t="s">
        <v>5458</v>
      </c>
      <c r="C1856" s="3" t="s">
        <v>24</v>
      </c>
      <c r="D1856" s="3" t="s">
        <v>2659</v>
      </c>
      <c r="E1856" s="3" t="s">
        <v>130</v>
      </c>
      <c r="F1856" s="4" t="s">
        <v>28</v>
      </c>
      <c r="G1856" s="4" t="s">
        <v>2276</v>
      </c>
      <c r="H1856" s="3" t="s">
        <v>523</v>
      </c>
      <c r="I1856" s="3"/>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3" t="s">
        <v>35</v>
      </c>
      <c r="AA1856" s="3" t="s">
        <v>127</v>
      </c>
      <c r="AB1856" s="3" t="s">
        <v>2655</v>
      </c>
      <c r="AC1856" s="3" t="s">
        <v>5460</v>
      </c>
      <c r="AD1856" s="3"/>
    </row>
    <row r="1857" spans="1:30" ht="38.5" customHeight="1">
      <c r="A1857" s="11" t="s">
        <v>5440</v>
      </c>
      <c r="B1857" s="11" t="s">
        <v>5461</v>
      </c>
      <c r="C1857" s="3" t="s">
        <v>24</v>
      </c>
      <c r="D1857" s="3" t="s">
        <v>27</v>
      </c>
      <c r="E1857" s="4" t="s">
        <v>397</v>
      </c>
      <c r="F1857" s="4" t="s">
        <v>28</v>
      </c>
      <c r="G1857" s="4" t="s">
        <v>2276</v>
      </c>
      <c r="H1857" s="3" t="s">
        <v>523</v>
      </c>
      <c r="I1857" s="3"/>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3" t="s">
        <v>189</v>
      </c>
      <c r="AA1857" s="3" t="s">
        <v>86</v>
      </c>
      <c r="AB1857" s="3" t="s">
        <v>64</v>
      </c>
      <c r="AC1857" s="19" t="s">
        <v>5459</v>
      </c>
      <c r="AD1857" s="3"/>
    </row>
    <row r="1858" spans="1:30" ht="35.5" customHeight="1">
      <c r="A1858" s="11" t="s">
        <v>5440</v>
      </c>
      <c r="B1858" s="11" t="s">
        <v>5462</v>
      </c>
      <c r="C1858" s="3" t="s">
        <v>24</v>
      </c>
      <c r="D1858" s="3" t="s">
        <v>25</v>
      </c>
      <c r="E1858" s="3" t="s">
        <v>5005</v>
      </c>
      <c r="F1858" s="4" t="s">
        <v>2662</v>
      </c>
      <c r="G1858" s="4" t="s">
        <v>2276</v>
      </c>
      <c r="H1858" s="3" t="s">
        <v>523</v>
      </c>
      <c r="I1858" s="3"/>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3" t="s">
        <v>38</v>
      </c>
      <c r="AA1858" s="3" t="s">
        <v>86</v>
      </c>
      <c r="AB1858" s="4" t="s">
        <v>2276</v>
      </c>
      <c r="AC1858" s="3" t="s">
        <v>5460</v>
      </c>
      <c r="AD1858" s="3"/>
    </row>
    <row r="1859" spans="1:30" ht="37" customHeight="1">
      <c r="A1859" s="11" t="s">
        <v>5440</v>
      </c>
      <c r="B1859" s="11" t="s">
        <v>5464</v>
      </c>
      <c r="C1859" s="3" t="s">
        <v>24</v>
      </c>
      <c r="D1859" s="3" t="s">
        <v>2341</v>
      </c>
      <c r="E1859" s="3" t="s">
        <v>116</v>
      </c>
      <c r="F1859" s="4" t="s">
        <v>2662</v>
      </c>
      <c r="G1859" s="4" t="s">
        <v>2276</v>
      </c>
      <c r="H1859" s="3" t="s">
        <v>523</v>
      </c>
      <c r="I1859" s="3"/>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3" t="s">
        <v>2276</v>
      </c>
      <c r="AA1859" s="3" t="s">
        <v>2276</v>
      </c>
      <c r="AB1859" s="3" t="s">
        <v>2276</v>
      </c>
      <c r="AC1859" s="3"/>
      <c r="AD1859" s="3"/>
    </row>
    <row r="1860" spans="1:30" ht="37" customHeight="1">
      <c r="A1860" s="11" t="s">
        <v>5440</v>
      </c>
      <c r="B1860" s="11" t="s">
        <v>5465</v>
      </c>
      <c r="C1860" s="3" t="s">
        <v>24</v>
      </c>
      <c r="D1860" s="3" t="s">
        <v>1245</v>
      </c>
      <c r="E1860" s="3" t="s">
        <v>116</v>
      </c>
      <c r="F1860" s="4" t="s">
        <v>2662</v>
      </c>
      <c r="G1860" s="4" t="s">
        <v>2276</v>
      </c>
      <c r="H1860" s="3" t="s">
        <v>523</v>
      </c>
      <c r="I1860" s="3"/>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3" t="s">
        <v>2276</v>
      </c>
      <c r="AA1860" s="3" t="s">
        <v>2276</v>
      </c>
      <c r="AB1860" s="4" t="s">
        <v>2276</v>
      </c>
      <c r="AC1860" s="3"/>
      <c r="AD1860" s="3"/>
    </row>
    <row r="1861" spans="1:30" ht="32.5" customHeight="1">
      <c r="A1861" s="11" t="s">
        <v>5440</v>
      </c>
      <c r="B1861" s="11" t="s">
        <v>5466</v>
      </c>
      <c r="C1861" s="3" t="s">
        <v>24</v>
      </c>
      <c r="D1861" s="3" t="s">
        <v>3480</v>
      </c>
      <c r="E1861" s="3" t="s">
        <v>116</v>
      </c>
      <c r="F1861" s="4" t="s">
        <v>2662</v>
      </c>
      <c r="G1861" s="4" t="s">
        <v>2276</v>
      </c>
      <c r="H1861" s="3" t="s">
        <v>523</v>
      </c>
      <c r="I1861" s="3"/>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3" t="s">
        <v>2276</v>
      </c>
      <c r="AA1861" s="3" t="s">
        <v>2276</v>
      </c>
      <c r="AB1861" s="3" t="s">
        <v>2276</v>
      </c>
      <c r="AC1861" s="3"/>
      <c r="AD1861" s="3"/>
    </row>
    <row r="1862" spans="1:30" ht="32.5" customHeight="1">
      <c r="A1862" s="11" t="s">
        <v>5440</v>
      </c>
      <c r="B1862" s="11" t="s">
        <v>5467</v>
      </c>
      <c r="C1862" s="3" t="s">
        <v>24</v>
      </c>
      <c r="D1862" s="3" t="s">
        <v>26</v>
      </c>
      <c r="E1862" s="3" t="s">
        <v>5005</v>
      </c>
      <c r="F1862" s="4" t="s">
        <v>2662</v>
      </c>
      <c r="G1862" s="4" t="s">
        <v>2276</v>
      </c>
      <c r="H1862" s="3" t="s">
        <v>523</v>
      </c>
      <c r="I1862" s="3"/>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3"/>
      <c r="AD1862" s="3"/>
    </row>
    <row r="1863" spans="1:30" ht="30" customHeight="1">
      <c r="A1863" s="11" t="s">
        <v>5440</v>
      </c>
      <c r="B1863" s="11" t="s">
        <v>5468</v>
      </c>
      <c r="C1863" s="3" t="s">
        <v>2458</v>
      </c>
      <c r="D1863" s="3" t="s">
        <v>27</v>
      </c>
      <c r="E1863" s="3" t="s">
        <v>130</v>
      </c>
      <c r="F1863" s="4" t="s">
        <v>160</v>
      </c>
      <c r="G1863" s="4" t="s">
        <v>2276</v>
      </c>
      <c r="H1863" s="3" t="s">
        <v>523</v>
      </c>
      <c r="I1863" s="3"/>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3" t="s">
        <v>86</v>
      </c>
      <c r="AA1863" s="3" t="s">
        <v>86</v>
      </c>
      <c r="AB1863" s="4" t="s">
        <v>2276</v>
      </c>
      <c r="AC1863" s="3"/>
      <c r="AD1863" s="3"/>
    </row>
    <row r="1864" spans="1:30" ht="30" customHeight="1">
      <c r="A1864" s="11" t="s">
        <v>5440</v>
      </c>
      <c r="B1864" s="11" t="s">
        <v>5469</v>
      </c>
      <c r="C1864" s="3" t="s">
        <v>2458</v>
      </c>
      <c r="D1864" s="3" t="s">
        <v>27</v>
      </c>
      <c r="E1864" s="3" t="s">
        <v>130</v>
      </c>
      <c r="F1864" s="4" t="s">
        <v>28</v>
      </c>
      <c r="G1864" s="4" t="s">
        <v>2276</v>
      </c>
      <c r="H1864" s="3" t="s">
        <v>523</v>
      </c>
      <c r="I1864" s="3"/>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3" t="s">
        <v>86</v>
      </c>
      <c r="AA1864" s="3" t="s">
        <v>86</v>
      </c>
      <c r="AB1864" s="4" t="s">
        <v>2276</v>
      </c>
      <c r="AC1864" s="3"/>
      <c r="AD1864" s="3"/>
    </row>
    <row r="1865" spans="1:30" ht="30" customHeight="1">
      <c r="A1865" s="11" t="s">
        <v>5440</v>
      </c>
      <c r="B1865" s="11" t="s">
        <v>5470</v>
      </c>
      <c r="C1865" s="3" t="s">
        <v>2458</v>
      </c>
      <c r="D1865" s="3" t="s">
        <v>2659</v>
      </c>
      <c r="E1865" s="3" t="s">
        <v>130</v>
      </c>
      <c r="F1865" s="4" t="s">
        <v>28</v>
      </c>
      <c r="G1865" s="4" t="s">
        <v>2276</v>
      </c>
      <c r="H1865" s="3" t="s">
        <v>523</v>
      </c>
      <c r="I1865" s="3"/>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3" t="s">
        <v>35</v>
      </c>
      <c r="AA1865" s="3" t="s">
        <v>127</v>
      </c>
      <c r="AB1865" s="3" t="s">
        <v>2655</v>
      </c>
      <c r="AC1865" s="3" t="s">
        <v>5460</v>
      </c>
      <c r="AD1865" s="3"/>
    </row>
    <row r="1866" spans="1:30" ht="41" customHeight="1">
      <c r="A1866" s="11" t="s">
        <v>5440</v>
      </c>
      <c r="B1866" s="11" t="s">
        <v>5471</v>
      </c>
      <c r="C1866" s="3" t="s">
        <v>2458</v>
      </c>
      <c r="D1866" s="3" t="s">
        <v>2659</v>
      </c>
      <c r="E1866" s="3" t="s">
        <v>130</v>
      </c>
      <c r="F1866" s="4" t="s">
        <v>2662</v>
      </c>
      <c r="G1866" s="4" t="s">
        <v>2276</v>
      </c>
      <c r="H1866" s="3" t="s">
        <v>523</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3"/>
      <c r="AD1866" s="3"/>
    </row>
    <row r="1867" spans="1:30" ht="36.5" customHeight="1">
      <c r="A1867" s="11" t="s">
        <v>5440</v>
      </c>
      <c r="B1867" s="11" t="s">
        <v>5472</v>
      </c>
      <c r="C1867" s="3" t="s">
        <v>24</v>
      </c>
      <c r="D1867" s="3" t="s">
        <v>2231</v>
      </c>
      <c r="E1867" s="4" t="s">
        <v>396</v>
      </c>
      <c r="F1867" s="4" t="s">
        <v>28</v>
      </c>
      <c r="G1867" s="4" t="s">
        <v>2276</v>
      </c>
      <c r="H1867" s="3" t="s">
        <v>523</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3" t="s">
        <v>5475</v>
      </c>
      <c r="AD1867" s="3"/>
    </row>
    <row r="1868" spans="1:30" ht="29" customHeight="1">
      <c r="A1868" s="11" t="s">
        <v>5440</v>
      </c>
      <c r="B1868" s="11" t="s">
        <v>5473</v>
      </c>
      <c r="C1868" s="3" t="s">
        <v>24</v>
      </c>
      <c r="D1868" s="3" t="s">
        <v>1131</v>
      </c>
      <c r="E1868" s="4" t="s">
        <v>396</v>
      </c>
      <c r="F1868" s="4" t="s">
        <v>28</v>
      </c>
      <c r="G1868" s="4" t="s">
        <v>2276</v>
      </c>
      <c r="H1868" s="3" t="s">
        <v>523</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3" t="s">
        <v>189</v>
      </c>
      <c r="AA1868" s="3" t="s">
        <v>38</v>
      </c>
      <c r="AB1868" s="4" t="s">
        <v>2276</v>
      </c>
      <c r="AC1868" s="3" t="s">
        <v>5474</v>
      </c>
      <c r="AD1868" s="3"/>
    </row>
    <row r="1869" spans="1:30" ht="30" customHeight="1">
      <c r="A1869" s="11" t="s">
        <v>5440</v>
      </c>
      <c r="B1869" s="11" t="s">
        <v>5480</v>
      </c>
      <c r="C1869" s="3" t="s">
        <v>24</v>
      </c>
      <c r="D1869" s="3" t="s">
        <v>2346</v>
      </c>
      <c r="E1869" s="3" t="s">
        <v>130</v>
      </c>
      <c r="F1869" s="4" t="s">
        <v>28</v>
      </c>
      <c r="G1869" s="4" t="s">
        <v>2276</v>
      </c>
      <c r="H1869" s="3" t="s">
        <v>523</v>
      </c>
      <c r="I1869" s="3"/>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3"/>
      <c r="AD1869" s="3"/>
    </row>
    <row r="1870" spans="1:30" ht="35.5" customHeight="1">
      <c r="A1870" s="11" t="s">
        <v>5440</v>
      </c>
      <c r="B1870" s="11" t="s">
        <v>5481</v>
      </c>
      <c r="C1870" s="3" t="s">
        <v>24</v>
      </c>
      <c r="D1870" s="3" t="s">
        <v>1245</v>
      </c>
      <c r="E1870" s="3" t="s">
        <v>2652</v>
      </c>
      <c r="F1870" s="4" t="s">
        <v>2662</v>
      </c>
      <c r="G1870" s="4" t="s">
        <v>2276</v>
      </c>
      <c r="H1870" s="3" t="s">
        <v>523</v>
      </c>
      <c r="I1870" s="3"/>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3"/>
      <c r="AD1870" s="3"/>
    </row>
    <row r="1871" spans="1:30" ht="35.5" customHeight="1">
      <c r="A1871" s="11" t="s">
        <v>5440</v>
      </c>
      <c r="B1871" s="11" t="s">
        <v>5482</v>
      </c>
      <c r="C1871" s="3" t="s">
        <v>24</v>
      </c>
      <c r="D1871" s="3" t="s">
        <v>2341</v>
      </c>
      <c r="E1871" s="3" t="s">
        <v>2652</v>
      </c>
      <c r="F1871" s="4" t="s">
        <v>2662</v>
      </c>
      <c r="G1871" s="4" t="s">
        <v>2276</v>
      </c>
      <c r="H1871" s="3" t="s">
        <v>523</v>
      </c>
      <c r="I1871" s="3"/>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3"/>
      <c r="AD1871" s="3"/>
    </row>
    <row r="1872" spans="1:30" ht="46" customHeight="1">
      <c r="A1872" s="11" t="s">
        <v>5440</v>
      </c>
      <c r="B1872" s="11" t="s">
        <v>5503</v>
      </c>
      <c r="C1872" s="3" t="s">
        <v>24</v>
      </c>
      <c r="D1872" s="3" t="s">
        <v>4162</v>
      </c>
      <c r="E1872" s="3" t="s">
        <v>2649</v>
      </c>
      <c r="F1872" s="4" t="s">
        <v>74</v>
      </c>
      <c r="G1872" s="4" t="s">
        <v>2276</v>
      </c>
      <c r="H1872" s="3" t="s">
        <v>523</v>
      </c>
      <c r="I1872" s="3"/>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3"/>
      <c r="AD1872" s="3"/>
    </row>
    <row r="1873" spans="1:30" ht="34.5" customHeight="1">
      <c r="A1873" s="11" t="s">
        <v>5443</v>
      </c>
      <c r="B1873" s="11" t="s">
        <v>5483</v>
      </c>
      <c r="C1873" s="3" t="s">
        <v>24</v>
      </c>
      <c r="D1873" s="3" t="s">
        <v>27</v>
      </c>
      <c r="E1873" s="3" t="s">
        <v>130</v>
      </c>
      <c r="F1873" s="4" t="s">
        <v>160</v>
      </c>
      <c r="G1873" s="4" t="s">
        <v>2276</v>
      </c>
      <c r="H1873" s="3" t="s">
        <v>523</v>
      </c>
      <c r="I1873" s="3"/>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3" t="s">
        <v>86</v>
      </c>
      <c r="AA1873" s="3" t="s">
        <v>86</v>
      </c>
      <c r="AB1873" s="4" t="s">
        <v>2276</v>
      </c>
      <c r="AC1873" s="3"/>
      <c r="AD1873" s="3"/>
    </row>
    <row r="1874" spans="1:30" ht="29">
      <c r="A1874" s="11" t="s">
        <v>5443</v>
      </c>
      <c r="B1874" s="11" t="s">
        <v>5484</v>
      </c>
      <c r="C1874" s="3" t="s">
        <v>24</v>
      </c>
      <c r="D1874" s="3" t="s">
        <v>25</v>
      </c>
      <c r="E1874" s="3" t="s">
        <v>5005</v>
      </c>
      <c r="F1874" s="4" t="s">
        <v>2662</v>
      </c>
      <c r="G1874" s="4" t="s">
        <v>2276</v>
      </c>
      <c r="H1874" s="3" t="s">
        <v>523</v>
      </c>
      <c r="I1874" s="3"/>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3" t="s">
        <v>86</v>
      </c>
      <c r="AA1874" s="3" t="s">
        <v>86</v>
      </c>
      <c r="AB1874" s="4" t="s">
        <v>2276</v>
      </c>
      <c r="AC1874" s="3"/>
      <c r="AD1874" s="3"/>
    </row>
    <row r="1875" spans="1:30" ht="29">
      <c r="A1875" s="11" t="s">
        <v>5443</v>
      </c>
      <c r="B1875" s="11" t="s">
        <v>5485</v>
      </c>
      <c r="C1875" s="3" t="s">
        <v>24</v>
      </c>
      <c r="D1875" s="3" t="s">
        <v>2341</v>
      </c>
      <c r="E1875" s="3" t="s">
        <v>116</v>
      </c>
      <c r="F1875" s="4" t="s">
        <v>2662</v>
      </c>
      <c r="G1875" s="4" t="s">
        <v>2276</v>
      </c>
      <c r="H1875" s="3" t="s">
        <v>523</v>
      </c>
      <c r="I1875" s="3"/>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3" t="s">
        <v>2276</v>
      </c>
      <c r="AA1875" s="3" t="s">
        <v>2276</v>
      </c>
      <c r="AB1875" s="4" t="s">
        <v>2276</v>
      </c>
      <c r="AC1875" s="3"/>
      <c r="AD1875" s="3"/>
    </row>
    <row r="1876" spans="1:30" ht="29">
      <c r="A1876" s="11" t="s">
        <v>5443</v>
      </c>
      <c r="B1876" s="11" t="s">
        <v>5486</v>
      </c>
      <c r="C1876" s="3" t="s">
        <v>24</v>
      </c>
      <c r="D1876" s="3" t="s">
        <v>1245</v>
      </c>
      <c r="E1876" s="3" t="s">
        <v>116</v>
      </c>
      <c r="F1876" s="4" t="s">
        <v>2662</v>
      </c>
      <c r="G1876" s="4" t="s">
        <v>2276</v>
      </c>
      <c r="H1876" s="3" t="s">
        <v>523</v>
      </c>
      <c r="I1876" s="3"/>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3" t="s">
        <v>189</v>
      </c>
      <c r="AA1876" s="3" t="s">
        <v>86</v>
      </c>
      <c r="AB1876" s="4" t="s">
        <v>2276</v>
      </c>
      <c r="AC1876" s="3"/>
      <c r="AD1876" s="3"/>
    </row>
    <row r="1877" spans="1:30" ht="29">
      <c r="A1877" s="11" t="s">
        <v>5443</v>
      </c>
      <c r="B1877" s="11" t="s">
        <v>5487</v>
      </c>
      <c r="C1877" s="3" t="s">
        <v>24</v>
      </c>
      <c r="D1877" s="3" t="s">
        <v>3480</v>
      </c>
      <c r="E1877" s="3" t="s">
        <v>116</v>
      </c>
      <c r="F1877" s="4" t="s">
        <v>2662</v>
      </c>
      <c r="G1877" s="4" t="s">
        <v>2276</v>
      </c>
      <c r="H1877" s="3" t="s">
        <v>523</v>
      </c>
      <c r="I1877" s="3"/>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3" t="s">
        <v>188</v>
      </c>
      <c r="AA1877" s="3" t="s">
        <v>189</v>
      </c>
      <c r="AB1877" s="4" t="s">
        <v>2276</v>
      </c>
      <c r="AC1877" s="3"/>
      <c r="AD1877" s="3"/>
    </row>
    <row r="1878" spans="1:30" ht="29">
      <c r="A1878" s="11" t="s">
        <v>5443</v>
      </c>
      <c r="B1878" s="11" t="s">
        <v>5488</v>
      </c>
      <c r="C1878" s="3" t="s">
        <v>24</v>
      </c>
      <c r="D1878" s="3" t="s">
        <v>26</v>
      </c>
      <c r="E1878" s="3" t="s">
        <v>5005</v>
      </c>
      <c r="F1878" s="4" t="s">
        <v>2662</v>
      </c>
      <c r="G1878" s="4" t="s">
        <v>2276</v>
      </c>
      <c r="H1878" s="3" t="s">
        <v>523</v>
      </c>
      <c r="I1878" s="3"/>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3"/>
      <c r="AD1878" s="3"/>
    </row>
    <row r="1879" spans="1:30" ht="34" customHeight="1">
      <c r="A1879" s="11" t="s">
        <v>5443</v>
      </c>
      <c r="B1879" s="11" t="s">
        <v>5489</v>
      </c>
      <c r="C1879" s="3" t="s">
        <v>2458</v>
      </c>
      <c r="D1879" s="3" t="s">
        <v>27</v>
      </c>
      <c r="E1879" s="3" t="s">
        <v>130</v>
      </c>
      <c r="F1879" s="4" t="s">
        <v>160</v>
      </c>
      <c r="G1879" s="4" t="s">
        <v>2276</v>
      </c>
      <c r="H1879" s="3" t="s">
        <v>523</v>
      </c>
      <c r="I1879" s="3"/>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3" t="s">
        <v>86</v>
      </c>
      <c r="AA1879" s="3" t="s">
        <v>86</v>
      </c>
      <c r="AB1879" s="4" t="s">
        <v>2276</v>
      </c>
      <c r="AC1879" s="3"/>
      <c r="AD1879" s="3"/>
    </row>
    <row r="1880" spans="1:30" ht="29">
      <c r="A1880" s="11" t="s">
        <v>5443</v>
      </c>
      <c r="B1880" s="11" t="s">
        <v>5490</v>
      </c>
      <c r="C1880" s="3" t="s">
        <v>24</v>
      </c>
      <c r="D1880" s="3" t="s">
        <v>2231</v>
      </c>
      <c r="E1880" s="4" t="s">
        <v>396</v>
      </c>
      <c r="F1880" s="4" t="s">
        <v>28</v>
      </c>
      <c r="G1880" s="4" t="s">
        <v>2276</v>
      </c>
      <c r="H1880" s="3" t="s">
        <v>523</v>
      </c>
      <c r="I1880" s="3"/>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3"/>
      <c r="AD1880" s="3"/>
    </row>
    <row r="1881" spans="1:30" ht="29">
      <c r="A1881" s="11" t="s">
        <v>5443</v>
      </c>
      <c r="B1881" s="11" t="s">
        <v>5491</v>
      </c>
      <c r="C1881" s="3" t="s">
        <v>24</v>
      </c>
      <c r="D1881" s="3" t="s">
        <v>1131</v>
      </c>
      <c r="E1881" s="4" t="s">
        <v>396</v>
      </c>
      <c r="F1881" s="4" t="s">
        <v>28</v>
      </c>
      <c r="G1881" s="4" t="s">
        <v>2276</v>
      </c>
      <c r="H1881" s="3" t="s">
        <v>523</v>
      </c>
      <c r="I1881" s="3"/>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3" t="s">
        <v>189</v>
      </c>
      <c r="AA1881" s="3" t="s">
        <v>38</v>
      </c>
      <c r="AB1881" s="4" t="s">
        <v>2276</v>
      </c>
      <c r="AC1881" s="3"/>
      <c r="AD1881" s="3"/>
    </row>
    <row r="1882" spans="1:30" ht="33.5" customHeight="1">
      <c r="A1882" s="11" t="s">
        <v>5443</v>
      </c>
      <c r="B1882" s="11" t="s">
        <v>5492</v>
      </c>
      <c r="C1882" s="3" t="s">
        <v>24</v>
      </c>
      <c r="D1882" s="3" t="s">
        <v>2346</v>
      </c>
      <c r="E1882" s="3" t="s">
        <v>130</v>
      </c>
      <c r="F1882" s="4" t="s">
        <v>28</v>
      </c>
      <c r="G1882" s="4" t="s">
        <v>2276</v>
      </c>
      <c r="H1882" s="3"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3"/>
      <c r="AD1882" s="3"/>
    </row>
    <row r="1883" spans="1:30" ht="29">
      <c r="A1883" s="11" t="s">
        <v>5443</v>
      </c>
      <c r="B1883" s="11" t="s">
        <v>5493</v>
      </c>
      <c r="C1883" s="3" t="s">
        <v>24</v>
      </c>
      <c r="D1883" s="3" t="s">
        <v>1245</v>
      </c>
      <c r="E1883" s="3" t="s">
        <v>2652</v>
      </c>
      <c r="F1883" s="4" t="s">
        <v>2662</v>
      </c>
      <c r="G1883" s="4" t="s">
        <v>2276</v>
      </c>
      <c r="H1883" s="3"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3"/>
      <c r="AD1883" s="3"/>
    </row>
    <row r="1884" spans="1:30" ht="29">
      <c r="A1884" s="11" t="s">
        <v>5443</v>
      </c>
      <c r="B1884" s="11" t="s">
        <v>5494</v>
      </c>
      <c r="C1884" s="3" t="s">
        <v>24</v>
      </c>
      <c r="D1884" s="3" t="s">
        <v>2341</v>
      </c>
      <c r="E1884" s="3" t="s">
        <v>2652</v>
      </c>
      <c r="F1884" s="4" t="s">
        <v>2662</v>
      </c>
      <c r="G1884" s="4" t="s">
        <v>2276</v>
      </c>
      <c r="H1884" s="3"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3"/>
      <c r="AD1884" s="3"/>
    </row>
    <row r="1885" spans="1:30" ht="33.5" customHeight="1">
      <c r="A1885" s="11" t="s">
        <v>5443</v>
      </c>
      <c r="B1885" s="11" t="s">
        <v>5504</v>
      </c>
      <c r="C1885" s="3" t="s">
        <v>24</v>
      </c>
      <c r="D1885" s="3" t="s">
        <v>4162</v>
      </c>
      <c r="E1885" s="3" t="s">
        <v>2649</v>
      </c>
      <c r="F1885" s="4" t="s">
        <v>74</v>
      </c>
      <c r="G1885" s="4" t="s">
        <v>2276</v>
      </c>
      <c r="H1885" s="3"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3"/>
      <c r="AD1885" s="3"/>
    </row>
    <row r="1886" spans="1:30" ht="38.5" customHeight="1">
      <c r="A1886" s="11" t="s">
        <v>5444</v>
      </c>
      <c r="B1886" s="11" t="s">
        <v>5495</v>
      </c>
      <c r="C1886" s="3" t="s">
        <v>24</v>
      </c>
      <c r="D1886" s="3" t="s">
        <v>27</v>
      </c>
      <c r="E1886" s="3" t="s">
        <v>130</v>
      </c>
      <c r="F1886" s="4" t="s">
        <v>160</v>
      </c>
      <c r="G1886" s="4" t="s">
        <v>2276</v>
      </c>
      <c r="H1886" s="3"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3"/>
      <c r="AD1886" s="3"/>
    </row>
    <row r="1887" spans="1:30" ht="38.5" customHeight="1">
      <c r="A1887" s="11" t="s">
        <v>5444</v>
      </c>
      <c r="B1887" s="11" t="s">
        <v>5496</v>
      </c>
      <c r="C1887" s="3" t="s">
        <v>24</v>
      </c>
      <c r="D1887" s="3" t="s">
        <v>25</v>
      </c>
      <c r="E1887" s="3" t="s">
        <v>5005</v>
      </c>
      <c r="F1887" s="4" t="s">
        <v>55</v>
      </c>
      <c r="G1887" s="4" t="s">
        <v>2276</v>
      </c>
      <c r="H1887" s="3"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3"/>
      <c r="AD1887" s="3"/>
    </row>
    <row r="1888" spans="1:30" ht="38.5" customHeight="1">
      <c r="A1888" s="11" t="s">
        <v>5444</v>
      </c>
      <c r="B1888" s="11" t="s">
        <v>5497</v>
      </c>
      <c r="C1888" s="3" t="s">
        <v>24</v>
      </c>
      <c r="D1888" s="3" t="s">
        <v>3480</v>
      </c>
      <c r="E1888" s="3" t="s">
        <v>116</v>
      </c>
      <c r="F1888" s="4" t="s">
        <v>55</v>
      </c>
      <c r="G1888" s="4" t="s">
        <v>2276</v>
      </c>
      <c r="H1888" s="3"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3"/>
      <c r="AD1888" s="3"/>
    </row>
    <row r="1889" spans="1:30" ht="38.5" customHeight="1">
      <c r="A1889" s="11" t="s">
        <v>5444</v>
      </c>
      <c r="B1889" s="11" t="s">
        <v>5498</v>
      </c>
      <c r="C1889" s="3" t="s">
        <v>24</v>
      </c>
      <c r="D1889" s="3" t="s">
        <v>1245</v>
      </c>
      <c r="E1889" s="3" t="s">
        <v>116</v>
      </c>
      <c r="F1889" s="4" t="s">
        <v>55</v>
      </c>
      <c r="G1889" s="4" t="s">
        <v>2276</v>
      </c>
      <c r="H1889" s="3"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3"/>
      <c r="AD1889" s="3"/>
    </row>
    <row r="1890" spans="1:30" ht="38.5" customHeight="1">
      <c r="A1890" s="11" t="s">
        <v>5444</v>
      </c>
      <c r="B1890" s="11" t="s">
        <v>5499</v>
      </c>
      <c r="C1890" s="3" t="s">
        <v>24</v>
      </c>
      <c r="D1890" s="3" t="s">
        <v>2231</v>
      </c>
      <c r="E1890" s="4" t="s">
        <v>396</v>
      </c>
      <c r="F1890" s="4" t="s">
        <v>28</v>
      </c>
      <c r="G1890" s="4" t="s">
        <v>2276</v>
      </c>
      <c r="H1890" s="3"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3"/>
      <c r="AD1890" s="3"/>
    </row>
    <row r="1891" spans="1:30" ht="38.5" customHeight="1">
      <c r="A1891" s="11" t="s">
        <v>5444</v>
      </c>
      <c r="B1891" s="11" t="s">
        <v>5500</v>
      </c>
      <c r="C1891" s="3" t="s">
        <v>24</v>
      </c>
      <c r="D1891" s="3" t="s">
        <v>1131</v>
      </c>
      <c r="E1891" s="4" t="s">
        <v>396</v>
      </c>
      <c r="F1891" s="4" t="s">
        <v>28</v>
      </c>
      <c r="G1891" s="4" t="s">
        <v>2276</v>
      </c>
      <c r="H1891" s="3" t="s">
        <v>523</v>
      </c>
      <c r="I1891" s="3"/>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3" t="s">
        <v>86</v>
      </c>
      <c r="AA1891" s="3" t="s">
        <v>86</v>
      </c>
      <c r="AB1891" s="4" t="s">
        <v>2276</v>
      </c>
      <c r="AC1891" s="3"/>
      <c r="AD1891" s="3"/>
    </row>
    <row r="1892" spans="1:30" ht="38.5" customHeight="1">
      <c r="A1892" s="11" t="s">
        <v>5444</v>
      </c>
      <c r="B1892" s="11" t="s">
        <v>5501</v>
      </c>
      <c r="C1892" s="3" t="s">
        <v>24</v>
      </c>
      <c r="D1892" s="3" t="s">
        <v>1245</v>
      </c>
      <c r="E1892" s="3" t="s">
        <v>2652</v>
      </c>
      <c r="F1892" s="4" t="s">
        <v>2662</v>
      </c>
      <c r="G1892" s="4" t="s">
        <v>2276</v>
      </c>
      <c r="H1892" s="3" t="s">
        <v>523</v>
      </c>
      <c r="I1892" s="3"/>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3"/>
      <c r="AD1892" s="3"/>
    </row>
    <row r="1893" spans="1:30" ht="38.5" customHeight="1">
      <c r="A1893" s="11" t="s">
        <v>5444</v>
      </c>
      <c r="B1893" s="11" t="s">
        <v>5502</v>
      </c>
      <c r="C1893" s="3" t="s">
        <v>24</v>
      </c>
      <c r="D1893" s="3" t="s">
        <v>2341</v>
      </c>
      <c r="E1893" s="3" t="s">
        <v>2652</v>
      </c>
      <c r="F1893" s="4" t="s">
        <v>2662</v>
      </c>
      <c r="G1893" s="4" t="s">
        <v>2276</v>
      </c>
      <c r="H1893" s="3" t="s">
        <v>523</v>
      </c>
      <c r="I1893" s="3"/>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3"/>
      <c r="AD1893" s="3"/>
    </row>
    <row r="1894" spans="1:30" ht="38.5" customHeight="1">
      <c r="A1894" s="11" t="s">
        <v>5444</v>
      </c>
      <c r="B1894" s="11" t="s">
        <v>5505</v>
      </c>
      <c r="C1894" s="3" t="s">
        <v>24</v>
      </c>
      <c r="D1894" s="3" t="s">
        <v>4162</v>
      </c>
      <c r="E1894" s="3" t="s">
        <v>2649</v>
      </c>
      <c r="F1894" s="4" t="s">
        <v>74</v>
      </c>
      <c r="G1894" s="4" t="s">
        <v>2276</v>
      </c>
      <c r="H1894" s="3" t="s">
        <v>523</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3"/>
      <c r="AD1894" s="3"/>
    </row>
    <row r="1895" spans="1:30" ht="38" customHeight="1">
      <c r="A1895" s="11" t="s">
        <v>5446</v>
      </c>
      <c r="B1895" s="11" t="s">
        <v>5507</v>
      </c>
      <c r="C1895" s="3" t="s">
        <v>24</v>
      </c>
      <c r="D1895" s="3" t="s">
        <v>27</v>
      </c>
      <c r="E1895" s="3" t="s">
        <v>130</v>
      </c>
      <c r="F1895" s="4" t="s">
        <v>160</v>
      </c>
      <c r="G1895" s="4" t="s">
        <v>2276</v>
      </c>
      <c r="H1895" s="3" t="s">
        <v>523</v>
      </c>
      <c r="I1895" s="3"/>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3" t="s">
        <v>86</v>
      </c>
      <c r="AA1895" s="3" t="s">
        <v>86</v>
      </c>
      <c r="AB1895" s="4" t="s">
        <v>2276</v>
      </c>
      <c r="AC1895" s="3"/>
      <c r="AD1895" s="3"/>
    </row>
    <row r="1896" spans="1:30" ht="29">
      <c r="A1896" s="11" t="s">
        <v>5446</v>
      </c>
      <c r="B1896" s="11" t="s">
        <v>5508</v>
      </c>
      <c r="C1896" s="3" t="s">
        <v>24</v>
      </c>
      <c r="D1896" s="3" t="s">
        <v>25</v>
      </c>
      <c r="E1896" s="3" t="s">
        <v>5005</v>
      </c>
      <c r="F1896" s="4" t="s">
        <v>2662</v>
      </c>
      <c r="G1896" s="4" t="s">
        <v>2276</v>
      </c>
      <c r="H1896" s="3" t="s">
        <v>523</v>
      </c>
      <c r="I1896" s="3"/>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3"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3"/>
    </row>
    <row r="1898" spans="1:30" ht="29">
      <c r="A1898" s="11" t="s">
        <v>5446</v>
      </c>
      <c r="B1898" s="11" t="s">
        <v>5510</v>
      </c>
      <c r="C1898" s="3" t="s">
        <v>24</v>
      </c>
      <c r="D1898" s="3" t="s">
        <v>1245</v>
      </c>
      <c r="E1898" s="3" t="s">
        <v>116</v>
      </c>
      <c r="F1898" s="4" t="s">
        <v>2662</v>
      </c>
      <c r="G1898" s="4" t="s">
        <v>2276</v>
      </c>
      <c r="H1898" s="3"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3"/>
    </row>
    <row r="1899" spans="1:30" ht="30" customHeight="1">
      <c r="A1899" s="11" t="s">
        <v>5446</v>
      </c>
      <c r="B1899" s="11" t="s">
        <v>5511</v>
      </c>
      <c r="C1899" s="3" t="s">
        <v>2458</v>
      </c>
      <c r="D1899" s="3" t="s">
        <v>27</v>
      </c>
      <c r="E1899" s="3" t="s">
        <v>130</v>
      </c>
      <c r="F1899" s="4" t="s">
        <v>160</v>
      </c>
      <c r="G1899" s="4" t="s">
        <v>2276</v>
      </c>
      <c r="H1899" s="3"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3"/>
      <c r="AD1899" s="3"/>
    </row>
    <row r="1900" spans="1:30" ht="30" customHeight="1">
      <c r="A1900" s="11" t="s">
        <v>5446</v>
      </c>
      <c r="B1900" s="11" t="s">
        <v>5512</v>
      </c>
      <c r="C1900" s="3" t="s">
        <v>24</v>
      </c>
      <c r="D1900" s="3" t="s">
        <v>2231</v>
      </c>
      <c r="E1900" s="4" t="s">
        <v>396</v>
      </c>
      <c r="F1900" s="4" t="s">
        <v>28</v>
      </c>
      <c r="G1900" s="4" t="s">
        <v>2276</v>
      </c>
      <c r="H1900" s="3" t="s">
        <v>523</v>
      </c>
      <c r="I1900" s="3"/>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3"/>
      <c r="AD1900" s="3"/>
    </row>
    <row r="1901" spans="1:30" ht="29">
      <c r="A1901" s="11" t="s">
        <v>5446</v>
      </c>
      <c r="B1901" s="11" t="s">
        <v>5513</v>
      </c>
      <c r="C1901" s="3" t="s">
        <v>24</v>
      </c>
      <c r="D1901" s="3" t="s">
        <v>1131</v>
      </c>
      <c r="E1901" s="4" t="s">
        <v>396</v>
      </c>
      <c r="F1901" s="4" t="s">
        <v>28</v>
      </c>
      <c r="G1901" s="4" t="s">
        <v>2276</v>
      </c>
      <c r="H1901" s="3"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3"/>
      <c r="AD1901" s="3"/>
    </row>
    <row r="1902" spans="1:30" ht="29">
      <c r="A1902" s="11" t="s">
        <v>5446</v>
      </c>
      <c r="B1902" s="11" t="s">
        <v>5514</v>
      </c>
      <c r="C1902" s="3" t="s">
        <v>24</v>
      </c>
      <c r="D1902" s="3" t="s">
        <v>1245</v>
      </c>
      <c r="E1902" s="3" t="s">
        <v>2652</v>
      </c>
      <c r="F1902" s="4" t="s">
        <v>2662</v>
      </c>
      <c r="G1902" s="4" t="s">
        <v>2276</v>
      </c>
      <c r="H1902" s="3"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3"/>
      <c r="AD1902" s="3"/>
    </row>
    <row r="1903" spans="1:30" ht="29">
      <c r="A1903" s="11" t="s">
        <v>5446</v>
      </c>
      <c r="B1903" s="11" t="s">
        <v>5515</v>
      </c>
      <c r="C1903" s="3" t="s">
        <v>24</v>
      </c>
      <c r="D1903" s="3" t="s">
        <v>2341</v>
      </c>
      <c r="E1903" s="3" t="s">
        <v>2652</v>
      </c>
      <c r="F1903" s="4" t="s">
        <v>2662</v>
      </c>
      <c r="G1903" s="4" t="s">
        <v>2276</v>
      </c>
      <c r="H1903" s="3"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3"/>
      <c r="AD1903" s="3"/>
    </row>
    <row r="1904" spans="1:30" ht="42" customHeight="1">
      <c r="A1904" s="11" t="s">
        <v>5446</v>
      </c>
      <c r="B1904" s="11" t="s">
        <v>5516</v>
      </c>
      <c r="C1904" s="3" t="s">
        <v>24</v>
      </c>
      <c r="D1904" s="3" t="s">
        <v>4162</v>
      </c>
      <c r="E1904" s="3" t="s">
        <v>2649</v>
      </c>
      <c r="F1904" s="4" t="s">
        <v>74</v>
      </c>
      <c r="G1904" s="4" t="s">
        <v>2276</v>
      </c>
      <c r="H1904" s="3"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3"/>
      <c r="AD1904" s="3"/>
    </row>
    <row r="1905" spans="1:30" ht="50" customHeight="1">
      <c r="A1905" s="11" t="s">
        <v>5445</v>
      </c>
      <c r="B1905" s="11" t="s">
        <v>5517</v>
      </c>
      <c r="C1905" s="3" t="s">
        <v>24</v>
      </c>
      <c r="D1905" s="3" t="s">
        <v>27</v>
      </c>
      <c r="E1905" s="3" t="s">
        <v>130</v>
      </c>
      <c r="F1905" s="4" t="s">
        <v>160</v>
      </c>
      <c r="G1905" s="4" t="s">
        <v>2276</v>
      </c>
      <c r="H1905" s="3"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4">
        <v>6</v>
      </c>
      <c r="Z1905" s="3" t="s">
        <v>86</v>
      </c>
      <c r="AA1905" s="3" t="s">
        <v>86</v>
      </c>
      <c r="AB1905" s="4" t="s">
        <v>2276</v>
      </c>
      <c r="AC1905" s="3"/>
      <c r="AD1905" s="3"/>
    </row>
    <row r="1906" spans="1:30" ht="50" customHeight="1">
      <c r="A1906" s="11" t="s">
        <v>5445</v>
      </c>
      <c r="B1906" s="11" t="s">
        <v>5518</v>
      </c>
      <c r="C1906" s="3" t="s">
        <v>24</v>
      </c>
      <c r="D1906" s="3" t="s">
        <v>25</v>
      </c>
      <c r="E1906" s="3" t="s">
        <v>5005</v>
      </c>
      <c r="F1906" s="4" t="s">
        <v>55</v>
      </c>
      <c r="G1906" s="4" t="s">
        <v>2276</v>
      </c>
      <c r="H1906" s="3"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3"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3"/>
      <c r="AD1907" s="3"/>
    </row>
    <row r="1908" spans="1:30" ht="50" customHeight="1">
      <c r="A1908" s="11" t="s">
        <v>5445</v>
      </c>
      <c r="B1908" s="11" t="s">
        <v>5520</v>
      </c>
      <c r="C1908" s="3" t="s">
        <v>24</v>
      </c>
      <c r="D1908" s="3" t="s">
        <v>1245</v>
      </c>
      <c r="E1908" s="3" t="s">
        <v>116</v>
      </c>
      <c r="F1908" s="4" t="s">
        <v>55</v>
      </c>
      <c r="G1908" s="4" t="s">
        <v>2276</v>
      </c>
      <c r="H1908" s="3"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3"/>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3"/>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3"/>
      <c r="AD1910" s="3"/>
    </row>
    <row r="1911" spans="1:30" ht="50" customHeight="1">
      <c r="A1911" s="11" t="s">
        <v>5445</v>
      </c>
      <c r="B1911" s="11" t="s">
        <v>5523</v>
      </c>
      <c r="C1911" s="3" t="s">
        <v>24</v>
      </c>
      <c r="D1911" s="3" t="s">
        <v>1245</v>
      </c>
      <c r="E1911" s="3" t="s">
        <v>2652</v>
      </c>
      <c r="F1911" s="4" t="s">
        <v>2662</v>
      </c>
      <c r="G1911" s="4" t="s">
        <v>2276</v>
      </c>
      <c r="H1911" s="3"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3"/>
      <c r="AD1911" s="3"/>
    </row>
    <row r="1912" spans="1:30" ht="50" customHeight="1">
      <c r="A1912" s="11" t="s">
        <v>5445</v>
      </c>
      <c r="B1912" s="11" t="s">
        <v>5524</v>
      </c>
      <c r="C1912" s="3" t="s">
        <v>24</v>
      </c>
      <c r="D1912" s="3" t="s">
        <v>2341</v>
      </c>
      <c r="E1912" s="3" t="s">
        <v>2652</v>
      </c>
      <c r="F1912" s="4" t="s">
        <v>2662</v>
      </c>
      <c r="G1912" s="4" t="s">
        <v>2276</v>
      </c>
      <c r="H1912" s="3"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3"/>
      <c r="AD1912" s="3"/>
    </row>
    <row r="1913" spans="1:30" ht="50" customHeight="1">
      <c r="A1913" s="11" t="s">
        <v>5445</v>
      </c>
      <c r="B1913" s="11" t="s">
        <v>5525</v>
      </c>
      <c r="C1913" s="3" t="s">
        <v>24</v>
      </c>
      <c r="D1913" s="3" t="s">
        <v>4162</v>
      </c>
      <c r="E1913" s="3" t="s">
        <v>2649</v>
      </c>
      <c r="F1913" s="4" t="s">
        <v>74</v>
      </c>
      <c r="G1913" s="4" t="s">
        <v>2276</v>
      </c>
      <c r="H1913" s="3"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3"/>
    </row>
    <row r="1914" spans="1:30" ht="36.5" customHeight="1">
      <c r="A1914" s="11" t="s">
        <v>5527</v>
      </c>
      <c r="B1914" s="11" t="s">
        <v>5551</v>
      </c>
      <c r="C1914" s="3" t="s">
        <v>24</v>
      </c>
      <c r="D1914" s="3" t="s">
        <v>27</v>
      </c>
      <c r="E1914" s="3" t="s">
        <v>130</v>
      </c>
      <c r="F1914" s="4" t="s">
        <v>160</v>
      </c>
      <c r="G1914" s="4" t="s">
        <v>2276</v>
      </c>
      <c r="H1914" s="3"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3"/>
    </row>
    <row r="1915" spans="1:30" ht="36.5" customHeight="1">
      <c r="A1915" s="11" t="s">
        <v>5539</v>
      </c>
      <c r="B1915" s="11" t="s">
        <v>5552</v>
      </c>
      <c r="C1915" s="3" t="s">
        <v>24</v>
      </c>
      <c r="D1915" s="3" t="s">
        <v>27</v>
      </c>
      <c r="E1915" s="3" t="s">
        <v>130</v>
      </c>
      <c r="F1915" s="4" t="s">
        <v>160</v>
      </c>
      <c r="G1915" s="4" t="s">
        <v>2276</v>
      </c>
      <c r="H1915" s="3"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3"/>
    </row>
    <row r="1916" spans="1:30" ht="36.5" customHeight="1">
      <c r="A1916" s="11" t="s">
        <v>5540</v>
      </c>
      <c r="B1916" s="11" t="s">
        <v>5553</v>
      </c>
      <c r="C1916" s="3" t="s">
        <v>24</v>
      </c>
      <c r="D1916" s="3" t="s">
        <v>27</v>
      </c>
      <c r="E1916" s="3" t="s">
        <v>130</v>
      </c>
      <c r="F1916" s="4" t="s">
        <v>160</v>
      </c>
      <c r="G1916" s="4" t="s">
        <v>2276</v>
      </c>
      <c r="H1916" s="3"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3"/>
      <c r="AD1916" s="3"/>
    </row>
    <row r="1917" spans="1:30" ht="36.5" customHeight="1">
      <c r="A1917" s="11" t="s">
        <v>5541</v>
      </c>
      <c r="B1917" s="11" t="s">
        <v>5554</v>
      </c>
      <c r="C1917" s="3" t="s">
        <v>24</v>
      </c>
      <c r="D1917" s="3" t="s">
        <v>27</v>
      </c>
      <c r="E1917" s="3" t="s">
        <v>130</v>
      </c>
      <c r="F1917" s="4" t="s">
        <v>160</v>
      </c>
      <c r="G1917" s="4" t="s">
        <v>2276</v>
      </c>
      <c r="H1917" s="3"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3"/>
      <c r="AD1917" s="3"/>
    </row>
    <row r="1918" spans="1:30" ht="36.5" customHeight="1">
      <c r="A1918" s="11" t="s">
        <v>5542</v>
      </c>
      <c r="B1918" s="11" t="s">
        <v>5555</v>
      </c>
      <c r="C1918" s="3" t="s">
        <v>24</v>
      </c>
      <c r="D1918" s="3" t="s">
        <v>27</v>
      </c>
      <c r="E1918" s="3" t="s">
        <v>130</v>
      </c>
      <c r="F1918" s="4" t="s">
        <v>160</v>
      </c>
      <c r="G1918" s="4" t="s">
        <v>2276</v>
      </c>
      <c r="H1918" s="3"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3"/>
      <c r="AD1918" s="3"/>
    </row>
    <row r="1919" spans="1:30" ht="36.5" customHeight="1">
      <c r="A1919" s="11" t="s">
        <v>5543</v>
      </c>
      <c r="B1919" s="11" t="s">
        <v>5556</v>
      </c>
      <c r="C1919" s="3" t="s">
        <v>24</v>
      </c>
      <c r="D1919" s="3" t="s">
        <v>27</v>
      </c>
      <c r="E1919" s="3" t="s">
        <v>130</v>
      </c>
      <c r="F1919" s="4" t="s">
        <v>160</v>
      </c>
      <c r="G1919" s="4" t="s">
        <v>2276</v>
      </c>
      <c r="H1919" s="3"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3"/>
    </row>
    <row r="1920" spans="1:30" ht="36.5" customHeight="1">
      <c r="A1920" s="11" t="s">
        <v>5547</v>
      </c>
      <c r="B1920" s="11" t="s">
        <v>5557</v>
      </c>
      <c r="C1920" s="3" t="s">
        <v>24</v>
      </c>
      <c r="D1920" s="3" t="s">
        <v>27</v>
      </c>
      <c r="E1920" s="3" t="s">
        <v>130</v>
      </c>
      <c r="F1920" s="4" t="s">
        <v>160</v>
      </c>
      <c r="G1920" s="4" t="s">
        <v>2276</v>
      </c>
      <c r="H1920" s="3"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3"/>
    </row>
    <row r="1921" spans="1:30" ht="36.5" customHeight="1">
      <c r="A1921" s="11" t="s">
        <v>5548</v>
      </c>
      <c r="B1921" s="11" t="s">
        <v>5558</v>
      </c>
      <c r="C1921" s="3" t="s">
        <v>24</v>
      </c>
      <c r="D1921" s="3" t="s">
        <v>27</v>
      </c>
      <c r="E1921" s="3" t="s">
        <v>130</v>
      </c>
      <c r="F1921" s="4" t="s">
        <v>160</v>
      </c>
      <c r="G1921" s="4" t="s">
        <v>2276</v>
      </c>
      <c r="H1921" s="3"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3"/>
      <c r="AD1921" s="3"/>
    </row>
    <row r="1922" spans="1:30" ht="29" customHeight="1">
      <c r="A1922" s="11" t="s">
        <v>5527</v>
      </c>
      <c r="B1922" s="11" t="s">
        <v>5559</v>
      </c>
      <c r="C1922" s="3" t="s">
        <v>24</v>
      </c>
      <c r="D1922" s="3" t="s">
        <v>27</v>
      </c>
      <c r="E1922" s="4" t="s">
        <v>397</v>
      </c>
      <c r="F1922" s="4" t="s">
        <v>2276</v>
      </c>
      <c r="G1922" s="4" t="s">
        <v>2276</v>
      </c>
      <c r="H1922" s="3"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3"/>
    </row>
    <row r="1923" spans="1:30" ht="29" customHeight="1">
      <c r="A1923" s="11" t="s">
        <v>5539</v>
      </c>
      <c r="B1923" s="11" t="s">
        <v>5560</v>
      </c>
      <c r="C1923" s="3" t="s">
        <v>24</v>
      </c>
      <c r="D1923" s="3" t="s">
        <v>27</v>
      </c>
      <c r="E1923" s="4" t="s">
        <v>397</v>
      </c>
      <c r="F1923" s="4" t="s">
        <v>2276</v>
      </c>
      <c r="G1923" s="4" t="s">
        <v>2276</v>
      </c>
      <c r="H1923" s="3"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3"/>
    </row>
    <row r="1924" spans="1:30" ht="29" customHeight="1">
      <c r="A1924" s="11" t="s">
        <v>5540</v>
      </c>
      <c r="B1924" s="11" t="s">
        <v>5561</v>
      </c>
      <c r="C1924" s="3" t="s">
        <v>24</v>
      </c>
      <c r="D1924" s="3" t="s">
        <v>27</v>
      </c>
      <c r="E1924" s="4" t="s">
        <v>397</v>
      </c>
      <c r="F1924" s="4" t="s">
        <v>2276</v>
      </c>
      <c r="G1924" s="4" t="s">
        <v>2276</v>
      </c>
      <c r="H1924" s="3"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3"/>
    </row>
    <row r="1925" spans="1:30" ht="29" customHeight="1">
      <c r="A1925" s="11" t="s">
        <v>5541</v>
      </c>
      <c r="B1925" s="11" t="s">
        <v>5562</v>
      </c>
      <c r="C1925" s="3" t="s">
        <v>24</v>
      </c>
      <c r="D1925" s="3" t="s">
        <v>27</v>
      </c>
      <c r="E1925" s="4" t="s">
        <v>397</v>
      </c>
      <c r="F1925" s="4" t="s">
        <v>2276</v>
      </c>
      <c r="G1925" s="4" t="s">
        <v>2276</v>
      </c>
      <c r="H1925" s="3"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3"/>
    </row>
    <row r="1926" spans="1:30" ht="29" customHeight="1">
      <c r="A1926" s="11" t="s">
        <v>5542</v>
      </c>
      <c r="B1926" s="11" t="s">
        <v>5563</v>
      </c>
      <c r="C1926" s="3" t="s">
        <v>24</v>
      </c>
      <c r="D1926" s="3" t="s">
        <v>27</v>
      </c>
      <c r="E1926" s="4" t="s">
        <v>397</v>
      </c>
      <c r="F1926" s="4" t="s">
        <v>2276</v>
      </c>
      <c r="G1926" s="4" t="s">
        <v>2276</v>
      </c>
      <c r="H1926" s="3"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3"/>
    </row>
    <row r="1927" spans="1:30" ht="29" customHeight="1">
      <c r="A1927" s="11" t="s">
        <v>5543</v>
      </c>
      <c r="B1927" s="11" t="s">
        <v>5564</v>
      </c>
      <c r="C1927" s="3" t="s">
        <v>24</v>
      </c>
      <c r="D1927" s="3" t="s">
        <v>27</v>
      </c>
      <c r="E1927" s="4" t="s">
        <v>397</v>
      </c>
      <c r="F1927" s="4" t="s">
        <v>2276</v>
      </c>
      <c r="G1927" s="4" t="s">
        <v>2276</v>
      </c>
      <c r="H1927" s="3"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3"/>
    </row>
    <row r="1928" spans="1:30" ht="29" customHeight="1">
      <c r="A1928" s="11" t="s">
        <v>5547</v>
      </c>
      <c r="B1928" s="11" t="s">
        <v>5565</v>
      </c>
      <c r="C1928" s="3" t="s">
        <v>24</v>
      </c>
      <c r="D1928" s="3" t="s">
        <v>27</v>
      </c>
      <c r="E1928" s="4" t="s">
        <v>397</v>
      </c>
      <c r="F1928" s="4" t="s">
        <v>2276</v>
      </c>
      <c r="G1928" s="4" t="s">
        <v>2276</v>
      </c>
      <c r="H1928" s="3"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3"/>
    </row>
    <row r="1929" spans="1:30" ht="29" customHeight="1">
      <c r="A1929" s="11" t="s">
        <v>5548</v>
      </c>
      <c r="B1929" s="11" t="s">
        <v>5566</v>
      </c>
      <c r="C1929" s="3" t="s">
        <v>24</v>
      </c>
      <c r="D1929" s="3" t="s">
        <v>27</v>
      </c>
      <c r="E1929" s="4" t="s">
        <v>397</v>
      </c>
      <c r="F1929" s="4" t="s">
        <v>2276</v>
      </c>
      <c r="G1929" s="4" t="s">
        <v>2276</v>
      </c>
      <c r="H1929" s="3"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3"/>
    </row>
    <row r="1930" spans="1:30" ht="29" customHeight="1">
      <c r="A1930" s="11" t="s">
        <v>5527</v>
      </c>
      <c r="B1930" s="11" t="s">
        <v>5567</v>
      </c>
      <c r="C1930" s="3" t="s">
        <v>24</v>
      </c>
      <c r="D1930" s="3" t="s">
        <v>27</v>
      </c>
      <c r="E1930" s="4" t="s">
        <v>396</v>
      </c>
      <c r="F1930" s="4" t="s">
        <v>2276</v>
      </c>
      <c r="G1930" s="4" t="s">
        <v>2276</v>
      </c>
      <c r="H1930" s="3"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3"/>
    </row>
    <row r="1931" spans="1:30" ht="29" customHeight="1">
      <c r="A1931" s="11" t="s">
        <v>5539</v>
      </c>
      <c r="B1931" s="11" t="s">
        <v>5568</v>
      </c>
      <c r="C1931" s="3" t="s">
        <v>24</v>
      </c>
      <c r="D1931" s="3" t="s">
        <v>27</v>
      </c>
      <c r="E1931" s="4" t="s">
        <v>396</v>
      </c>
      <c r="F1931" s="4" t="s">
        <v>2276</v>
      </c>
      <c r="G1931" s="4" t="s">
        <v>2276</v>
      </c>
      <c r="H1931" s="3"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3"/>
    </row>
    <row r="1932" spans="1:30" ht="29" customHeight="1">
      <c r="A1932" s="11" t="s">
        <v>5540</v>
      </c>
      <c r="B1932" s="11" t="s">
        <v>5569</v>
      </c>
      <c r="C1932" s="3" t="s">
        <v>24</v>
      </c>
      <c r="D1932" s="3" t="s">
        <v>27</v>
      </c>
      <c r="E1932" s="4" t="s">
        <v>396</v>
      </c>
      <c r="F1932" s="4" t="s">
        <v>2276</v>
      </c>
      <c r="G1932" s="4" t="s">
        <v>2276</v>
      </c>
      <c r="H1932" s="3"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3"/>
    </row>
    <row r="1933" spans="1:30" ht="29" customHeight="1">
      <c r="A1933" s="11" t="s">
        <v>5541</v>
      </c>
      <c r="B1933" s="11" t="s">
        <v>5570</v>
      </c>
      <c r="C1933" s="3" t="s">
        <v>24</v>
      </c>
      <c r="D1933" s="3" t="s">
        <v>27</v>
      </c>
      <c r="E1933" s="4" t="s">
        <v>396</v>
      </c>
      <c r="F1933" s="4" t="s">
        <v>2276</v>
      </c>
      <c r="G1933" s="4" t="s">
        <v>2276</v>
      </c>
      <c r="H1933" s="3"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3"/>
    </row>
    <row r="1934" spans="1:30" ht="29" customHeight="1">
      <c r="A1934" s="11" t="s">
        <v>5542</v>
      </c>
      <c r="B1934" s="11" t="s">
        <v>5571</v>
      </c>
      <c r="C1934" s="3" t="s">
        <v>24</v>
      </c>
      <c r="D1934" s="3" t="s">
        <v>27</v>
      </c>
      <c r="E1934" s="4" t="s">
        <v>396</v>
      </c>
      <c r="F1934" s="4" t="s">
        <v>2276</v>
      </c>
      <c r="G1934" s="4" t="s">
        <v>2276</v>
      </c>
      <c r="H1934" s="3"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3"/>
    </row>
    <row r="1935" spans="1:30" ht="29" customHeight="1">
      <c r="A1935" s="11" t="s">
        <v>5543</v>
      </c>
      <c r="B1935" s="11" t="s">
        <v>5572</v>
      </c>
      <c r="C1935" s="3" t="s">
        <v>24</v>
      </c>
      <c r="D1935" s="3" t="s">
        <v>27</v>
      </c>
      <c r="E1935" s="4" t="s">
        <v>396</v>
      </c>
      <c r="F1935" s="4" t="s">
        <v>2276</v>
      </c>
      <c r="G1935" s="4" t="s">
        <v>2276</v>
      </c>
      <c r="H1935" s="3"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3"/>
    </row>
    <row r="1936" spans="1:30" ht="29" customHeight="1">
      <c r="A1936" s="11" t="s">
        <v>5547</v>
      </c>
      <c r="B1936" s="11" t="s">
        <v>5573</v>
      </c>
      <c r="C1936" s="3" t="s">
        <v>24</v>
      </c>
      <c r="D1936" s="3" t="s">
        <v>27</v>
      </c>
      <c r="E1936" s="4" t="s">
        <v>396</v>
      </c>
      <c r="F1936" s="4" t="s">
        <v>2276</v>
      </c>
      <c r="G1936" s="4" t="s">
        <v>2276</v>
      </c>
      <c r="H1936" s="3"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3"/>
    </row>
    <row r="1937" spans="1:30" ht="29" customHeight="1">
      <c r="A1937" s="11" t="s">
        <v>5548</v>
      </c>
      <c r="B1937" s="11" t="s">
        <v>5574</v>
      </c>
      <c r="C1937" s="3" t="s">
        <v>24</v>
      </c>
      <c r="D1937" s="3" t="s">
        <v>27</v>
      </c>
      <c r="E1937" s="4" t="s">
        <v>396</v>
      </c>
      <c r="F1937" s="4" t="s">
        <v>2276</v>
      </c>
      <c r="G1937" s="4" t="s">
        <v>2276</v>
      </c>
      <c r="H1937" s="3"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3"/>
    </row>
    <row r="1938" spans="1:30" ht="28" customHeight="1">
      <c r="A1938" s="11" t="s">
        <v>5578</v>
      </c>
      <c r="B1938" s="11" t="s">
        <v>5582</v>
      </c>
      <c r="C1938" s="3" t="s">
        <v>24</v>
      </c>
      <c r="D1938" s="3" t="s">
        <v>1242</v>
      </c>
      <c r="E1938" s="4" t="s">
        <v>397</v>
      </c>
      <c r="F1938" s="4" t="s">
        <v>2276</v>
      </c>
      <c r="G1938" s="4" t="s">
        <v>2276</v>
      </c>
      <c r="H1938" s="3"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3"/>
      <c r="AD1938" s="3"/>
    </row>
    <row r="1939" spans="1:30" ht="35.5" customHeight="1">
      <c r="A1939" s="11" t="s">
        <v>5578</v>
      </c>
      <c r="B1939" s="11" t="s">
        <v>5583</v>
      </c>
      <c r="C1939" s="3" t="s">
        <v>24</v>
      </c>
      <c r="D1939" s="3" t="s">
        <v>1242</v>
      </c>
      <c r="E1939" s="4" t="s">
        <v>2651</v>
      </c>
      <c r="F1939" s="4" t="s">
        <v>2276</v>
      </c>
      <c r="G1939" s="4" t="s">
        <v>2276</v>
      </c>
      <c r="H1939" s="3"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3"/>
      <c r="AD1939" s="3"/>
    </row>
    <row r="1940" spans="1:30" ht="28" customHeight="1">
      <c r="A1940" s="11" t="s">
        <v>5590</v>
      </c>
      <c r="B1940" s="11" t="s">
        <v>5593</v>
      </c>
      <c r="C1940" s="3" t="s">
        <v>24</v>
      </c>
      <c r="D1940" s="3" t="s">
        <v>27</v>
      </c>
      <c r="E1940" s="3" t="s">
        <v>130</v>
      </c>
      <c r="F1940" s="4" t="s">
        <v>74</v>
      </c>
      <c r="G1940" s="4" t="s">
        <v>2276</v>
      </c>
      <c r="H1940" s="3"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3"/>
      <c r="AD1940" s="3"/>
    </row>
    <row r="1941" spans="1:30" ht="31" customHeight="1">
      <c r="A1941" s="11" t="s">
        <v>5590</v>
      </c>
      <c r="B1941" s="11" t="s">
        <v>5594</v>
      </c>
      <c r="C1941" s="3" t="s">
        <v>24</v>
      </c>
      <c r="D1941" s="3" t="s">
        <v>2231</v>
      </c>
      <c r="E1941" s="3" t="s">
        <v>84</v>
      </c>
      <c r="F1941" s="4" t="s">
        <v>74</v>
      </c>
      <c r="G1941" s="4" t="s">
        <v>2276</v>
      </c>
      <c r="H1941" s="3"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3"/>
      <c r="AD1941" s="3"/>
    </row>
    <row r="1942" spans="1:30" ht="30" customHeight="1">
      <c r="A1942" s="11" t="s">
        <v>5599</v>
      </c>
      <c r="B1942" s="11" t="s">
        <v>5603</v>
      </c>
      <c r="C1942" s="3" t="s">
        <v>24</v>
      </c>
      <c r="D1942" s="3" t="s">
        <v>27</v>
      </c>
      <c r="E1942" s="3" t="s">
        <v>130</v>
      </c>
      <c r="F1942" s="4" t="s">
        <v>160</v>
      </c>
      <c r="G1942" s="4" t="s">
        <v>2276</v>
      </c>
      <c r="H1942" s="3"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3"/>
    </row>
    <row r="1943" spans="1:30" ht="30" customHeight="1">
      <c r="A1943" s="11" t="s">
        <v>5600</v>
      </c>
      <c r="B1943" s="11" t="s">
        <v>5604</v>
      </c>
      <c r="C1943" s="3" t="s">
        <v>24</v>
      </c>
      <c r="D1943" s="3" t="s">
        <v>27</v>
      </c>
      <c r="E1943" s="3" t="s">
        <v>130</v>
      </c>
      <c r="F1943" s="4" t="s">
        <v>160</v>
      </c>
      <c r="G1943" s="4" t="s">
        <v>2276</v>
      </c>
      <c r="H1943" s="3"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3"/>
      <c r="AD1943" s="3"/>
    </row>
    <row r="1944" spans="1:30" ht="30" customHeight="1">
      <c r="A1944" s="11" t="s">
        <v>5599</v>
      </c>
      <c r="B1944" s="11" t="s">
        <v>5605</v>
      </c>
      <c r="C1944" s="3" t="s">
        <v>24</v>
      </c>
      <c r="D1944" s="3" t="s">
        <v>27</v>
      </c>
      <c r="E1944" s="3" t="s">
        <v>130</v>
      </c>
      <c r="F1944" s="4" t="s">
        <v>74</v>
      </c>
      <c r="G1944" s="4" t="s">
        <v>2276</v>
      </c>
      <c r="H1944" s="3"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3"/>
      <c r="AD1944" s="3"/>
    </row>
    <row r="1945" spans="1:30" ht="30" customHeight="1">
      <c r="A1945" s="11" t="s">
        <v>5600</v>
      </c>
      <c r="B1945" s="11" t="s">
        <v>5606</v>
      </c>
      <c r="C1945" s="3" t="s">
        <v>24</v>
      </c>
      <c r="D1945" s="3" t="s">
        <v>27</v>
      </c>
      <c r="E1945" s="3" t="s">
        <v>130</v>
      </c>
      <c r="F1945" s="4" t="s">
        <v>74</v>
      </c>
      <c r="G1945" s="4" t="s">
        <v>2276</v>
      </c>
      <c r="H1945" s="3"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3"/>
      <c r="AD1945" s="3"/>
    </row>
    <row r="1946" spans="1:30" ht="25.5" customHeight="1">
      <c r="A1946" s="11" t="s">
        <v>5599</v>
      </c>
      <c r="B1946" s="11" t="s">
        <v>5607</v>
      </c>
      <c r="C1946" s="3" t="s">
        <v>24</v>
      </c>
      <c r="D1946" s="3" t="s">
        <v>25</v>
      </c>
      <c r="E1946" s="3" t="s">
        <v>45</v>
      </c>
      <c r="F1946" s="4" t="s">
        <v>29</v>
      </c>
      <c r="G1946" s="4" t="s">
        <v>29</v>
      </c>
      <c r="H1946" s="3"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3"/>
      <c r="AD1946" s="3"/>
    </row>
    <row r="1947" spans="1:30" ht="25.5" customHeight="1">
      <c r="A1947" s="11" t="s">
        <v>5600</v>
      </c>
      <c r="B1947" s="11" t="s">
        <v>5608</v>
      </c>
      <c r="C1947" s="3" t="s">
        <v>24</v>
      </c>
      <c r="D1947" s="3" t="s">
        <v>25</v>
      </c>
      <c r="E1947" s="3" t="s">
        <v>45</v>
      </c>
      <c r="F1947" s="4" t="s">
        <v>29</v>
      </c>
      <c r="G1947" s="4" t="s">
        <v>29</v>
      </c>
      <c r="H1947" s="3"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3"/>
      <c r="AD1947" s="3"/>
    </row>
    <row r="1948" spans="1:30" ht="25.5" customHeight="1">
      <c r="A1948" s="11" t="s">
        <v>5599</v>
      </c>
      <c r="B1948" s="11" t="s">
        <v>5609</v>
      </c>
      <c r="C1948" s="3" t="s">
        <v>2458</v>
      </c>
      <c r="D1948" s="3" t="s">
        <v>143</v>
      </c>
      <c r="E1948" s="3" t="s">
        <v>45</v>
      </c>
      <c r="F1948" s="4" t="s">
        <v>29</v>
      </c>
      <c r="G1948" s="4" t="s">
        <v>2276</v>
      </c>
      <c r="H1948" s="3"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3"/>
      <c r="AD1948" s="3"/>
    </row>
    <row r="1949" spans="1:30" ht="32.5" customHeight="1">
      <c r="A1949" s="11" t="s">
        <v>5600</v>
      </c>
      <c r="B1949" s="11" t="s">
        <v>5610</v>
      </c>
      <c r="C1949" s="3" t="s">
        <v>2458</v>
      </c>
      <c r="D1949" s="3" t="s">
        <v>143</v>
      </c>
      <c r="E1949" s="3" t="s">
        <v>45</v>
      </c>
      <c r="F1949" s="4" t="s">
        <v>29</v>
      </c>
      <c r="G1949" s="4" t="s">
        <v>2276</v>
      </c>
      <c r="H1949" s="3"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3"/>
    </row>
    <row r="1950" spans="1:30" ht="93.5" customHeight="1">
      <c r="A1950" s="11" t="s">
        <v>5599</v>
      </c>
      <c r="B1950" s="11" t="s">
        <v>5611</v>
      </c>
      <c r="C1950" s="3" t="s">
        <v>2458</v>
      </c>
      <c r="D1950" s="3" t="s">
        <v>2276</v>
      </c>
      <c r="E1950" s="3" t="s">
        <v>45</v>
      </c>
      <c r="F1950" s="4" t="s">
        <v>29</v>
      </c>
      <c r="G1950" s="4" t="s">
        <v>2276</v>
      </c>
      <c r="H1950" s="3"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3" t="s">
        <v>2458</v>
      </c>
      <c r="D1951" s="3" t="s">
        <v>2276</v>
      </c>
      <c r="E1951" s="3" t="s">
        <v>45</v>
      </c>
      <c r="F1951" s="4" t="s">
        <v>29</v>
      </c>
      <c r="G1951" s="4" t="s">
        <v>2276</v>
      </c>
      <c r="H1951" s="3"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3" t="s">
        <v>31</v>
      </c>
      <c r="D1952" s="3" t="s">
        <v>30</v>
      </c>
      <c r="E1952" s="3" t="s">
        <v>2276</v>
      </c>
      <c r="F1952" s="3" t="s">
        <v>2276</v>
      </c>
      <c r="G1952" s="3" t="s">
        <v>2276</v>
      </c>
      <c r="H1952" s="3"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3"/>
      <c r="AD1952" s="3"/>
    </row>
    <row r="1953" spans="1:30" ht="31" customHeight="1">
      <c r="A1953" s="11" t="s">
        <v>5600</v>
      </c>
      <c r="B1953" s="11" t="s">
        <v>5619</v>
      </c>
      <c r="C1953" s="3" t="s">
        <v>24</v>
      </c>
      <c r="D1953" s="3" t="s">
        <v>2346</v>
      </c>
      <c r="E1953" s="3" t="s">
        <v>2276</v>
      </c>
      <c r="F1953" s="3" t="s">
        <v>2276</v>
      </c>
      <c r="G1953" s="3" t="s">
        <v>2276</v>
      </c>
      <c r="H1953" s="3"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3"/>
      <c r="AD1953" s="3"/>
    </row>
    <row r="1954" spans="1:30" ht="31" customHeight="1">
      <c r="A1954" s="11" t="s">
        <v>5600</v>
      </c>
      <c r="B1954" s="11" t="s">
        <v>5620</v>
      </c>
      <c r="C1954" s="3" t="s">
        <v>24</v>
      </c>
      <c r="D1954" s="3" t="s">
        <v>2994</v>
      </c>
      <c r="E1954" s="3" t="s">
        <v>2276</v>
      </c>
      <c r="F1954" s="3" t="s">
        <v>2276</v>
      </c>
      <c r="G1954" s="3" t="s">
        <v>2276</v>
      </c>
      <c r="H1954" s="3"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3"/>
      <c r="AD1954" s="3"/>
    </row>
    <row r="1955" spans="1:30" ht="39" customHeight="1">
      <c r="A1955" s="11" t="s">
        <v>5625</v>
      </c>
      <c r="B1955" s="11" t="s">
        <v>5632</v>
      </c>
      <c r="C1955" s="3" t="s">
        <v>24</v>
      </c>
      <c r="D1955" s="3" t="s">
        <v>27</v>
      </c>
      <c r="E1955" s="3" t="s">
        <v>130</v>
      </c>
      <c r="F1955" s="4" t="s">
        <v>160</v>
      </c>
      <c r="G1955" s="3" t="s">
        <v>2276</v>
      </c>
      <c r="H1955" s="3"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3" t="s">
        <v>5644</v>
      </c>
      <c r="AD1955" s="3"/>
    </row>
    <row r="1956" spans="1:30" ht="39" customHeight="1">
      <c r="A1956" s="11" t="s">
        <v>5629</v>
      </c>
      <c r="B1956" s="11" t="s">
        <v>5633</v>
      </c>
      <c r="C1956" s="3" t="s">
        <v>24</v>
      </c>
      <c r="D1956" s="3" t="s">
        <v>27</v>
      </c>
      <c r="E1956" s="3" t="s">
        <v>130</v>
      </c>
      <c r="F1956" s="4" t="s">
        <v>160</v>
      </c>
      <c r="G1956" s="3" t="s">
        <v>2276</v>
      </c>
      <c r="H1956" s="3"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3" t="s">
        <v>5644</v>
      </c>
      <c r="AD1956" s="3"/>
    </row>
    <row r="1957" spans="1:30" ht="39" customHeight="1">
      <c r="A1957" s="11" t="s">
        <v>5630</v>
      </c>
      <c r="B1957" s="11" t="s">
        <v>5634</v>
      </c>
      <c r="C1957" s="3" t="s">
        <v>24</v>
      </c>
      <c r="D1957" s="3" t="s">
        <v>27</v>
      </c>
      <c r="E1957" s="3" t="s">
        <v>130</v>
      </c>
      <c r="F1957" s="4" t="s">
        <v>160</v>
      </c>
      <c r="G1957" s="3" t="s">
        <v>2276</v>
      </c>
      <c r="H1957" s="3"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3" t="s">
        <v>5644</v>
      </c>
      <c r="AD1957" s="3"/>
    </row>
    <row r="1958" spans="1:30" ht="39" customHeight="1">
      <c r="A1958" s="11" t="s">
        <v>5631</v>
      </c>
      <c r="B1958" s="11" t="s">
        <v>5635</v>
      </c>
      <c r="C1958" s="3" t="s">
        <v>24</v>
      </c>
      <c r="D1958" s="3" t="s">
        <v>27</v>
      </c>
      <c r="E1958" s="3" t="s">
        <v>130</v>
      </c>
      <c r="F1958" s="4" t="s">
        <v>160</v>
      </c>
      <c r="G1958" s="3" t="s">
        <v>2276</v>
      </c>
      <c r="H1958" s="3"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3"/>
    </row>
    <row r="1959" spans="1:30" ht="39" customHeight="1">
      <c r="A1959" s="11" t="s">
        <v>5625</v>
      </c>
      <c r="B1959" s="11" t="s">
        <v>5636</v>
      </c>
      <c r="C1959" s="3" t="s">
        <v>24</v>
      </c>
      <c r="D1959" s="3" t="s">
        <v>25</v>
      </c>
      <c r="E1959" s="3" t="s">
        <v>45</v>
      </c>
      <c r="F1959" s="4" t="s">
        <v>29</v>
      </c>
      <c r="G1959" s="3" t="s">
        <v>2276</v>
      </c>
      <c r="H1959" s="3" t="s">
        <v>523</v>
      </c>
      <c r="I1959" s="3"/>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3" t="s">
        <v>5645</v>
      </c>
      <c r="AD1959" s="3"/>
    </row>
    <row r="1960" spans="1:30" ht="39" customHeight="1">
      <c r="A1960" s="11" t="s">
        <v>5629</v>
      </c>
      <c r="B1960" s="11" t="s">
        <v>5637</v>
      </c>
      <c r="C1960" s="3" t="s">
        <v>24</v>
      </c>
      <c r="D1960" s="3" t="s">
        <v>25</v>
      </c>
      <c r="E1960" s="3" t="s">
        <v>45</v>
      </c>
      <c r="F1960" s="4" t="s">
        <v>29</v>
      </c>
      <c r="G1960" s="3" t="s">
        <v>2276</v>
      </c>
      <c r="H1960" s="3" t="s">
        <v>523</v>
      </c>
      <c r="I1960" s="3"/>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3" t="s">
        <v>5645</v>
      </c>
      <c r="AD1960" s="3"/>
    </row>
    <row r="1961" spans="1:30" ht="39" customHeight="1">
      <c r="A1961" s="11" t="s">
        <v>5630</v>
      </c>
      <c r="B1961" s="11" t="s">
        <v>5638</v>
      </c>
      <c r="C1961" s="3" t="s">
        <v>24</v>
      </c>
      <c r="D1961" s="3" t="s">
        <v>25</v>
      </c>
      <c r="E1961" s="3" t="s">
        <v>45</v>
      </c>
      <c r="F1961" s="4" t="s">
        <v>29</v>
      </c>
      <c r="G1961" s="3" t="s">
        <v>2276</v>
      </c>
      <c r="H1961" s="3" t="s">
        <v>523</v>
      </c>
      <c r="I1961" s="3"/>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3" t="s">
        <v>5645</v>
      </c>
      <c r="AD1961" s="3"/>
    </row>
    <row r="1962" spans="1:30" ht="39" customHeight="1">
      <c r="A1962" s="11" t="s">
        <v>5631</v>
      </c>
      <c r="B1962" s="11" t="s">
        <v>5639</v>
      </c>
      <c r="C1962" s="3" t="s">
        <v>24</v>
      </c>
      <c r="D1962" s="3" t="s">
        <v>25</v>
      </c>
      <c r="E1962" s="3" t="s">
        <v>45</v>
      </c>
      <c r="F1962" s="4" t="s">
        <v>29</v>
      </c>
      <c r="G1962" s="3" t="s">
        <v>2276</v>
      </c>
      <c r="H1962" s="3" t="s">
        <v>523</v>
      </c>
      <c r="I1962" s="3"/>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3" t="s">
        <v>5645</v>
      </c>
      <c r="AD1962" s="3"/>
    </row>
    <row r="1963" spans="1:30" ht="84.5" customHeight="1">
      <c r="A1963" s="11" t="s">
        <v>5625</v>
      </c>
      <c r="B1963" s="11" t="s">
        <v>5640</v>
      </c>
      <c r="C1963" s="3" t="s">
        <v>2458</v>
      </c>
      <c r="D1963" s="3" t="s">
        <v>2276</v>
      </c>
      <c r="E1963" s="3" t="s">
        <v>2276</v>
      </c>
      <c r="F1963" s="3" t="s">
        <v>2276</v>
      </c>
      <c r="G1963" s="3" t="s">
        <v>2276</v>
      </c>
      <c r="H1963" s="3" t="s">
        <v>523</v>
      </c>
      <c r="I1963" s="3"/>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3" t="s">
        <v>2458</v>
      </c>
      <c r="D1964" s="3" t="s">
        <v>2276</v>
      </c>
      <c r="E1964" s="3" t="s">
        <v>2276</v>
      </c>
      <c r="F1964" s="3" t="s">
        <v>2276</v>
      </c>
      <c r="G1964" s="3" t="s">
        <v>2276</v>
      </c>
      <c r="H1964" s="3" t="s">
        <v>523</v>
      </c>
      <c r="I1964" s="3"/>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3" t="s">
        <v>2458</v>
      </c>
      <c r="D1965" s="3" t="s">
        <v>2276</v>
      </c>
      <c r="E1965" s="3" t="s">
        <v>2276</v>
      </c>
      <c r="F1965" s="3" t="s">
        <v>2276</v>
      </c>
      <c r="G1965" s="3" t="s">
        <v>2276</v>
      </c>
      <c r="H1965" s="3" t="s">
        <v>523</v>
      </c>
      <c r="I1965" s="3"/>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3" t="s">
        <v>2458</v>
      </c>
      <c r="D1966" s="3" t="s">
        <v>2276</v>
      </c>
      <c r="E1966" s="3" t="s">
        <v>2276</v>
      </c>
      <c r="F1966" s="3" t="s">
        <v>2276</v>
      </c>
      <c r="G1966" s="3" t="s">
        <v>2276</v>
      </c>
      <c r="H1966" s="3" t="s">
        <v>523</v>
      </c>
      <c r="I1966" s="3"/>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3" t="s">
        <v>2276</v>
      </c>
      <c r="H1967" s="3" t="s">
        <v>523</v>
      </c>
      <c r="I1967" s="3"/>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3"/>
      <c r="AD1967" s="4"/>
    </row>
    <row r="1968" spans="1:30" ht="54.5" customHeight="1">
      <c r="A1968" s="19" t="s">
        <v>5649</v>
      </c>
      <c r="B1968" s="19" t="s">
        <v>5653</v>
      </c>
      <c r="C1968" s="4" t="s">
        <v>24</v>
      </c>
      <c r="D1968" s="4" t="s">
        <v>2231</v>
      </c>
      <c r="E1968" s="4" t="s">
        <v>396</v>
      </c>
      <c r="F1968" s="4" t="s">
        <v>74</v>
      </c>
      <c r="G1968" s="3" t="s">
        <v>2276</v>
      </c>
      <c r="H1968" s="3" t="s">
        <v>523</v>
      </c>
      <c r="I1968" s="3"/>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3"/>
      <c r="AD1968" s="3"/>
    </row>
    <row r="1969" spans="1:30" ht="54.5" customHeight="1">
      <c r="A1969" s="19" t="s">
        <v>5649</v>
      </c>
      <c r="B1969" s="19" t="s">
        <v>5654</v>
      </c>
      <c r="C1969" s="4" t="s">
        <v>24</v>
      </c>
      <c r="D1969" s="4" t="s">
        <v>2231</v>
      </c>
      <c r="E1969" s="4" t="s">
        <v>2647</v>
      </c>
      <c r="F1969" s="4" t="s">
        <v>74</v>
      </c>
      <c r="G1969" s="3" t="s">
        <v>2276</v>
      </c>
      <c r="H1969" s="3" t="s">
        <v>523</v>
      </c>
      <c r="I1969" s="3"/>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3"/>
      <c r="AD1969" s="3"/>
    </row>
    <row r="1970" spans="1:30" ht="54.5" customHeight="1">
      <c r="A1970" s="19" t="s">
        <v>5649</v>
      </c>
      <c r="B1970" s="19" t="s">
        <v>5655</v>
      </c>
      <c r="C1970" s="4" t="s">
        <v>24</v>
      </c>
      <c r="D1970" s="4" t="s">
        <v>2346</v>
      </c>
      <c r="E1970" s="4" t="s">
        <v>396</v>
      </c>
      <c r="F1970" s="4" t="s">
        <v>74</v>
      </c>
      <c r="G1970" s="3" t="s">
        <v>2276</v>
      </c>
      <c r="H1970" s="3" t="s">
        <v>523</v>
      </c>
      <c r="I1970" s="3"/>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3"/>
      <c r="AD1970" s="3"/>
    </row>
    <row r="1971" spans="1:30" ht="54.5" customHeight="1">
      <c r="A1971" s="19" t="s">
        <v>5649</v>
      </c>
      <c r="B1971" s="19" t="s">
        <v>5656</v>
      </c>
      <c r="C1971" s="4" t="s">
        <v>24</v>
      </c>
      <c r="D1971" s="4" t="s">
        <v>2346</v>
      </c>
      <c r="E1971" s="4" t="s">
        <v>2647</v>
      </c>
      <c r="F1971" s="4" t="s">
        <v>74</v>
      </c>
      <c r="G1971" s="3" t="s">
        <v>2276</v>
      </c>
      <c r="H1971" s="3" t="s">
        <v>523</v>
      </c>
      <c r="I1971" s="3"/>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3"/>
      <c r="AD1971" s="3"/>
    </row>
    <row r="1972" spans="1:30" ht="33.5" customHeight="1">
      <c r="A1972" s="19" t="s">
        <v>5661</v>
      </c>
      <c r="B1972" s="19" t="s">
        <v>5664</v>
      </c>
      <c r="C1972" s="3" t="s">
        <v>24</v>
      </c>
      <c r="D1972" s="3" t="s">
        <v>406</v>
      </c>
      <c r="E1972" s="3" t="s">
        <v>137</v>
      </c>
      <c r="F1972" s="4" t="s">
        <v>2662</v>
      </c>
      <c r="G1972" s="4" t="s">
        <v>2276</v>
      </c>
      <c r="H1972" s="3" t="s">
        <v>524</v>
      </c>
      <c r="I1972" s="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3"/>
    </row>
    <row r="1973" spans="1:30" ht="33.5" customHeight="1">
      <c r="A1973" s="19" t="s">
        <v>5661</v>
      </c>
      <c r="B1973" s="19" t="s">
        <v>5665</v>
      </c>
      <c r="C1973" s="3" t="s">
        <v>24</v>
      </c>
      <c r="D1973" s="3" t="s">
        <v>1242</v>
      </c>
      <c r="E1973" s="3" t="s">
        <v>137</v>
      </c>
      <c r="F1973" s="4" t="s">
        <v>2662</v>
      </c>
      <c r="G1973" s="4" t="s">
        <v>2276</v>
      </c>
      <c r="H1973" s="3" t="s">
        <v>524</v>
      </c>
      <c r="I1973" s="3">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3"/>
    </row>
    <row r="1974" spans="1:30" ht="33.5" customHeight="1">
      <c r="A1974" s="19" t="s">
        <v>5661</v>
      </c>
      <c r="B1974" s="19" t="s">
        <v>5666</v>
      </c>
      <c r="C1974" s="3" t="s">
        <v>24</v>
      </c>
      <c r="D1974" s="3" t="s">
        <v>406</v>
      </c>
      <c r="E1974" s="3" t="s">
        <v>137</v>
      </c>
      <c r="F1974" s="4" t="s">
        <v>2662</v>
      </c>
      <c r="G1974" s="4" t="s">
        <v>2276</v>
      </c>
      <c r="H1974" s="3" t="s">
        <v>524</v>
      </c>
      <c r="I1974" s="3">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3"/>
    </row>
    <row r="1975" spans="1:30" ht="33.5" customHeight="1">
      <c r="A1975" s="19" t="s">
        <v>5661</v>
      </c>
      <c r="B1975" s="19" t="s">
        <v>5667</v>
      </c>
      <c r="C1975" s="3" t="s">
        <v>24</v>
      </c>
      <c r="D1975" s="3" t="s">
        <v>1242</v>
      </c>
      <c r="E1975" s="3" t="s">
        <v>137</v>
      </c>
      <c r="F1975" s="4" t="s">
        <v>2662</v>
      </c>
      <c r="G1975" s="4" t="s">
        <v>2276</v>
      </c>
      <c r="H1975" s="3" t="s">
        <v>524</v>
      </c>
      <c r="I1975" s="3">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3"/>
    </row>
    <row r="1976" spans="1:30" ht="30" customHeight="1">
      <c r="A1976" s="19" t="s">
        <v>5661</v>
      </c>
      <c r="B1976" s="19" t="s">
        <v>5668</v>
      </c>
      <c r="C1976" s="3" t="s">
        <v>24</v>
      </c>
      <c r="D1976" s="3" t="s">
        <v>406</v>
      </c>
      <c r="E1976" s="3" t="s">
        <v>116</v>
      </c>
      <c r="F1976" s="4" t="s">
        <v>2662</v>
      </c>
      <c r="G1976" s="3" t="s">
        <v>2276</v>
      </c>
      <c r="H1976" s="3" t="s">
        <v>523</v>
      </c>
      <c r="I1976" s="3">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3"/>
    </row>
    <row r="1977" spans="1:30" ht="30" customHeight="1">
      <c r="A1977" s="19" t="s">
        <v>5661</v>
      </c>
      <c r="B1977" s="19" t="s">
        <v>5669</v>
      </c>
      <c r="C1977" s="3" t="s">
        <v>24</v>
      </c>
      <c r="D1977" s="3" t="s">
        <v>1242</v>
      </c>
      <c r="E1977" s="3" t="s">
        <v>116</v>
      </c>
      <c r="F1977" s="4" t="s">
        <v>2662</v>
      </c>
      <c r="G1977" s="3" t="s">
        <v>2276</v>
      </c>
      <c r="H1977" s="3" t="s">
        <v>523</v>
      </c>
      <c r="I1977" s="3">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3"/>
    </row>
    <row r="1978" spans="1:30" ht="30" customHeight="1">
      <c r="A1978" s="19" t="s">
        <v>5661</v>
      </c>
      <c r="B1978" s="19" t="s">
        <v>5670</v>
      </c>
      <c r="C1978" s="3" t="s">
        <v>24</v>
      </c>
      <c r="D1978" s="3" t="s">
        <v>406</v>
      </c>
      <c r="E1978" s="3" t="s">
        <v>116</v>
      </c>
      <c r="F1978" s="4" t="s">
        <v>2662</v>
      </c>
      <c r="G1978" s="3" t="s">
        <v>2276</v>
      </c>
      <c r="H1978" s="3" t="s">
        <v>523</v>
      </c>
      <c r="I1978" s="3">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3"/>
    </row>
    <row r="1979" spans="1:30" ht="30" customHeight="1">
      <c r="A1979" s="19" t="s">
        <v>5661</v>
      </c>
      <c r="B1979" s="19" t="s">
        <v>5671</v>
      </c>
      <c r="C1979" s="3" t="s">
        <v>24</v>
      </c>
      <c r="D1979" s="3" t="s">
        <v>1242</v>
      </c>
      <c r="E1979" s="3" t="s">
        <v>116</v>
      </c>
      <c r="F1979" s="4" t="s">
        <v>2662</v>
      </c>
      <c r="G1979" s="3" t="s">
        <v>2276</v>
      </c>
      <c r="H1979" s="3" t="s">
        <v>523</v>
      </c>
      <c r="I1979" s="3">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3"/>
    </row>
    <row r="1980" spans="1:30" ht="30" customHeight="1">
      <c r="A1980" s="19" t="s">
        <v>5676</v>
      </c>
      <c r="B1980" s="19" t="s">
        <v>5679</v>
      </c>
      <c r="C1980" s="3" t="s">
        <v>24</v>
      </c>
      <c r="D1980" s="3" t="s">
        <v>1242</v>
      </c>
      <c r="E1980" s="3" t="s">
        <v>137</v>
      </c>
      <c r="F1980" s="4" t="s">
        <v>74</v>
      </c>
      <c r="G1980" s="3" t="s">
        <v>2276</v>
      </c>
      <c r="H1980" s="3" t="s">
        <v>523</v>
      </c>
      <c r="I1980" s="3"/>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3"/>
      <c r="AD1980" s="3"/>
    </row>
    <row r="1981" spans="1:30" ht="32.5" customHeight="1">
      <c r="A1981" s="19" t="s">
        <v>5676</v>
      </c>
      <c r="B1981" s="19" t="s">
        <v>5680</v>
      </c>
      <c r="C1981" s="3" t="s">
        <v>24</v>
      </c>
      <c r="D1981" s="3" t="s">
        <v>1242</v>
      </c>
      <c r="E1981" s="3" t="s">
        <v>2649</v>
      </c>
      <c r="F1981" s="4" t="s">
        <v>74</v>
      </c>
      <c r="G1981" s="3" t="s">
        <v>2276</v>
      </c>
      <c r="H1981" s="3" t="s">
        <v>523</v>
      </c>
      <c r="I1981" s="3"/>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3"/>
      <c r="AD1981" s="3"/>
    </row>
    <row r="1982" spans="1:30" ht="35.5" customHeight="1">
      <c r="A1982" s="19" t="s">
        <v>5676</v>
      </c>
      <c r="B1982" s="19" t="s">
        <v>5681</v>
      </c>
      <c r="C1982" s="3" t="s">
        <v>24</v>
      </c>
      <c r="D1982" s="3" t="s">
        <v>3480</v>
      </c>
      <c r="E1982" s="3" t="s">
        <v>116</v>
      </c>
      <c r="F1982" s="4" t="s">
        <v>74</v>
      </c>
      <c r="G1982" s="3" t="s">
        <v>2276</v>
      </c>
      <c r="H1982" s="3" t="s">
        <v>523</v>
      </c>
      <c r="I1982" s="3"/>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3"/>
      <c r="AD1982" s="3"/>
    </row>
    <row r="1983" spans="1:30" ht="37" customHeight="1">
      <c r="A1983" s="19" t="s">
        <v>5684</v>
      </c>
      <c r="B1983" s="19" t="s">
        <v>5686</v>
      </c>
      <c r="C1983" s="3" t="s">
        <v>24</v>
      </c>
      <c r="D1983" s="3" t="s">
        <v>1242</v>
      </c>
      <c r="E1983" s="3" t="s">
        <v>137</v>
      </c>
      <c r="F1983" s="4" t="s">
        <v>74</v>
      </c>
      <c r="G1983" s="3" t="s">
        <v>2276</v>
      </c>
      <c r="H1983" s="3" t="s">
        <v>523</v>
      </c>
      <c r="I1983" s="3"/>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3"/>
      <c r="AD1983" s="3"/>
    </row>
    <row r="1984" spans="1:30" ht="35.5" customHeight="1">
      <c r="A1984" s="19" t="s">
        <v>5684</v>
      </c>
      <c r="B1984" s="19" t="s">
        <v>5687</v>
      </c>
      <c r="C1984" s="3" t="s">
        <v>24</v>
      </c>
      <c r="D1984" s="3" t="s">
        <v>406</v>
      </c>
      <c r="E1984" s="3" t="s">
        <v>116</v>
      </c>
      <c r="F1984" s="4" t="s">
        <v>74</v>
      </c>
      <c r="G1984" s="3" t="s">
        <v>2276</v>
      </c>
      <c r="H1984" s="3" t="s">
        <v>523</v>
      </c>
      <c r="I1984" s="3"/>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3"/>
      <c r="AD1984" s="3"/>
    </row>
    <row r="1985" spans="1:30" ht="34" customHeight="1">
      <c r="A1985" s="19" t="s">
        <v>5684</v>
      </c>
      <c r="B1985" s="19" t="s">
        <v>5688</v>
      </c>
      <c r="C1985" s="3" t="s">
        <v>24</v>
      </c>
      <c r="D1985" s="3" t="s">
        <v>3480</v>
      </c>
      <c r="E1985" s="3" t="s">
        <v>116</v>
      </c>
      <c r="F1985" s="4" t="s">
        <v>74</v>
      </c>
      <c r="G1985" s="3" t="s">
        <v>2276</v>
      </c>
      <c r="H1985" s="3" t="s">
        <v>523</v>
      </c>
      <c r="I1985" s="3"/>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3"/>
      <c r="AD1985" s="3"/>
    </row>
    <row r="1986" spans="1:30" ht="30" customHeight="1">
      <c r="A1986" s="3" t="s">
        <v>5693</v>
      </c>
      <c r="B1986" s="19" t="s">
        <v>5698</v>
      </c>
      <c r="C1986" s="3" t="s">
        <v>24</v>
      </c>
      <c r="D1986" s="3" t="s">
        <v>27</v>
      </c>
      <c r="E1986" s="3" t="s">
        <v>130</v>
      </c>
      <c r="F1986" s="4" t="s">
        <v>74</v>
      </c>
      <c r="G1986" s="3" t="s">
        <v>2276</v>
      </c>
      <c r="H1986" s="3" t="s">
        <v>523</v>
      </c>
      <c r="I1986" s="3"/>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3"/>
    </row>
    <row r="1987" spans="1:30" ht="27" customHeight="1">
      <c r="A1987" s="3" t="s">
        <v>5693</v>
      </c>
      <c r="B1987" s="19" t="s">
        <v>5699</v>
      </c>
      <c r="C1987" s="3" t="s">
        <v>24</v>
      </c>
      <c r="D1987" s="3" t="s">
        <v>25</v>
      </c>
      <c r="E1987" s="3" t="s">
        <v>45</v>
      </c>
      <c r="F1987" s="4" t="s">
        <v>55</v>
      </c>
      <c r="G1987" s="3" t="s">
        <v>2276</v>
      </c>
      <c r="H1987" s="3" t="s">
        <v>523</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3"/>
    </row>
    <row r="1988" spans="1:30" ht="27" customHeight="1">
      <c r="A1988" s="3" t="s">
        <v>5693</v>
      </c>
      <c r="B1988" s="19" t="s">
        <v>5700</v>
      </c>
      <c r="C1988" s="3" t="s">
        <v>24</v>
      </c>
      <c r="D1988" s="3" t="s">
        <v>25</v>
      </c>
      <c r="E1988" s="3" t="s">
        <v>45</v>
      </c>
      <c r="F1988" s="4" t="s">
        <v>29</v>
      </c>
      <c r="G1988" s="3" t="s">
        <v>2276</v>
      </c>
      <c r="H1988" s="3" t="s">
        <v>523</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3"/>
    </row>
    <row r="1989" spans="1:30" ht="31.5" customHeight="1">
      <c r="A1989" s="3" t="s">
        <v>5693</v>
      </c>
      <c r="B1989" s="19" t="s">
        <v>5700</v>
      </c>
      <c r="C1989" s="3" t="s">
        <v>24</v>
      </c>
      <c r="D1989" s="3" t="s">
        <v>143</v>
      </c>
      <c r="E1989" s="3" t="s">
        <v>45</v>
      </c>
      <c r="F1989" s="4" t="s">
        <v>74</v>
      </c>
      <c r="G1989" s="3" t="s">
        <v>2276</v>
      </c>
      <c r="H1989" s="3" t="s">
        <v>523</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3"/>
      <c r="AD1989" s="3"/>
    </row>
    <row r="1990" spans="1:30" ht="30" customHeight="1">
      <c r="A1990" s="3" t="s">
        <v>5693</v>
      </c>
      <c r="B1990" s="19" t="s">
        <v>5701</v>
      </c>
      <c r="C1990" s="3" t="s">
        <v>24</v>
      </c>
      <c r="D1990" s="3" t="s">
        <v>143</v>
      </c>
      <c r="E1990" s="3" t="s">
        <v>2647</v>
      </c>
      <c r="F1990" s="4" t="s">
        <v>74</v>
      </c>
      <c r="G1990" s="3" t="s">
        <v>2276</v>
      </c>
      <c r="H1990" s="3" t="s">
        <v>524</v>
      </c>
      <c r="I1990" s="3"/>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3"/>
      <c r="AD1990" s="3"/>
    </row>
    <row r="1991" spans="1:30" ht="36" customHeight="1">
      <c r="A1991" s="3" t="s">
        <v>5693</v>
      </c>
      <c r="B1991" s="19" t="s">
        <v>5706</v>
      </c>
      <c r="C1991" s="3" t="s">
        <v>2458</v>
      </c>
      <c r="D1991" s="3" t="s">
        <v>27</v>
      </c>
      <c r="E1991" s="3" t="s">
        <v>130</v>
      </c>
      <c r="F1991" s="4" t="s">
        <v>74</v>
      </c>
      <c r="G1991" s="3" t="s">
        <v>2276</v>
      </c>
      <c r="H1991" s="3" t="s">
        <v>523</v>
      </c>
      <c r="I1991" s="3"/>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3"/>
      <c r="AD1991" s="3"/>
    </row>
    <row r="1992" spans="1:30" ht="23.5" customHeight="1">
      <c r="A1992" s="3" t="s">
        <v>5693</v>
      </c>
      <c r="B1992" s="19" t="s">
        <v>5707</v>
      </c>
      <c r="C1992" s="3" t="s">
        <v>2458</v>
      </c>
      <c r="D1992" s="3" t="s">
        <v>25</v>
      </c>
      <c r="E1992" s="3" t="s">
        <v>45</v>
      </c>
      <c r="F1992" s="4" t="s">
        <v>55</v>
      </c>
      <c r="G1992" s="3" t="s">
        <v>2276</v>
      </c>
      <c r="H1992" s="3" t="s">
        <v>523</v>
      </c>
      <c r="I1992" s="3"/>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3"/>
      <c r="AD1992" s="3"/>
    </row>
    <row r="1993" spans="1:30" ht="33.5" customHeight="1">
      <c r="A1993" s="3" t="s">
        <v>5693</v>
      </c>
      <c r="B1993" s="19" t="s">
        <v>5708</v>
      </c>
      <c r="C1993" s="3" t="s">
        <v>2458</v>
      </c>
      <c r="D1993" s="3" t="s">
        <v>25</v>
      </c>
      <c r="E1993" s="3" t="s">
        <v>45</v>
      </c>
      <c r="F1993" s="4" t="s">
        <v>29</v>
      </c>
      <c r="G1993" s="3" t="s">
        <v>2276</v>
      </c>
      <c r="H1993" s="3" t="s">
        <v>523</v>
      </c>
      <c r="I1993" s="3"/>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3"/>
      <c r="AD1993" s="3"/>
    </row>
    <row r="1994" spans="1:30" ht="33.5" customHeight="1">
      <c r="A1994" s="3" t="s">
        <v>5693</v>
      </c>
      <c r="B1994" s="19" t="s">
        <v>5709</v>
      </c>
      <c r="C1994" s="3" t="s">
        <v>24</v>
      </c>
      <c r="D1994" s="3" t="s">
        <v>1245</v>
      </c>
      <c r="E1994" s="3" t="s">
        <v>116</v>
      </c>
      <c r="F1994" s="4" t="s">
        <v>2276</v>
      </c>
      <c r="G1994" s="3" t="s">
        <v>2276</v>
      </c>
      <c r="H1994" s="3" t="s">
        <v>523</v>
      </c>
      <c r="I1994" s="3"/>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3"/>
      <c r="AD1994" s="3"/>
    </row>
    <row r="1995" spans="1:30" ht="24.5" customHeight="1">
      <c r="A1995" s="11" t="s">
        <v>5715</v>
      </c>
      <c r="B1995" s="11" t="s">
        <v>5717</v>
      </c>
      <c r="C1995" s="3" t="s">
        <v>24</v>
      </c>
      <c r="D1995" s="3" t="s">
        <v>27</v>
      </c>
      <c r="E1995" s="3" t="s">
        <v>130</v>
      </c>
      <c r="F1995" s="4" t="s">
        <v>74</v>
      </c>
      <c r="G1995" s="3" t="s">
        <v>2276</v>
      </c>
      <c r="H1995" s="3" t="s">
        <v>524</v>
      </c>
      <c r="I1995" s="3"/>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3"/>
      <c r="AD1995" s="3"/>
    </row>
    <row r="1996" spans="1:30" ht="24.5" customHeight="1">
      <c r="A1996" s="11" t="s">
        <v>5715</v>
      </c>
      <c r="B1996" s="11" t="s">
        <v>5718</v>
      </c>
      <c r="C1996" s="3" t="s">
        <v>24</v>
      </c>
      <c r="D1996" s="3" t="s">
        <v>25</v>
      </c>
      <c r="E1996" s="3" t="s">
        <v>45</v>
      </c>
      <c r="F1996" s="4" t="s">
        <v>74</v>
      </c>
      <c r="G1996" s="3" t="s">
        <v>2276</v>
      </c>
      <c r="H1996" s="3" t="s">
        <v>524</v>
      </c>
      <c r="I1996" s="3"/>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3"/>
      <c r="AD1996" s="3"/>
    </row>
    <row r="1997" spans="1:30" ht="24.5" customHeight="1">
      <c r="A1997" s="11" t="s">
        <v>5715</v>
      </c>
      <c r="B1997" s="11" t="s">
        <v>5719</v>
      </c>
      <c r="C1997" s="3" t="s">
        <v>24</v>
      </c>
      <c r="D1997" s="3" t="s">
        <v>3480</v>
      </c>
      <c r="E1997" s="3" t="s">
        <v>116</v>
      </c>
      <c r="F1997" s="4" t="s">
        <v>74</v>
      </c>
      <c r="G1997" s="3" t="s">
        <v>2276</v>
      </c>
      <c r="H1997" s="3" t="s">
        <v>524</v>
      </c>
      <c r="I1997" s="3"/>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3"/>
      <c r="AD1997" s="3"/>
    </row>
    <row r="1998" spans="1:30" ht="32" customHeight="1">
      <c r="A1998" s="35" t="s">
        <v>5715</v>
      </c>
      <c r="B1998" s="35" t="s">
        <v>5721</v>
      </c>
      <c r="C1998" s="38" t="s">
        <v>24</v>
      </c>
      <c r="D1998" t="s">
        <v>1105</v>
      </c>
      <c r="E1998"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5723</v>
      </c>
      <c r="B1999" s="11" t="s">
        <v>5732</v>
      </c>
      <c r="C1999" s="3" t="s">
        <v>24</v>
      </c>
      <c r="D1999" s="3" t="s">
        <v>26</v>
      </c>
      <c r="E1999" s="4" t="s">
        <v>396</v>
      </c>
      <c r="F1999" s="4" t="s">
        <v>28</v>
      </c>
      <c r="G1999" s="3" t="s">
        <v>2276</v>
      </c>
      <c r="H1999" s="3" t="s">
        <v>523</v>
      </c>
      <c r="I1999" s="3"/>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3"/>
    </row>
    <row r="2000" spans="1:30" ht="58">
      <c r="A2000" s="19" t="s">
        <v>5726</v>
      </c>
      <c r="B2000" s="11" t="s">
        <v>5735</v>
      </c>
      <c r="C2000" s="3" t="s">
        <v>24</v>
      </c>
      <c r="D2000" s="3" t="s">
        <v>26</v>
      </c>
      <c r="E2000" s="4" t="s">
        <v>396</v>
      </c>
      <c r="F2000" s="4" t="s">
        <v>28</v>
      </c>
      <c r="G2000" s="3" t="s">
        <v>2276</v>
      </c>
      <c r="H2000" s="3" t="s">
        <v>523</v>
      </c>
      <c r="I2000" s="3"/>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3"/>
    </row>
    <row r="2001" spans="1:30" ht="58">
      <c r="A2001" s="19" t="s">
        <v>5727</v>
      </c>
      <c r="B2001" s="11" t="s">
        <v>5736</v>
      </c>
      <c r="C2001" s="3" t="s">
        <v>24</v>
      </c>
      <c r="D2001" s="3" t="s">
        <v>26</v>
      </c>
      <c r="E2001" s="4" t="s">
        <v>396</v>
      </c>
      <c r="F2001" s="4" t="s">
        <v>28</v>
      </c>
      <c r="G2001" s="3" t="s">
        <v>2276</v>
      </c>
      <c r="H2001" s="3" t="s">
        <v>523</v>
      </c>
      <c r="I2001" s="3"/>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3"/>
    </row>
    <row r="2002" spans="1:30" ht="58">
      <c r="A2002" s="19" t="s">
        <v>5728</v>
      </c>
      <c r="B2002" s="11" t="s">
        <v>5737</v>
      </c>
      <c r="C2002" s="3" t="s">
        <v>24</v>
      </c>
      <c r="D2002" s="3" t="s">
        <v>26</v>
      </c>
      <c r="E2002" s="4" t="s">
        <v>396</v>
      </c>
      <c r="F2002" s="4" t="s">
        <v>28</v>
      </c>
      <c r="G2002" s="3" t="s">
        <v>2276</v>
      </c>
      <c r="H2002" s="3" t="s">
        <v>523</v>
      </c>
      <c r="I2002" s="3"/>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3"/>
    </row>
    <row r="2003" spans="1:30" ht="33.5" customHeight="1">
      <c r="A2003" s="19" t="s">
        <v>5739</v>
      </c>
      <c r="B2003" s="19" t="s">
        <v>5746</v>
      </c>
      <c r="C2003" s="3" t="s">
        <v>1105</v>
      </c>
      <c r="D2003" s="3" t="s">
        <v>1105</v>
      </c>
      <c r="E2003" s="3" t="s">
        <v>1105</v>
      </c>
      <c r="F2003" s="3" t="s">
        <v>1105</v>
      </c>
      <c r="G2003" s="3" t="s">
        <v>74</v>
      </c>
      <c r="H2003" s="3" t="s">
        <v>523</v>
      </c>
      <c r="I2003" s="3"/>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3"/>
      <c r="AD2003" s="3"/>
    </row>
    <row r="2004" spans="1:30" ht="33.5" customHeight="1">
      <c r="A2004" s="19" t="s">
        <v>5743</v>
      </c>
      <c r="B2004" s="19" t="s">
        <v>5747</v>
      </c>
      <c r="C2004" s="3" t="s">
        <v>1105</v>
      </c>
      <c r="D2004" s="3" t="s">
        <v>1105</v>
      </c>
      <c r="E2004" s="3" t="s">
        <v>1105</v>
      </c>
      <c r="F2004" s="3" t="s">
        <v>1105</v>
      </c>
      <c r="G2004" s="3" t="s">
        <v>74</v>
      </c>
      <c r="H2004" s="3" t="s">
        <v>523</v>
      </c>
      <c r="I2004" s="3"/>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3"/>
      <c r="AD2004" s="3"/>
    </row>
    <row r="2005" spans="1:30" ht="33.5" customHeight="1">
      <c r="A2005" s="19" t="s">
        <v>5744</v>
      </c>
      <c r="B2005" s="19" t="s">
        <v>5748</v>
      </c>
      <c r="C2005" s="3" t="s">
        <v>1105</v>
      </c>
      <c r="D2005" s="3" t="s">
        <v>1105</v>
      </c>
      <c r="E2005" s="3" t="s">
        <v>1105</v>
      </c>
      <c r="F2005" s="3" t="s">
        <v>1105</v>
      </c>
      <c r="G2005" s="3" t="s">
        <v>74</v>
      </c>
      <c r="H2005" s="3" t="s">
        <v>523</v>
      </c>
      <c r="I2005" s="3"/>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3"/>
      <c r="AD2005" s="3"/>
    </row>
    <row r="2006" spans="1:30" ht="36.5" customHeight="1">
      <c r="A2006" s="19" t="s">
        <v>5739</v>
      </c>
      <c r="B2006" s="19" t="s">
        <v>5750</v>
      </c>
      <c r="C2006" s="3" t="s">
        <v>24</v>
      </c>
      <c r="D2006" s="3" t="s">
        <v>1242</v>
      </c>
      <c r="E2006" s="4" t="s">
        <v>397</v>
      </c>
      <c r="F2006" s="4" t="s">
        <v>74</v>
      </c>
      <c r="G2006" s="3" t="s">
        <v>2276</v>
      </c>
      <c r="H2006" s="3" t="s">
        <v>523</v>
      </c>
      <c r="I2006" s="3"/>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3"/>
      <c r="AD2006" s="3"/>
    </row>
    <row r="2007" spans="1:30" ht="36.5" customHeight="1">
      <c r="A2007" s="19" t="s">
        <v>5743</v>
      </c>
      <c r="B2007" s="19" t="s">
        <v>5751</v>
      </c>
      <c r="C2007" s="3" t="s">
        <v>24</v>
      </c>
      <c r="D2007" s="3" t="s">
        <v>1242</v>
      </c>
      <c r="E2007" s="4" t="s">
        <v>397</v>
      </c>
      <c r="F2007" s="4" t="s">
        <v>74</v>
      </c>
      <c r="G2007" s="3" t="s">
        <v>2276</v>
      </c>
      <c r="H2007" s="3" t="s">
        <v>523</v>
      </c>
      <c r="I2007" s="3"/>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3"/>
      <c r="AD2007" s="3"/>
    </row>
    <row r="2008" spans="1:30" ht="36.5" customHeight="1">
      <c r="A2008" s="19" t="s">
        <v>5744</v>
      </c>
      <c r="B2008" s="19" t="s">
        <v>5752</v>
      </c>
      <c r="C2008" s="3" t="s">
        <v>24</v>
      </c>
      <c r="D2008" s="3" t="s">
        <v>1242</v>
      </c>
      <c r="E2008" s="4" t="s">
        <v>397</v>
      </c>
      <c r="F2008" s="4" t="s">
        <v>74</v>
      </c>
      <c r="G2008" s="3" t="s">
        <v>2276</v>
      </c>
      <c r="H2008" s="3" t="s">
        <v>523</v>
      </c>
      <c r="I2008" s="3"/>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3"/>
      <c r="AD2008" s="3"/>
    </row>
    <row r="2009" spans="1:30" ht="65.5" customHeight="1">
      <c r="A2009" s="19" t="s">
        <v>5739</v>
      </c>
      <c r="B2009" s="19" t="s">
        <v>5755</v>
      </c>
      <c r="C2009" s="3" t="s">
        <v>24</v>
      </c>
      <c r="D2009" s="3" t="s">
        <v>2659</v>
      </c>
      <c r="E2009" s="4" t="s">
        <v>397</v>
      </c>
      <c r="F2009" s="4" t="s">
        <v>28</v>
      </c>
      <c r="G2009" s="3" t="s">
        <v>2276</v>
      </c>
      <c r="H2009" s="3" t="s">
        <v>523</v>
      </c>
      <c r="I2009" s="3"/>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3"/>
      <c r="AD2009" s="4" t="s">
        <v>5763</v>
      </c>
    </row>
    <row r="2010" spans="1:30" ht="65.5" customHeight="1">
      <c r="A2010" s="19" t="s">
        <v>5743</v>
      </c>
      <c r="B2010" s="19" t="s">
        <v>5756</v>
      </c>
      <c r="C2010" s="3" t="s">
        <v>24</v>
      </c>
      <c r="D2010" s="3" t="s">
        <v>2659</v>
      </c>
      <c r="E2010" s="4" t="s">
        <v>397</v>
      </c>
      <c r="F2010" s="4" t="s">
        <v>28</v>
      </c>
      <c r="G2010" s="3" t="s">
        <v>2276</v>
      </c>
      <c r="H2010" s="3" t="s">
        <v>523</v>
      </c>
      <c r="I2010" s="3"/>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3"/>
      <c r="AD2010" s="4" t="s">
        <v>5763</v>
      </c>
    </row>
    <row r="2011" spans="1:30" ht="65.5" customHeight="1">
      <c r="A2011" s="19" t="s">
        <v>5744</v>
      </c>
      <c r="B2011" s="19" t="s">
        <v>5757</v>
      </c>
      <c r="C2011" s="3" t="s">
        <v>24</v>
      </c>
      <c r="D2011" s="3" t="s">
        <v>2659</v>
      </c>
      <c r="E2011" s="4" t="s">
        <v>397</v>
      </c>
      <c r="F2011" s="4" t="s">
        <v>28</v>
      </c>
      <c r="G2011" s="3" t="s">
        <v>2276</v>
      </c>
      <c r="H2011" s="3" t="s">
        <v>523</v>
      </c>
      <c r="I2011" s="3"/>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3"/>
      <c r="AD2011" s="4" t="s">
        <v>5763</v>
      </c>
    </row>
    <row r="2012" spans="1:30" ht="31.5" customHeight="1">
      <c r="A2012" s="19" t="s">
        <v>5739</v>
      </c>
      <c r="B2012" s="19" t="s">
        <v>5760</v>
      </c>
      <c r="C2012" s="3" t="s">
        <v>24</v>
      </c>
      <c r="D2012" s="3" t="s">
        <v>2994</v>
      </c>
      <c r="E2012" s="3" t="s">
        <v>2276</v>
      </c>
      <c r="F2012" s="4" t="s">
        <v>2276</v>
      </c>
      <c r="G2012" s="3" t="s">
        <v>2276</v>
      </c>
      <c r="H2012" s="3" t="s">
        <v>523</v>
      </c>
      <c r="I2012" s="3"/>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3" t="s">
        <v>5770</v>
      </c>
      <c r="AD2012" s="3"/>
    </row>
    <row r="2013" spans="1:30" ht="31.5" customHeight="1">
      <c r="A2013" s="19" t="s">
        <v>5743</v>
      </c>
      <c r="B2013" s="19" t="s">
        <v>5761</v>
      </c>
      <c r="C2013" s="3" t="s">
        <v>24</v>
      </c>
      <c r="D2013" s="3" t="s">
        <v>2994</v>
      </c>
      <c r="E2013" s="3" t="s">
        <v>2276</v>
      </c>
      <c r="F2013" s="4" t="s">
        <v>2276</v>
      </c>
      <c r="G2013" s="3" t="s">
        <v>2276</v>
      </c>
      <c r="H2013" s="3" t="s">
        <v>523</v>
      </c>
      <c r="I2013" s="3"/>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3" t="s">
        <v>5770</v>
      </c>
      <c r="AD2013" s="3"/>
    </row>
    <row r="2014" spans="1:30" ht="31.5" customHeight="1">
      <c r="A2014" s="19" t="s">
        <v>5744</v>
      </c>
      <c r="B2014" s="19" t="s">
        <v>5762</v>
      </c>
      <c r="C2014" s="3" t="s">
        <v>24</v>
      </c>
      <c r="D2014" s="3" t="s">
        <v>2994</v>
      </c>
      <c r="E2014" s="3" t="s">
        <v>2276</v>
      </c>
      <c r="F2014" s="4" t="s">
        <v>2276</v>
      </c>
      <c r="G2014" s="3" t="s">
        <v>2276</v>
      </c>
      <c r="H2014" s="3" t="s">
        <v>523</v>
      </c>
      <c r="I2014" s="3"/>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3" t="s">
        <v>5770</v>
      </c>
      <c r="AD2014" s="3"/>
    </row>
    <row r="2015" spans="1:30" ht="29">
      <c r="A2015" s="19" t="s">
        <v>5739</v>
      </c>
      <c r="B2015" s="19" t="s">
        <v>5764</v>
      </c>
      <c r="C2015" s="3" t="s">
        <v>24</v>
      </c>
      <c r="D2015" s="3" t="s">
        <v>2804</v>
      </c>
      <c r="E2015" s="3" t="s">
        <v>45</v>
      </c>
      <c r="F2015" s="4" t="s">
        <v>2662</v>
      </c>
      <c r="G2015" s="3" t="s">
        <v>2276</v>
      </c>
      <c r="H2015" s="3" t="s">
        <v>523</v>
      </c>
      <c r="I2015" s="3"/>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3"/>
      <c r="AD2015" s="3"/>
    </row>
    <row r="2016" spans="1:30" ht="29">
      <c r="A2016" s="19" t="s">
        <v>5743</v>
      </c>
      <c r="B2016" s="19" t="s">
        <v>5765</v>
      </c>
      <c r="C2016" s="3" t="s">
        <v>24</v>
      </c>
      <c r="D2016" s="3" t="s">
        <v>2804</v>
      </c>
      <c r="E2016" s="3" t="s">
        <v>45</v>
      </c>
      <c r="F2016" s="4" t="s">
        <v>2662</v>
      </c>
      <c r="G2016" s="3" t="s">
        <v>2276</v>
      </c>
      <c r="H2016" s="3" t="s">
        <v>523</v>
      </c>
      <c r="I2016" s="3"/>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3"/>
      <c r="AD2016" s="3"/>
    </row>
    <row r="2017" spans="1:30" ht="29">
      <c r="A2017" s="19" t="s">
        <v>5744</v>
      </c>
      <c r="B2017" s="19" t="s">
        <v>5766</v>
      </c>
      <c r="C2017" s="3" t="s">
        <v>24</v>
      </c>
      <c r="D2017" s="3" t="s">
        <v>2804</v>
      </c>
      <c r="E2017" s="3" t="s">
        <v>45</v>
      </c>
      <c r="F2017" s="4" t="s">
        <v>2662</v>
      </c>
      <c r="G2017" s="3" t="s">
        <v>2276</v>
      </c>
      <c r="H2017" s="3" t="s">
        <v>523</v>
      </c>
      <c r="I2017" s="3"/>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3"/>
      <c r="AD2017" s="3"/>
    </row>
    <row r="2018" spans="1:30" ht="29" customHeight="1">
      <c r="A2018" s="19" t="s">
        <v>5739</v>
      </c>
      <c r="B2018" s="19" t="s">
        <v>5767</v>
      </c>
      <c r="C2018" s="3" t="s">
        <v>24</v>
      </c>
      <c r="D2018" t="s">
        <v>3480</v>
      </c>
      <c r="E2018" s="3" t="s">
        <v>2276</v>
      </c>
      <c r="F2018" s="4" t="s">
        <v>74</v>
      </c>
      <c r="G2018" s="3" t="s">
        <v>2276</v>
      </c>
      <c r="H2018" s="3" t="s">
        <v>523</v>
      </c>
      <c r="I2018" s="3"/>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3"/>
      <c r="AD2018" s="3"/>
    </row>
    <row r="2019" spans="1:30" ht="29" customHeight="1">
      <c r="A2019" s="19" t="s">
        <v>5743</v>
      </c>
      <c r="B2019" s="19" t="s">
        <v>5768</v>
      </c>
      <c r="C2019" s="3" t="s">
        <v>24</v>
      </c>
      <c r="D2019" t="s">
        <v>3480</v>
      </c>
      <c r="E2019" s="3" t="s">
        <v>2276</v>
      </c>
      <c r="F2019" s="4" t="s">
        <v>74</v>
      </c>
      <c r="G2019" s="3" t="s">
        <v>2276</v>
      </c>
      <c r="H2019" s="3" t="s">
        <v>523</v>
      </c>
      <c r="I2019" s="3"/>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3"/>
      <c r="AD2019" s="3"/>
    </row>
    <row r="2020" spans="1:30" ht="29" customHeight="1">
      <c r="A2020" s="55" t="s">
        <v>5744</v>
      </c>
      <c r="B2020" s="19" t="s">
        <v>5769</v>
      </c>
      <c r="C2020" s="38" t="s">
        <v>24</v>
      </c>
      <c r="D2020" t="s">
        <v>3480</v>
      </c>
      <c r="E2020" s="38" t="s">
        <v>2276</v>
      </c>
      <c r="F2020" s="4" t="s">
        <v>74</v>
      </c>
      <c r="G2020" s="3" t="s">
        <v>2276</v>
      </c>
      <c r="H2020" s="3" t="s">
        <v>523</v>
      </c>
      <c r="I2020" s="3"/>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3"/>
      <c r="AD2020" s="3"/>
    </row>
    <row r="2021" spans="1:30" ht="25.5" customHeight="1">
      <c r="A2021" s="19" t="s">
        <v>5739</v>
      </c>
      <c r="B2021" s="19" t="s">
        <v>5771</v>
      </c>
      <c r="C2021" s="3" t="s">
        <v>24</v>
      </c>
      <c r="D2021" s="3" t="s">
        <v>143</v>
      </c>
      <c r="E2021" s="3" t="s">
        <v>45</v>
      </c>
      <c r="F2021" s="4" t="s">
        <v>74</v>
      </c>
      <c r="G2021" s="3" t="s">
        <v>2276</v>
      </c>
      <c r="H2021" s="3" t="s">
        <v>523</v>
      </c>
      <c r="I2021" s="3"/>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3"/>
      <c r="AD2021" s="3"/>
    </row>
    <row r="2022" spans="1:30" ht="25.5" customHeight="1">
      <c r="A2022" s="19" t="s">
        <v>5743</v>
      </c>
      <c r="B2022" s="19" t="s">
        <v>5772</v>
      </c>
      <c r="C2022" s="3" t="s">
        <v>24</v>
      </c>
      <c r="D2022" s="3" t="s">
        <v>143</v>
      </c>
      <c r="E2022" s="3" t="s">
        <v>45</v>
      </c>
      <c r="F2022" s="4" t="s">
        <v>74</v>
      </c>
      <c r="G2022" s="3" t="s">
        <v>2276</v>
      </c>
      <c r="H2022" s="3" t="s">
        <v>523</v>
      </c>
      <c r="I2022" s="3"/>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3"/>
      <c r="AD2022" s="3"/>
    </row>
    <row r="2023" spans="1:30" ht="25.5" customHeight="1">
      <c r="A2023" s="19" t="s">
        <v>5744</v>
      </c>
      <c r="B2023" s="19" t="s">
        <v>5773</v>
      </c>
      <c r="C2023" s="3" t="s">
        <v>24</v>
      </c>
      <c r="D2023" s="3" t="s">
        <v>143</v>
      </c>
      <c r="E2023" s="3" t="s">
        <v>45</v>
      </c>
      <c r="F2023" s="4" t="s">
        <v>74</v>
      </c>
      <c r="G2023" s="3" t="s">
        <v>2276</v>
      </c>
      <c r="H2023" s="3" t="s">
        <v>523</v>
      </c>
      <c r="I2023" s="3"/>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3"/>
      <c r="AD2023" s="3"/>
    </row>
    <row r="2024" spans="1:30" ht="29">
      <c r="A2024" s="19" t="s">
        <v>5739</v>
      </c>
      <c r="B2024" s="19" t="s">
        <v>5774</v>
      </c>
      <c r="C2024" s="3" t="s">
        <v>24</v>
      </c>
      <c r="D2024" s="3" t="s">
        <v>143</v>
      </c>
      <c r="E2024" s="4" t="s">
        <v>397</v>
      </c>
      <c r="F2024" s="4" t="s">
        <v>74</v>
      </c>
      <c r="G2024" s="3"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3"/>
      <c r="AD2024" s="3"/>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3"/>
      <c r="AD2025" s="3"/>
    </row>
    <row r="2026" spans="1:30" ht="29">
      <c r="A2026" s="19" t="s">
        <v>5744</v>
      </c>
      <c r="B2026" s="19" t="s">
        <v>5776</v>
      </c>
      <c r="C2026" s="3" t="s">
        <v>24</v>
      </c>
      <c r="D2026" s="3" t="s">
        <v>143</v>
      </c>
      <c r="E2026" s="4" t="s">
        <v>397</v>
      </c>
      <c r="F2026" s="4" t="s">
        <v>74</v>
      </c>
      <c r="G2026" s="3"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3"/>
      <c r="AD2026" s="3"/>
    </row>
    <row r="2027" spans="1:30" ht="29" customHeight="1">
      <c r="A2027" s="19" t="s">
        <v>5779</v>
      </c>
      <c r="B2027" s="19" t="s">
        <v>5789</v>
      </c>
      <c r="C2027" s="3" t="s">
        <v>24</v>
      </c>
      <c r="D2027" s="3" t="s">
        <v>1242</v>
      </c>
      <c r="E2027" s="3" t="s">
        <v>1105</v>
      </c>
      <c r="F2027" s="4" t="s">
        <v>74</v>
      </c>
      <c r="G2027" s="3"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3"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3" t="s">
        <v>24</v>
      </c>
      <c r="D2031" s="3" t="s">
        <v>1245</v>
      </c>
      <c r="E2031" s="3" t="s">
        <v>116</v>
      </c>
      <c r="F2031" s="4" t="s">
        <v>74</v>
      </c>
      <c r="G2031" s="3" t="s">
        <v>2276</v>
      </c>
      <c r="H2031" s="3" t="s">
        <v>524</v>
      </c>
      <c r="I2031" s="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3"/>
    </row>
    <row r="2032" spans="1:30" ht="55.5" customHeight="1">
      <c r="A2032" s="19" t="s">
        <v>5780</v>
      </c>
      <c r="B2032" s="19" t="s">
        <v>5786</v>
      </c>
      <c r="C2032" s="3" t="s">
        <v>24</v>
      </c>
      <c r="D2032" s="3" t="s">
        <v>1242</v>
      </c>
      <c r="E2032" s="3" t="s">
        <v>116</v>
      </c>
      <c r="F2032" s="4" t="s">
        <v>74</v>
      </c>
      <c r="G2032" s="3"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3" t="s">
        <v>116</v>
      </c>
      <c r="F2033" s="4" t="s">
        <v>74</v>
      </c>
      <c r="G2033" s="3"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3" t="s">
        <v>116</v>
      </c>
      <c r="F2034" s="4" t="s">
        <v>74</v>
      </c>
      <c r="G2034" s="3"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3"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3"/>
      <c r="AD2035" s="3"/>
    </row>
    <row r="2036" spans="1:30" ht="29">
      <c r="A2036" s="19" t="s">
        <v>5797</v>
      </c>
      <c r="B2036" s="19" t="s">
        <v>5803</v>
      </c>
      <c r="C2036" s="11" t="s">
        <v>24</v>
      </c>
      <c r="D2036" s="3" t="s">
        <v>2994</v>
      </c>
      <c r="E2036" s="4" t="s">
        <v>396</v>
      </c>
      <c r="F2036" s="4" t="s">
        <v>2276</v>
      </c>
      <c r="G2036" s="3"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3"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3"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3"/>
      <c r="AD2038" s="3"/>
    </row>
    <row r="2039" spans="1:30" ht="32" customHeight="1">
      <c r="A2039" s="19" t="s">
        <v>5797</v>
      </c>
      <c r="B2039" s="19" t="s">
        <v>5806</v>
      </c>
      <c r="C2039" s="3" t="s">
        <v>24</v>
      </c>
      <c r="D2039" s="3" t="s">
        <v>2346</v>
      </c>
      <c r="E2039" s="4" t="s">
        <v>2276</v>
      </c>
      <c r="F2039" s="4" t="s">
        <v>2276</v>
      </c>
      <c r="G2039" s="3"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3"/>
      <c r="AD2039" s="3"/>
    </row>
    <row r="2040" spans="1:30" ht="30" customHeight="1">
      <c r="A2040" s="19" t="s">
        <v>5797</v>
      </c>
      <c r="B2040" s="19" t="s">
        <v>5807</v>
      </c>
      <c r="C2040" s="11" t="s">
        <v>2458</v>
      </c>
      <c r="D2040" s="3" t="s">
        <v>2994</v>
      </c>
      <c r="E2040" s="4" t="s">
        <v>2652</v>
      </c>
      <c r="F2040" s="4" t="s">
        <v>2276</v>
      </c>
      <c r="G2040" s="3"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3"/>
      <c r="AD2040" s="3"/>
    </row>
    <row r="2041" spans="1:30" ht="64.5" customHeight="1">
      <c r="A2041" s="19" t="s">
        <v>5797</v>
      </c>
      <c r="B2041" s="19" t="s">
        <v>5808</v>
      </c>
      <c r="C2041" s="11" t="s">
        <v>1105</v>
      </c>
      <c r="D2041" s="3" t="s">
        <v>1105</v>
      </c>
      <c r="E2041" s="4" t="s">
        <v>1105</v>
      </c>
      <c r="F2041" s="4" t="s">
        <v>2276</v>
      </c>
      <c r="G2041" s="3"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3"/>
      <c r="AD2041" s="4" t="s">
        <v>5809</v>
      </c>
    </row>
    <row r="2042" spans="1:30" ht="30" customHeight="1">
      <c r="A2042" s="19" t="s">
        <v>5816</v>
      </c>
      <c r="B2042" s="19" t="s">
        <v>5820</v>
      </c>
      <c r="C2042" s="3" t="s">
        <v>24</v>
      </c>
      <c r="D2042" s="3" t="s">
        <v>27</v>
      </c>
      <c r="E2042" s="3" t="s">
        <v>130</v>
      </c>
      <c r="F2042" s="4" t="s">
        <v>160</v>
      </c>
      <c r="G2042" s="3"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3"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3"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3"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3"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3"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3"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3"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3"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3" t="s">
        <v>5844</v>
      </c>
      <c r="B2051" s="3" t="s">
        <v>5850</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3" t="s">
        <v>5844</v>
      </c>
      <c r="B2052" s="3" t="s">
        <v>5851</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3"/>
      <c r="AD2052" s="3"/>
    </row>
    <row r="2053" spans="1:30" ht="44.5" customHeight="1">
      <c r="A2053" s="3" t="s">
        <v>5844</v>
      </c>
      <c r="B2053" s="3"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3"/>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3"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3"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3"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3" t="s">
        <v>2276</v>
      </c>
      <c r="G2078" s="3"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3" t="s">
        <v>2276</v>
      </c>
      <c r="G2079" s="3"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3" t="s">
        <v>2276</v>
      </c>
      <c r="G2080" s="3"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3" t="s">
        <v>2276</v>
      </c>
      <c r="G2081" s="3"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3" t="s">
        <v>2276</v>
      </c>
      <c r="G2082" s="3"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3" t="s">
        <v>2276</v>
      </c>
      <c r="G2083" s="3"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3" t="s">
        <v>2276</v>
      </c>
      <c r="G2084" s="3"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3" t="s">
        <v>2276</v>
      </c>
      <c r="G2085" s="3"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3" t="s">
        <v>2276</v>
      </c>
      <c r="G2086" s="3"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3" t="s">
        <v>2276</v>
      </c>
      <c r="G2087" s="3"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5909</v>
      </c>
      <c r="B2089" s="11" t="s">
        <v>5923</v>
      </c>
      <c r="C2089" s="3" t="s">
        <v>24</v>
      </c>
      <c r="D2089" s="3" t="s">
        <v>1242</v>
      </c>
      <c r="E2089" s="3" t="s">
        <v>137</v>
      </c>
      <c r="F2089" s="3" t="s">
        <v>2276</v>
      </c>
      <c r="G2089" s="3"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3" t="s">
        <v>2276</v>
      </c>
      <c r="G2090" s="3"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3"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3"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3"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3"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3"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3"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3"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3"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3"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3"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3"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3"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3"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3"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3"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3"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3"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3"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3"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3"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3"/>
      <c r="J2114" s="3" t="s">
        <v>2276</v>
      </c>
      <c r="K2114" s="3" t="s">
        <v>2276</v>
      </c>
      <c r="L2114" s="3" t="s">
        <v>2276</v>
      </c>
      <c r="M2114" s="3" t="s">
        <v>2276</v>
      </c>
      <c r="N2114" s="3" t="s">
        <v>2276</v>
      </c>
      <c r="O2114" s="3" t="s">
        <v>2276</v>
      </c>
      <c r="P2114" s="3" t="s">
        <v>2276</v>
      </c>
      <c r="Q2114" s="3" t="s">
        <v>2276</v>
      </c>
      <c r="R2114" s="3" t="s">
        <v>2276</v>
      </c>
      <c r="S2114" s="3" t="s">
        <v>2276</v>
      </c>
      <c r="T2114" s="3" t="s">
        <v>2276</v>
      </c>
      <c r="U2114" s="3" t="s">
        <v>2276</v>
      </c>
      <c r="V2114" s="3" t="s">
        <v>2276</v>
      </c>
      <c r="W2114" s="3" t="s">
        <v>2276</v>
      </c>
      <c r="X2114" s="3"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3"/>
      <c r="J2115" s="3" t="s">
        <v>2276</v>
      </c>
      <c r="K2115" s="3" t="s">
        <v>2276</v>
      </c>
      <c r="L2115" s="3" t="s">
        <v>2276</v>
      </c>
      <c r="M2115" s="3" t="s">
        <v>2276</v>
      </c>
      <c r="N2115" s="3" t="s">
        <v>2276</v>
      </c>
      <c r="O2115" s="3" t="s">
        <v>2276</v>
      </c>
      <c r="P2115" s="3" t="s">
        <v>2276</v>
      </c>
      <c r="Q2115" s="3" t="s">
        <v>2276</v>
      </c>
      <c r="R2115" s="3" t="s">
        <v>2276</v>
      </c>
      <c r="S2115" s="3" t="s">
        <v>2276</v>
      </c>
      <c r="T2115" s="3" t="s">
        <v>2276</v>
      </c>
      <c r="U2115" s="3" t="s">
        <v>2276</v>
      </c>
      <c r="V2115" s="3" t="s">
        <v>2276</v>
      </c>
      <c r="W2115" s="3" t="s">
        <v>2276</v>
      </c>
      <c r="X2115" s="3"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3" t="s">
        <v>2276</v>
      </c>
      <c r="H2116" s="3" t="s">
        <v>523</v>
      </c>
      <c r="I2116" s="3"/>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3" t="s">
        <v>2276</v>
      </c>
      <c r="H2117" s="3" t="s">
        <v>523</v>
      </c>
      <c r="I2117" s="3"/>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3" t="s">
        <v>2276</v>
      </c>
      <c r="X2117" s="3"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3" t="s">
        <v>2276</v>
      </c>
      <c r="H2118" s="3" t="s">
        <v>523</v>
      </c>
      <c r="I2118" s="3"/>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3" t="s">
        <v>2276</v>
      </c>
      <c r="X2118" s="3"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3" t="s">
        <v>2276</v>
      </c>
      <c r="H2119" s="3" t="s">
        <v>523</v>
      </c>
      <c r="I2119" s="3">
        <v>1995</v>
      </c>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3" t="s">
        <v>2276</v>
      </c>
      <c r="H2120" s="3" t="s">
        <v>523</v>
      </c>
      <c r="I2120" s="3">
        <v>1995</v>
      </c>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3" t="s">
        <v>2276</v>
      </c>
      <c r="H2121" s="3" t="s">
        <v>523</v>
      </c>
      <c r="I2121" s="3">
        <v>1995</v>
      </c>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3" t="s">
        <v>2276</v>
      </c>
      <c r="H2122" s="3" t="s">
        <v>523</v>
      </c>
      <c r="I2122" s="3">
        <v>1995</v>
      </c>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3" t="s">
        <v>2276</v>
      </c>
      <c r="AB2122" s="3" t="s">
        <v>2276</v>
      </c>
      <c r="AC2122" s="4" t="s">
        <v>6029</v>
      </c>
      <c r="AD2122" s="3"/>
    </row>
    <row r="2123" spans="1:30" ht="41.5" customHeight="1">
      <c r="A2123" s="11" t="s">
        <v>6018</v>
      </c>
      <c r="B2123" s="11" t="s">
        <v>6025</v>
      </c>
      <c r="C2123" s="3" t="s">
        <v>24</v>
      </c>
      <c r="D2123" s="3" t="s">
        <v>3480</v>
      </c>
      <c r="E2123" s="3" t="s">
        <v>116</v>
      </c>
      <c r="F2123" s="4" t="s">
        <v>74</v>
      </c>
      <c r="G2123" s="3" t="s">
        <v>2276</v>
      </c>
      <c r="H2123" s="3" t="s">
        <v>524</v>
      </c>
      <c r="I2123" s="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3" t="s">
        <v>2276</v>
      </c>
      <c r="Z2123" s="3" t="s">
        <v>2276</v>
      </c>
      <c r="AA2123" s="3" t="s">
        <v>2276</v>
      </c>
      <c r="AB2123" s="3" t="s">
        <v>2276</v>
      </c>
      <c r="AC2123" s="4" t="s">
        <v>6030</v>
      </c>
      <c r="AD2123" s="3"/>
    </row>
    <row r="2124" spans="1:30" ht="41.5" customHeight="1">
      <c r="A2124" s="11" t="s">
        <v>6018</v>
      </c>
      <c r="B2124" s="11" t="s">
        <v>6026</v>
      </c>
      <c r="C2124" s="3" t="s">
        <v>24</v>
      </c>
      <c r="D2124" s="3" t="s">
        <v>144</v>
      </c>
      <c r="E2124" s="3" t="s">
        <v>116</v>
      </c>
      <c r="F2124" s="4" t="s">
        <v>74</v>
      </c>
      <c r="G2124" s="3" t="s">
        <v>2276</v>
      </c>
      <c r="H2124" s="3" t="s">
        <v>524</v>
      </c>
      <c r="I2124" s="3">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3" t="s">
        <v>24</v>
      </c>
      <c r="D2125" s="3" t="s">
        <v>406</v>
      </c>
      <c r="E2125" s="3" t="s">
        <v>116</v>
      </c>
      <c r="F2125" s="4" t="s">
        <v>74</v>
      </c>
      <c r="G2125" s="3" t="s">
        <v>2276</v>
      </c>
      <c r="H2125" s="3" t="s">
        <v>524</v>
      </c>
      <c r="I2125" s="3">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3" t="s">
        <v>2276</v>
      </c>
      <c r="Z2125" s="3" t="s">
        <v>2276</v>
      </c>
      <c r="AA2125" s="3" t="s">
        <v>2276</v>
      </c>
      <c r="AB2125" s="3" t="s">
        <v>2276</v>
      </c>
      <c r="AC2125" s="4" t="s">
        <v>6030</v>
      </c>
      <c r="AD2125" s="3"/>
    </row>
    <row r="2126" spans="1:30" ht="41.5" customHeight="1">
      <c r="A2126" s="11" t="s">
        <v>6018</v>
      </c>
      <c r="B2126" s="11" t="s">
        <v>6028</v>
      </c>
      <c r="C2126" s="3" t="s">
        <v>24</v>
      </c>
      <c r="D2126" s="3" t="s">
        <v>144</v>
      </c>
      <c r="E2126" s="3" t="s">
        <v>137</v>
      </c>
      <c r="F2126" s="4" t="s">
        <v>74</v>
      </c>
      <c r="G2126" s="3" t="s">
        <v>2276</v>
      </c>
      <c r="H2126" s="3" t="s">
        <v>524</v>
      </c>
      <c r="I2126" s="3">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3" t="s">
        <v>2276</v>
      </c>
      <c r="H2127" s="3" t="s">
        <v>523</v>
      </c>
      <c r="I2127" s="3"/>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3" t="s">
        <v>2276</v>
      </c>
      <c r="H2128" s="3" t="s">
        <v>523</v>
      </c>
      <c r="I2128" s="3"/>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3" t="s">
        <v>2276</v>
      </c>
      <c r="H2129" s="3" t="s">
        <v>524</v>
      </c>
      <c r="I2129" s="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3" t="s">
        <v>2276</v>
      </c>
      <c r="H2130" s="3" t="s">
        <v>523</v>
      </c>
      <c r="I2130" s="3"/>
      <c r="J2130" s="3" t="s">
        <v>2276</v>
      </c>
      <c r="K2130" s="3" t="s">
        <v>2276</v>
      </c>
      <c r="L2130" s="3" t="s">
        <v>2276</v>
      </c>
      <c r="M2130" s="3" t="s">
        <v>2276</v>
      </c>
      <c r="N2130" s="3" t="s">
        <v>2276</v>
      </c>
      <c r="O2130" s="21">
        <v>4.4999999999999998E-2</v>
      </c>
      <c r="P2130" s="3" t="s">
        <v>2276</v>
      </c>
      <c r="Q2130" s="3" t="s">
        <v>2276</v>
      </c>
      <c r="R2130" s="3" t="s">
        <v>2276</v>
      </c>
      <c r="S2130" s="3" t="s">
        <v>2276</v>
      </c>
      <c r="T2130" s="3" t="s">
        <v>2276</v>
      </c>
      <c r="U2130" s="3" t="s">
        <v>2276</v>
      </c>
      <c r="V2130" s="21">
        <v>50</v>
      </c>
      <c r="W2130" s="3" t="s">
        <v>2276</v>
      </c>
      <c r="X2130" s="3"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3" t="s">
        <v>2276</v>
      </c>
      <c r="H2131" s="3" t="s">
        <v>523</v>
      </c>
      <c r="I2131" s="3"/>
      <c r="J2131" s="3" t="s">
        <v>2276</v>
      </c>
      <c r="K2131" s="3" t="s">
        <v>2276</v>
      </c>
      <c r="L2131" s="3" t="s">
        <v>2276</v>
      </c>
      <c r="M2131" s="3" t="s">
        <v>2276</v>
      </c>
      <c r="N2131" s="3" t="s">
        <v>2276</v>
      </c>
      <c r="O2131" s="21">
        <v>0.152</v>
      </c>
      <c r="P2131" s="3" t="s">
        <v>2276</v>
      </c>
      <c r="Q2131" s="3" t="s">
        <v>2276</v>
      </c>
      <c r="R2131" s="3" t="s">
        <v>2276</v>
      </c>
      <c r="S2131" s="3" t="s">
        <v>2276</v>
      </c>
      <c r="T2131" s="3" t="s">
        <v>2276</v>
      </c>
      <c r="U2131" s="3" t="s">
        <v>2276</v>
      </c>
      <c r="V2131" s="21">
        <v>50</v>
      </c>
      <c r="W2131" s="3" t="s">
        <v>2276</v>
      </c>
      <c r="X2131" s="3"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3" t="s">
        <v>2276</v>
      </c>
      <c r="H2132" s="3" t="s">
        <v>524</v>
      </c>
      <c r="I2132" s="3"/>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3"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3" t="s">
        <v>2276</v>
      </c>
      <c r="H2134" s="3" t="s">
        <v>523</v>
      </c>
      <c r="I2134" s="3"/>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3"/>
      <c r="AD2134" s="3"/>
    </row>
    <row r="2135" spans="1:30" ht="57" customHeight="1">
      <c r="A2135" s="11" t="s">
        <v>6048</v>
      </c>
      <c r="B2135" s="11" t="s">
        <v>6056</v>
      </c>
      <c r="C2135" s="3" t="s">
        <v>2458</v>
      </c>
      <c r="D2135" s="3" t="s">
        <v>27</v>
      </c>
      <c r="E2135" s="3" t="s">
        <v>130</v>
      </c>
      <c r="F2135" s="4" t="s">
        <v>160</v>
      </c>
      <c r="G2135" s="3" t="s">
        <v>2276</v>
      </c>
      <c r="H2135" s="3" t="s">
        <v>523</v>
      </c>
      <c r="I2135" s="3"/>
      <c r="J2135" s="3" t="s">
        <v>2276</v>
      </c>
      <c r="K2135" s="3" t="s">
        <v>2276</v>
      </c>
      <c r="L2135" s="3" t="s">
        <v>2276</v>
      </c>
      <c r="M2135" s="3" t="s">
        <v>2276</v>
      </c>
      <c r="N2135" s="3" t="s">
        <v>2276</v>
      </c>
      <c r="O2135" s="3" t="s">
        <v>2276</v>
      </c>
      <c r="P2135" s="3"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3" t="s">
        <v>2276</v>
      </c>
      <c r="H2136" s="3" t="s">
        <v>523</v>
      </c>
      <c r="I2136" s="3"/>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3" t="s">
        <v>2276</v>
      </c>
      <c r="H2137" s="3" t="s">
        <v>523</v>
      </c>
      <c r="I2137" s="3"/>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3" t="s">
        <v>2276</v>
      </c>
      <c r="H2138" s="3" t="s">
        <v>523</v>
      </c>
      <c r="I2138" s="3"/>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3" t="s">
        <v>2276</v>
      </c>
      <c r="H2139" s="3" t="s">
        <v>523</v>
      </c>
      <c r="I2139" s="3"/>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3" t="s">
        <v>2276</v>
      </c>
      <c r="H2140" s="3" t="s">
        <v>523</v>
      </c>
      <c r="I2140" s="3"/>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3" t="s">
        <v>2276</v>
      </c>
      <c r="H2141" s="3" t="s">
        <v>524</v>
      </c>
      <c r="I2141" s="3"/>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t="s">
        <v>2276</v>
      </c>
      <c r="Z2141" s="3" t="s">
        <v>2276</v>
      </c>
      <c r="AA2141" s="3" t="s">
        <v>2276</v>
      </c>
      <c r="AB2141" s="3" t="s">
        <v>2276</v>
      </c>
      <c r="AC2141" s="4" t="s">
        <v>6072</v>
      </c>
      <c r="AD2141" s="3"/>
    </row>
    <row r="2142" spans="1:30" ht="30" customHeight="1">
      <c r="A2142" s="3" t="s">
        <v>6075</v>
      </c>
      <c r="B2142" s="11" t="s">
        <v>6078</v>
      </c>
      <c r="C2142" s="3" t="s">
        <v>24</v>
      </c>
      <c r="D2142" s="3" t="s">
        <v>2804</v>
      </c>
      <c r="E2142" s="3" t="s">
        <v>45</v>
      </c>
      <c r="F2142" s="4" t="s">
        <v>2662</v>
      </c>
      <c r="G2142" s="3" t="s">
        <v>2276</v>
      </c>
      <c r="H2142" s="3" t="s">
        <v>523</v>
      </c>
      <c r="I2142" s="3"/>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t="s">
        <v>2276</v>
      </c>
      <c r="AB2142" s="3" t="s">
        <v>2276</v>
      </c>
      <c r="AC2142" s="3"/>
      <c r="AD2142" s="3"/>
    </row>
    <row r="2143" spans="1:30" ht="29" customHeight="1">
      <c r="A2143" s="3" t="s">
        <v>6075</v>
      </c>
      <c r="B2143" s="11" t="s">
        <v>6079</v>
      </c>
      <c r="C2143" s="3" t="s">
        <v>24</v>
      </c>
      <c r="D2143" s="3" t="s">
        <v>2804</v>
      </c>
      <c r="E2143" s="3" t="s">
        <v>5005</v>
      </c>
      <c r="F2143" s="4" t="s">
        <v>2662</v>
      </c>
      <c r="G2143" s="3" t="s">
        <v>2276</v>
      </c>
      <c r="H2143" s="3" t="s">
        <v>523</v>
      </c>
      <c r="I2143" s="3"/>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t="s">
        <v>2276</v>
      </c>
      <c r="AB2143" s="3" t="s">
        <v>2276</v>
      </c>
      <c r="AC2143" s="3"/>
      <c r="AD2143" s="3"/>
    </row>
    <row r="2144" spans="1:30" ht="33" customHeight="1">
      <c r="A2144" s="3" t="s">
        <v>6075</v>
      </c>
      <c r="B2144" s="11" t="s">
        <v>6080</v>
      </c>
      <c r="C2144" s="3" t="s">
        <v>24</v>
      </c>
      <c r="D2144" s="3" t="s">
        <v>2804</v>
      </c>
      <c r="E2144" s="3" t="s">
        <v>130</v>
      </c>
      <c r="F2144" s="4" t="s">
        <v>2662</v>
      </c>
      <c r="G2144" s="3" t="s">
        <v>2276</v>
      </c>
      <c r="H2144" s="3" t="s">
        <v>523</v>
      </c>
      <c r="I2144" s="3"/>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t="s">
        <v>2276</v>
      </c>
      <c r="AB2144" s="3" t="s">
        <v>2276</v>
      </c>
      <c r="AC2144" s="3"/>
      <c r="AD2144" s="3"/>
    </row>
    <row r="2145" spans="1:30" s="203" customFormat="1" ht="52.5" customHeight="1">
      <c r="A2145" s="204" t="s">
        <v>6083</v>
      </c>
      <c r="B2145" s="204" t="s">
        <v>6979</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6983</v>
      </c>
      <c r="AD2145" s="4" t="s">
        <v>6986</v>
      </c>
    </row>
    <row r="2146" spans="1:30" s="203" customFormat="1" ht="52" customHeight="1">
      <c r="A2146" s="204" t="s">
        <v>6083</v>
      </c>
      <c r="B2146" s="204" t="s">
        <v>6980</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6987</v>
      </c>
    </row>
    <row r="2147" spans="1:30" s="203" customFormat="1" ht="56.5" customHeight="1">
      <c r="A2147" s="204" t="s">
        <v>6084</v>
      </c>
      <c r="B2147" s="204" t="s">
        <v>6981</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6983</v>
      </c>
      <c r="AD2147" s="4" t="s">
        <v>6986</v>
      </c>
    </row>
    <row r="2148" spans="1:30" s="203" customFormat="1" ht="54.5" customHeight="1">
      <c r="A2148" s="204" t="s">
        <v>6084</v>
      </c>
      <c r="B2148" s="204" t="s">
        <v>6982</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6148</v>
      </c>
      <c r="B2149" s="4" t="s">
        <v>6190</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6148</v>
      </c>
      <c r="B2151" s="4" t="s">
        <v>6192</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6149</v>
      </c>
      <c r="B2153" s="4" t="s">
        <v>6194</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6189</v>
      </c>
      <c r="AD2153" s="4"/>
    </row>
    <row r="2154" spans="1:30" s="60" customFormat="1" ht="36.5" customHeight="1">
      <c r="A2154" s="4" t="s">
        <v>6149</v>
      </c>
      <c r="B2154" s="4" t="s">
        <v>6195</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6639</v>
      </c>
      <c r="B2157" s="4" t="s">
        <v>6646</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6639</v>
      </c>
      <c r="B2158" s="4" t="s">
        <v>6647</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6640</v>
      </c>
      <c r="B2159" s="4" t="s">
        <v>6648</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6640</v>
      </c>
      <c r="B2160" s="4" t="s">
        <v>6649</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6641</v>
      </c>
      <c r="B2161" s="4" t="s">
        <v>6650</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6641</v>
      </c>
      <c r="B2162" s="4" t="s">
        <v>6651</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6150</v>
      </c>
      <c r="B2163" s="4" t="s">
        <v>6198</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6664</v>
      </c>
    </row>
    <row r="2164" spans="1:30" s="60" customFormat="1" ht="36.5" customHeight="1">
      <c r="A2164" s="4" t="s">
        <v>6150</v>
      </c>
      <c r="B2164" s="4" t="s">
        <v>6657</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6664</v>
      </c>
    </row>
    <row r="2165" spans="1:30" s="205" customFormat="1" ht="36.5" customHeight="1">
      <c r="A2165" s="4" t="s">
        <v>6150</v>
      </c>
      <c r="B2165" s="4" t="s">
        <v>6658</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ref="P2165:P2170" si="0">T2165/(15151/7)</f>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6664</v>
      </c>
    </row>
    <row r="2166" spans="1:30" s="205" customFormat="1" ht="36.5" customHeight="1">
      <c r="A2166" s="4" t="s">
        <v>6150</v>
      </c>
      <c r="B2166" s="4" t="s">
        <v>6659</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6664</v>
      </c>
    </row>
    <row r="2167" spans="1:30" s="205" customFormat="1" ht="36.5" customHeight="1">
      <c r="A2167" s="4" t="s">
        <v>6150</v>
      </c>
      <c r="B2167" s="4" t="s">
        <v>6660</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6664</v>
      </c>
    </row>
    <row r="2168" spans="1:30" s="205" customFormat="1" ht="36.5" customHeight="1">
      <c r="A2168" s="4" t="s">
        <v>6150</v>
      </c>
      <c r="B2168" s="4" t="s">
        <v>6661</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6664</v>
      </c>
    </row>
    <row r="2169" spans="1:30" s="205" customFormat="1" ht="36.5" customHeight="1">
      <c r="A2169" s="4" t="s">
        <v>6150</v>
      </c>
      <c r="B2169" s="4" t="s">
        <v>6662</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6664</v>
      </c>
    </row>
    <row r="2170" spans="1:30" s="205" customFormat="1" ht="36.5" customHeight="1">
      <c r="A2170" s="4" t="s">
        <v>6150</v>
      </c>
      <c r="B2170" s="4" t="s">
        <v>6663</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6664</v>
      </c>
    </row>
    <row r="2171" spans="1:30" s="60" customFormat="1" ht="36.5" customHeight="1">
      <c r="A2171" s="4" t="s">
        <v>6151</v>
      </c>
      <c r="B2171" s="4" t="s">
        <v>6199</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6669</v>
      </c>
    </row>
    <row r="2172" spans="1:30" s="205" customFormat="1" ht="36.5" customHeight="1">
      <c r="A2172" s="4" t="s">
        <v>6151</v>
      </c>
      <c r="B2172" s="4" t="s">
        <v>6200</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6669</v>
      </c>
    </row>
    <row r="2173" spans="1:30" s="60" customFormat="1" ht="36.5" customHeight="1">
      <c r="A2173" s="4" t="s">
        <v>6151</v>
      </c>
      <c r="B2173" s="4" t="s">
        <v>6201</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6670</v>
      </c>
    </row>
    <row r="2174" spans="1:30" s="205" customFormat="1" ht="36.5" customHeight="1">
      <c r="A2174" s="4" t="s">
        <v>6151</v>
      </c>
      <c r="B2174" s="4" t="s">
        <v>6667</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6677</v>
      </c>
    </row>
    <row r="2175" spans="1:30" s="205" customFormat="1" ht="36.5" customHeight="1">
      <c r="A2175" s="4" t="s">
        <v>6151</v>
      </c>
      <c r="B2175" s="4" t="s">
        <v>6668</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6677</v>
      </c>
    </row>
    <row r="2176" spans="1:30" s="205" customFormat="1" ht="36.5" customHeight="1">
      <c r="A2176" s="4" t="s">
        <v>6151</v>
      </c>
      <c r="B2176" s="4" t="s">
        <v>6671</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6152</v>
      </c>
      <c r="B2178" s="4" t="s">
        <v>6259</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6153</v>
      </c>
      <c r="B2179" s="4" t="s">
        <v>6203</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6675</v>
      </c>
      <c r="B2180" s="4" t="s">
        <v>6676</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6160</v>
      </c>
      <c r="B2188" s="4" t="s">
        <v>6682</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6694</v>
      </c>
      <c r="AD2189" s="4"/>
    </row>
    <row r="2190" spans="1:30" s="205" customFormat="1" ht="36.5" customHeight="1">
      <c r="A2190" s="4" t="s">
        <v>6161</v>
      </c>
      <c r="B2190" s="4" t="s">
        <v>6212</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6161</v>
      </c>
      <c r="B2191" s="4" t="s">
        <v>6213</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6685</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6694</v>
      </c>
      <c r="AD2192" s="4"/>
    </row>
    <row r="2193" spans="1:30" s="205" customFormat="1" ht="36.5" customHeight="1">
      <c r="A2193" s="4" t="s">
        <v>6161</v>
      </c>
      <c r="B2193" s="4" t="s">
        <v>6686</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6161</v>
      </c>
      <c r="B2194" s="4" t="s">
        <v>6687</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6688</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6694</v>
      </c>
      <c r="AD2195" s="4"/>
    </row>
    <row r="2196" spans="1:30" s="205" customFormat="1" ht="36.5" customHeight="1">
      <c r="A2196" s="4" t="s">
        <v>6161</v>
      </c>
      <c r="B2196" s="4" t="s">
        <v>6689</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6161</v>
      </c>
      <c r="B2197" s="4" t="s">
        <v>6690</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6161</v>
      </c>
      <c r="B2198" s="4" t="s">
        <v>6691</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6694</v>
      </c>
      <c r="AD2198" s="4"/>
    </row>
    <row r="2199" spans="1:30" s="205" customFormat="1" ht="36.5" customHeight="1">
      <c r="A2199" s="4" t="s">
        <v>6161</v>
      </c>
      <c r="B2199" s="4" t="s">
        <v>6692</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 t="shared" ref="X2199:X2200" si="1">100*T2199/172737.51</f>
        <v>0.89990152341549901</v>
      </c>
      <c r="Y2199" s="4" t="s">
        <v>2276</v>
      </c>
      <c r="Z2199" s="4" t="s">
        <v>2276</v>
      </c>
      <c r="AA2199" s="4" t="s">
        <v>2276</v>
      </c>
      <c r="AB2199" s="4" t="s">
        <v>2276</v>
      </c>
      <c r="AC2199" s="4"/>
      <c r="AD2199" s="4"/>
    </row>
    <row r="2200" spans="1:30" s="205" customFormat="1" ht="36.5" customHeight="1">
      <c r="A2200" s="4" t="s">
        <v>6161</v>
      </c>
      <c r="B2200" s="4" t="s">
        <v>6693</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 t="shared" si="1"/>
        <v>0.4739939321806827</v>
      </c>
      <c r="Y2200" s="4" t="s">
        <v>2276</v>
      </c>
      <c r="Z2200" s="4" t="s">
        <v>2276</v>
      </c>
      <c r="AA2200" s="4" t="s">
        <v>2276</v>
      </c>
      <c r="AB2200" s="4" t="s">
        <v>2276</v>
      </c>
      <c r="AC2200" s="4"/>
      <c r="AD2200" s="4"/>
    </row>
    <row r="2201" spans="1:30" s="205" customFormat="1" ht="53.5" customHeight="1">
      <c r="A2201" s="4" t="s">
        <v>6162</v>
      </c>
      <c r="B2201" s="4" t="s">
        <v>6214</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6700</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6701</v>
      </c>
      <c r="AD2204" s="4"/>
    </row>
    <row r="2205" spans="1:30" s="205" customFormat="1" ht="57.5" customHeight="1">
      <c r="A2205" s="4" t="s">
        <v>6162</v>
      </c>
      <c r="B2205" s="4" t="s">
        <v>6261</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6700</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6702</v>
      </c>
      <c r="AD2206" s="4"/>
    </row>
    <row r="2207" spans="1:30" s="205" customFormat="1" ht="52" customHeight="1">
      <c r="A2207" s="4" t="s">
        <v>6162</v>
      </c>
      <c r="B2207" s="4" t="s">
        <v>6695</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6703</v>
      </c>
      <c r="AD2207" s="4"/>
    </row>
    <row r="2208" spans="1:30" s="205" customFormat="1" ht="55.5" customHeight="1">
      <c r="A2208" s="4" t="s">
        <v>6162</v>
      </c>
      <c r="B2208" s="4" t="s">
        <v>6697</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6703</v>
      </c>
      <c r="AD2208" s="4"/>
    </row>
    <row r="2209" spans="1:30" s="205" customFormat="1" ht="52" customHeight="1">
      <c r="A2209" s="4" t="s">
        <v>6162</v>
      </c>
      <c r="B2209" s="4" t="s">
        <v>6698</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6703</v>
      </c>
      <c r="AD2209" s="4"/>
    </row>
    <row r="2210" spans="1:30" s="205" customFormat="1" ht="52" customHeight="1">
      <c r="A2210" s="4" t="s">
        <v>6162</v>
      </c>
      <c r="B2210" s="4" t="s">
        <v>6699</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6711</v>
      </c>
    </row>
    <row r="2212" spans="1:30" s="60" customFormat="1" ht="36.5" customHeight="1">
      <c r="A2212" s="4" t="s">
        <v>6164</v>
      </c>
      <c r="B2212" s="4" t="s">
        <v>6219</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6711</v>
      </c>
    </row>
    <row r="2213" spans="1:30" s="60" customFormat="1" ht="36.5" customHeight="1">
      <c r="A2213" s="4" t="s">
        <v>6165</v>
      </c>
      <c r="B2213" s="4" t="s">
        <v>6220</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6711</v>
      </c>
    </row>
    <row r="2214" spans="1:30" s="205" customFormat="1" ht="36.5" customHeight="1">
      <c r="A2214" s="4" t="s">
        <v>6163</v>
      </c>
      <c r="B2214" s="4" t="s">
        <v>6704</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6707</v>
      </c>
    </row>
    <row r="2215" spans="1:30" s="205" customFormat="1" ht="36.5" customHeight="1">
      <c r="A2215" s="4" t="s">
        <v>6164</v>
      </c>
      <c r="B2215" s="4" t="s">
        <v>6705</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6707</v>
      </c>
    </row>
    <row r="2216" spans="1:30" s="205" customFormat="1" ht="36.5" customHeight="1">
      <c r="A2216" s="4" t="s">
        <v>6165</v>
      </c>
      <c r="B2216" s="4" t="s">
        <v>6706</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6707</v>
      </c>
    </row>
    <row r="2217" spans="1:30" s="205" customFormat="1" ht="36.5" customHeight="1">
      <c r="A2217" s="4" t="s">
        <v>6163</v>
      </c>
      <c r="B2217" s="4" t="s">
        <v>6708</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6711</v>
      </c>
    </row>
    <row r="2218" spans="1:30" s="205" customFormat="1" ht="36.5" customHeight="1">
      <c r="A2218" s="4" t="s">
        <v>6164</v>
      </c>
      <c r="B2218" s="4" t="s">
        <v>6709</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6711</v>
      </c>
    </row>
    <row r="2219" spans="1:30" s="205" customFormat="1" ht="36.5" customHeight="1">
      <c r="A2219" s="4" t="s">
        <v>6165</v>
      </c>
      <c r="B2219" s="4" t="s">
        <v>6710</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6166</v>
      </c>
      <c r="B2220" s="19" t="s">
        <v>6221</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6167</v>
      </c>
      <c r="B2221" s="19" t="s">
        <v>6222</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6168</v>
      </c>
      <c r="B2226" s="4" t="s">
        <v>6227</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6168</v>
      </c>
      <c r="B2227" s="4" t="s">
        <v>6228</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6714</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6169</v>
      </c>
      <c r="B2229" s="4" t="s">
        <v>6229</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6169</v>
      </c>
      <c r="B2230" s="4" t="s">
        <v>6715</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6169</v>
      </c>
      <c r="B2231" s="4" t="s">
        <v>6716</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6169</v>
      </c>
      <c r="B2232" s="4" t="s">
        <v>6717</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6169</v>
      </c>
      <c r="B2233" s="4" t="s">
        <v>6718</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6169</v>
      </c>
      <c r="B2234" s="4" t="s">
        <v>6719</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6169</v>
      </c>
      <c r="B2235" s="4" t="s">
        <v>6720</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6721</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6722</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6723</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6724</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6725</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6726</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6171</v>
      </c>
      <c r="B2243" s="4" t="s">
        <v>6231</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6171</v>
      </c>
      <c r="B2244" s="4" t="s">
        <v>6727</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6171</v>
      </c>
      <c r="B2245" s="4" t="s">
        <v>6728</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6171</v>
      </c>
      <c r="B2246" s="4" t="s">
        <v>6729</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6171</v>
      </c>
      <c r="B2247" s="4" t="s">
        <v>6730</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6171</v>
      </c>
      <c r="B2248" s="4" t="s">
        <v>6731</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6171</v>
      </c>
      <c r="B2249" s="4" t="s">
        <v>6732</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6172</v>
      </c>
      <c r="B2250" s="4" t="s">
        <v>6232</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6172</v>
      </c>
      <c r="B2251" s="4" t="s">
        <v>6733</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6172</v>
      </c>
      <c r="B2252" s="4" t="s">
        <v>6734</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6172</v>
      </c>
      <c r="B2253" s="4" t="s">
        <v>6735</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6172</v>
      </c>
      <c r="B2254" s="4" t="s">
        <v>6736</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6172</v>
      </c>
      <c r="B2255" s="4" t="s">
        <v>6737</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6172</v>
      </c>
      <c r="B2256" s="4" t="s">
        <v>6738</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6739</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6740</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6741</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6742</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6173</v>
      </c>
      <c r="B2262" s="4" t="s">
        <v>6743</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6744</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6174</v>
      </c>
      <c r="B2264" s="4" t="s">
        <v>6234</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6174</v>
      </c>
      <c r="B2265" s="4" t="s">
        <v>6745</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6174</v>
      </c>
      <c r="B2266" s="4" t="s">
        <v>6746</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6174</v>
      </c>
      <c r="B2267" s="4" t="s">
        <v>6747</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6174</v>
      </c>
      <c r="B2268" s="4" t="s">
        <v>6748</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6174</v>
      </c>
      <c r="B2269" s="4" t="s">
        <v>6749</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6174</v>
      </c>
      <c r="B2270" s="4" t="s">
        <v>6750</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6175</v>
      </c>
      <c r="B2271" s="4" t="s">
        <v>6235</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6175</v>
      </c>
      <c r="B2272" s="4" t="s">
        <v>6751</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6175</v>
      </c>
      <c r="B2273" s="4" t="s">
        <v>6752</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6175</v>
      </c>
      <c r="B2274" s="4" t="s">
        <v>6753</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6175</v>
      </c>
      <c r="B2275" s="4" t="s">
        <v>6754</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6175</v>
      </c>
      <c r="B2276" s="4" t="s">
        <v>6755</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6175</v>
      </c>
      <c r="B2277" s="4" t="s">
        <v>6756</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6176</v>
      </c>
      <c r="B2278" s="4" t="s">
        <v>6236</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6176</v>
      </c>
      <c r="B2279" s="4" t="s">
        <v>6757</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6176</v>
      </c>
      <c r="B2280" s="4" t="s">
        <v>6758</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6176</v>
      </c>
      <c r="B2281" s="4" t="s">
        <v>6759</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6176</v>
      </c>
      <c r="B2282" s="4" t="s">
        <v>6760</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6176</v>
      </c>
      <c r="B2283" s="4" t="s">
        <v>6761</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6176</v>
      </c>
      <c r="B2284" s="4" t="s">
        <v>6762</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6177</v>
      </c>
      <c r="B2285" s="4" t="s">
        <v>6237</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6177</v>
      </c>
      <c r="B2286" s="4" t="s">
        <v>6763</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6177</v>
      </c>
      <c r="B2287" s="4" t="s">
        <v>6764</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6177</v>
      </c>
      <c r="B2288" s="4" t="s">
        <v>6765</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6177</v>
      </c>
      <c r="B2289" s="4" t="s">
        <v>6766</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6177</v>
      </c>
      <c r="B2290" s="4" t="s">
        <v>6767</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6177</v>
      </c>
      <c r="B2291" s="4" t="s">
        <v>6768</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6178</v>
      </c>
      <c r="B2292" s="4" t="s">
        <v>6238</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6178</v>
      </c>
      <c r="B2293" s="4" t="s">
        <v>6769</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6178</v>
      </c>
      <c r="B2294" s="4" t="s">
        <v>6770</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6178</v>
      </c>
      <c r="B2295" s="4" t="s">
        <v>6771</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6178</v>
      </c>
      <c r="B2296" s="4" t="s">
        <v>6772</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6178</v>
      </c>
      <c r="B2297" s="4" t="s">
        <v>6773</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6178</v>
      </c>
      <c r="B2298" s="4" t="s">
        <v>6774</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6179</v>
      </c>
      <c r="B2299" s="4" t="s">
        <v>6239</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6179</v>
      </c>
      <c r="B2300" s="4" t="s">
        <v>6775</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6179</v>
      </c>
      <c r="B2301" s="4" t="s">
        <v>6776</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6179</v>
      </c>
      <c r="B2302" s="4" t="s">
        <v>6777</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6179</v>
      </c>
      <c r="B2303" s="4" t="s">
        <v>6778</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6179</v>
      </c>
      <c r="B2304" s="4" t="s">
        <v>6779</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6179</v>
      </c>
      <c r="B2305" s="4" t="s">
        <v>6780</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6180</v>
      </c>
      <c r="B2306" s="4" t="s">
        <v>6240</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6180</v>
      </c>
      <c r="B2307" s="4" t="s">
        <v>6263</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6180</v>
      </c>
      <c r="B2308" s="4" t="s">
        <v>6264</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6789</v>
      </c>
      <c r="AD2310" s="4"/>
    </row>
    <row r="2311" spans="1:30" s="205" customFormat="1" ht="48" customHeight="1">
      <c r="A2311" s="4" t="s">
        <v>6182</v>
      </c>
      <c r="B2311" s="4" t="s">
        <v>6790</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6792</v>
      </c>
      <c r="AD2311" s="4"/>
    </row>
    <row r="2312" spans="1:30" s="205" customFormat="1" ht="48" customHeight="1">
      <c r="A2312" s="4" t="s">
        <v>6182</v>
      </c>
      <c r="B2312" s="4" t="s">
        <v>6791</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6792</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6183</v>
      </c>
      <c r="B2314" s="4" t="s">
        <v>6793</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6795</v>
      </c>
    </row>
    <row r="2315" spans="1:30" s="205" customFormat="1" ht="65.5" customHeight="1">
      <c r="A2315" s="4" t="s">
        <v>6183</v>
      </c>
      <c r="B2315" s="4" t="s">
        <v>6794</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6184</v>
      </c>
      <c r="B2316" s="4" t="s">
        <v>6246</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6184</v>
      </c>
      <c r="B2317" s="4" t="s">
        <v>6904</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6184</v>
      </c>
      <c r="B2318" s="4" t="s">
        <v>6905</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6184</v>
      </c>
      <c r="B2319" s="4" t="s">
        <v>6906</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6184</v>
      </c>
      <c r="B2320" s="4" t="s">
        <v>6907</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6184</v>
      </c>
      <c r="B2321" s="4" t="s">
        <v>6908</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6184</v>
      </c>
      <c r="B2322" s="4" t="s">
        <v>6909</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6184</v>
      </c>
      <c r="B2323" s="4" t="s">
        <v>6910</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6915</v>
      </c>
      <c r="AD2323" s="4"/>
    </row>
    <row r="2324" spans="1:30" s="205" customFormat="1" ht="65.5" customHeight="1">
      <c r="A2324" s="4" t="s">
        <v>6184</v>
      </c>
      <c r="B2324" s="4" t="s">
        <v>6911</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6915</v>
      </c>
      <c r="AD2324" s="4"/>
    </row>
    <row r="2325" spans="1:30" s="205" customFormat="1" ht="65.5" customHeight="1">
      <c r="A2325" s="4" t="s">
        <v>6184</v>
      </c>
      <c r="B2325" s="4" t="s">
        <v>6912</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D2325" s="4"/>
    </row>
    <row r="2326" spans="1:30" s="205" customFormat="1" ht="65.5" customHeight="1">
      <c r="A2326" s="4" t="s">
        <v>6184</v>
      </c>
      <c r="B2326" s="4" t="s">
        <v>6913</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6184</v>
      </c>
      <c r="B2327" s="4" t="s">
        <v>6926</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6914</v>
      </c>
      <c r="AD2327" s="4"/>
    </row>
    <row r="2328" spans="1:30" s="205" customFormat="1" ht="65.5" customHeight="1">
      <c r="A2328" s="4" t="s">
        <v>6184</v>
      </c>
      <c r="B2328" s="4" t="s">
        <v>6927</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6917</v>
      </c>
      <c r="AD2329" s="4"/>
    </row>
    <row r="2330" spans="1:30" s="205" customFormat="1" ht="53" customHeight="1">
      <c r="A2330" s="4" t="s">
        <v>6185</v>
      </c>
      <c r="B2330" s="4" t="s">
        <v>6918</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6185</v>
      </c>
      <c r="B2331" s="4" t="s">
        <v>6919</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6185</v>
      </c>
      <c r="B2332" s="4" t="s">
        <v>6920</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6185</v>
      </c>
      <c r="B2333" s="4" t="s">
        <v>6921</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6185</v>
      </c>
      <c r="B2334" s="4" t="s">
        <v>6922</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6185</v>
      </c>
      <c r="B2335" s="4" t="s">
        <v>6923</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6185</v>
      </c>
      <c r="B2336" s="4" t="s">
        <v>6924</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D2336" s="4"/>
    </row>
    <row r="2337" spans="1:30" s="205" customFormat="1" ht="49" customHeight="1">
      <c r="A2337" s="4" t="s">
        <v>6185</v>
      </c>
      <c r="B2337" s="4" t="s">
        <v>6925</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6186</v>
      </c>
      <c r="B2338" s="4" t="s">
        <v>6248</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6186</v>
      </c>
      <c r="B2339" s="4" t="s">
        <v>6929</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6186</v>
      </c>
      <c r="B2340" s="4" t="s">
        <v>6930</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6186</v>
      </c>
      <c r="B2341" s="4" t="s">
        <v>6931</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6186</v>
      </c>
      <c r="B2342" s="4" t="s">
        <v>6932</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6186</v>
      </c>
      <c r="B2343" s="4" t="s">
        <v>6933</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6186</v>
      </c>
      <c r="B2344" s="4" t="s">
        <v>6934</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6186</v>
      </c>
      <c r="B2345" s="4" t="s">
        <v>6935</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6186</v>
      </c>
      <c r="B2346" s="4" t="s">
        <v>6936</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6901</v>
      </c>
      <c r="B2347" s="4" t="s">
        <v>6937</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6901</v>
      </c>
      <c r="B2348" s="4" t="s">
        <v>6938</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6901</v>
      </c>
      <c r="B2349" s="4" t="s">
        <v>6939</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6901</v>
      </c>
      <c r="B2350" s="4" t="s">
        <v>6940</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6901</v>
      </c>
      <c r="B2351" s="4" t="s">
        <v>6941</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6901</v>
      </c>
      <c r="B2352" s="4" t="s">
        <v>6942</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6901</v>
      </c>
      <c r="B2353" s="4" t="s">
        <v>6943</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6901</v>
      </c>
      <c r="B2354" s="4" t="s">
        <v>6944</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6901</v>
      </c>
      <c r="B2355" s="4" t="s">
        <v>6945</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6902</v>
      </c>
      <c r="B2356" s="4" t="s">
        <v>6946</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6902</v>
      </c>
      <c r="B2357" s="4" t="s">
        <v>6947</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6902</v>
      </c>
      <c r="B2358" s="4" t="s">
        <v>6948</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6902</v>
      </c>
      <c r="B2359" s="4" t="s">
        <v>6949</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6902</v>
      </c>
      <c r="B2360" s="4" t="s">
        <v>6950</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6902</v>
      </c>
      <c r="B2361" s="4" t="s">
        <v>6951</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6902</v>
      </c>
      <c r="B2362" s="4" t="s">
        <v>6952</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6902</v>
      </c>
      <c r="B2363" s="4" t="s">
        <v>6953</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6902</v>
      </c>
      <c r="B2364" s="4" t="s">
        <v>6954</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6903</v>
      </c>
      <c r="B2365" s="4" t="s">
        <v>6955</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6903</v>
      </c>
      <c r="B2366" s="4" t="s">
        <v>6956</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6903</v>
      </c>
      <c r="B2367" s="4" t="s">
        <v>6957</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6903</v>
      </c>
      <c r="B2368" s="4" t="s">
        <v>6958</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6903</v>
      </c>
      <c r="B2369" s="4" t="s">
        <v>6959</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6903</v>
      </c>
      <c r="B2370" s="4" t="s">
        <v>6960</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6903</v>
      </c>
      <c r="B2371" s="4" t="s">
        <v>6961</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6903</v>
      </c>
      <c r="B2372" s="4" t="s">
        <v>6962</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6903</v>
      </c>
      <c r="B2373" s="4" t="s">
        <v>6963</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6928</v>
      </c>
      <c r="B2374" s="4" t="s">
        <v>6964</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6928</v>
      </c>
      <c r="B2375" s="4" t="s">
        <v>6965</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6928</v>
      </c>
      <c r="B2376" s="4" t="s">
        <v>6966</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6928</v>
      </c>
      <c r="B2377" s="4" t="s">
        <v>6967</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6928</v>
      </c>
      <c r="B2378" s="4" t="s">
        <v>6968</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6928</v>
      </c>
      <c r="B2379" s="4" t="s">
        <v>6969</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6928</v>
      </c>
      <c r="B2380" s="4" t="s">
        <v>6970</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6928</v>
      </c>
      <c r="B2381" s="4" t="s">
        <v>6971</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6928</v>
      </c>
      <c r="B2382" s="4" t="s">
        <v>6972</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6364</v>
      </c>
      <c r="B2383" s="4" t="s">
        <v>6459</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6435</v>
      </c>
      <c r="AD2383" s="4" t="s">
        <v>6436</v>
      </c>
    </row>
    <row r="2384" spans="1:30" ht="29">
      <c r="A2384" s="4" t="s">
        <v>6364</v>
      </c>
      <c r="B2384" s="4" t="s">
        <v>6460</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6435</v>
      </c>
      <c r="AD2384" s="4" t="s">
        <v>6436</v>
      </c>
    </row>
    <row r="2385" spans="1:30" ht="29">
      <c r="A2385" s="4" t="s">
        <v>6365</v>
      </c>
      <c r="B2385" s="4" t="s">
        <v>6461</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 t="shared" ref="U2385" si="2">100*2/177*((177)/(177+869+94))</f>
        <v>0.17543859649122809</v>
      </c>
      <c r="V2385" s="4" t="s">
        <v>2276</v>
      </c>
      <c r="W2385" s="4" t="s">
        <v>2276</v>
      </c>
      <c r="X2385" s="4" t="s">
        <v>2276</v>
      </c>
      <c r="Y2385" s="4" t="s">
        <v>2276</v>
      </c>
      <c r="Z2385" s="4" t="s">
        <v>399</v>
      </c>
      <c r="AA2385" s="4" t="s">
        <v>38</v>
      </c>
      <c r="AB2385" s="4" t="s">
        <v>64</v>
      </c>
      <c r="AC2385" s="4" t="s">
        <v>6435</v>
      </c>
      <c r="AD2385" s="4" t="s">
        <v>6436</v>
      </c>
    </row>
    <row r="2386" spans="1:30" ht="29">
      <c r="A2386" s="4" t="s">
        <v>6365</v>
      </c>
      <c r="B2386" s="4" t="s">
        <v>6462</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 t="shared" ref="U2386" si="3">100*(53+657+141*1/9+15*1/9)/(869+94)*((869+94)/(177+869+94))</f>
        <v>63.801169590643269</v>
      </c>
      <c r="V2386" s="4" t="s">
        <v>2276</v>
      </c>
      <c r="W2386" s="4" t="s">
        <v>2276</v>
      </c>
      <c r="X2386" s="4" t="s">
        <v>2276</v>
      </c>
      <c r="Y2386" s="4" t="s">
        <v>2276</v>
      </c>
      <c r="Z2386" s="4" t="s">
        <v>399</v>
      </c>
      <c r="AA2386" s="4" t="s">
        <v>38</v>
      </c>
      <c r="AB2386" s="4" t="s">
        <v>64</v>
      </c>
      <c r="AC2386" s="4" t="s">
        <v>6435</v>
      </c>
      <c r="AD2386" s="4" t="s">
        <v>6436</v>
      </c>
    </row>
    <row r="2387" spans="1:30" ht="29">
      <c r="A2387" s="4" t="s">
        <v>6366</v>
      </c>
      <c r="B2387" s="4" t="s">
        <v>6463</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 t="shared" ref="U2387" si="4">100*2/177*((177)/(177+869+94))</f>
        <v>0.17543859649122809</v>
      </c>
      <c r="V2387" s="4" t="s">
        <v>2276</v>
      </c>
      <c r="W2387" s="4" t="s">
        <v>2276</v>
      </c>
      <c r="X2387" s="4" t="s">
        <v>2276</v>
      </c>
      <c r="Y2387" s="4" t="s">
        <v>2276</v>
      </c>
      <c r="Z2387" s="4" t="s">
        <v>399</v>
      </c>
      <c r="AA2387" s="4" t="s">
        <v>38</v>
      </c>
      <c r="AB2387" s="4" t="s">
        <v>64</v>
      </c>
      <c r="AC2387" s="4" t="s">
        <v>6435</v>
      </c>
      <c r="AD2387" s="4" t="s">
        <v>6436</v>
      </c>
    </row>
    <row r="2388" spans="1:30" ht="29">
      <c r="A2388" s="4" t="s">
        <v>6366</v>
      </c>
      <c r="B2388" s="4" t="s">
        <v>6464</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 t="shared" ref="U2388" si="5">100*(53+657+141*1/9+15*1/9)/(869+94)*((869+94)/(177+869+94))</f>
        <v>63.801169590643269</v>
      </c>
      <c r="V2388" s="4" t="s">
        <v>2276</v>
      </c>
      <c r="W2388" s="4" t="s">
        <v>2276</v>
      </c>
      <c r="X2388" s="4" t="s">
        <v>2276</v>
      </c>
      <c r="Y2388" s="4" t="s">
        <v>2276</v>
      </c>
      <c r="Z2388" s="4" t="s">
        <v>399</v>
      </c>
      <c r="AA2388" s="4" t="s">
        <v>38</v>
      </c>
      <c r="AB2388" s="4" t="s">
        <v>64</v>
      </c>
      <c r="AC2388" s="4" t="s">
        <v>6435</v>
      </c>
      <c r="AD2388" s="4" t="s">
        <v>6436</v>
      </c>
    </row>
    <row r="2389" spans="1:30" ht="58">
      <c r="A2389" s="4" t="s">
        <v>6367</v>
      </c>
      <c r="B2389" s="4" t="s">
        <v>6465</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6437</v>
      </c>
      <c r="AD2389" s="4" t="s">
        <v>6438</v>
      </c>
    </row>
    <row r="2390" spans="1:30" ht="58">
      <c r="A2390" s="4" t="s">
        <v>6367</v>
      </c>
      <c r="B2390" s="4" t="s">
        <v>6466</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6439</v>
      </c>
      <c r="AD2390" s="4" t="s">
        <v>6438</v>
      </c>
    </row>
    <row r="2391" spans="1:30" ht="58">
      <c r="A2391" s="4" t="s">
        <v>6367</v>
      </c>
      <c r="B2391" s="4" t="s">
        <v>6467</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6440</v>
      </c>
      <c r="AD2391" s="4" t="s">
        <v>6438</v>
      </c>
    </row>
    <row r="2392" spans="1:30" ht="58">
      <c r="A2392" s="4" t="s">
        <v>6367</v>
      </c>
      <c r="B2392" s="4" t="s">
        <v>6468</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6439</v>
      </c>
      <c r="AD2392" s="4" t="s">
        <v>6438</v>
      </c>
    </row>
    <row r="2393" spans="1:30" ht="58">
      <c r="A2393" s="4" t="s">
        <v>6367</v>
      </c>
      <c r="B2393" s="4" t="s">
        <v>6469</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6441</v>
      </c>
      <c r="AD2393" s="4" t="s">
        <v>6438</v>
      </c>
    </row>
    <row r="2394" spans="1:30" ht="58">
      <c r="A2394" s="4" t="s">
        <v>6367</v>
      </c>
      <c r="B2394" s="4" t="s">
        <v>6470</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6439</v>
      </c>
      <c r="AD2394" s="4" t="s">
        <v>6438</v>
      </c>
    </row>
    <row r="2395" spans="1:30" ht="58">
      <c r="A2395" s="4" t="s">
        <v>6367</v>
      </c>
      <c r="B2395" s="4" t="s">
        <v>6471</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6437</v>
      </c>
      <c r="AD2395" s="4" t="s">
        <v>6438</v>
      </c>
    </row>
    <row r="2396" spans="1:30" ht="58">
      <c r="A2396" s="4" t="s">
        <v>6367</v>
      </c>
      <c r="B2396" s="4" t="s">
        <v>6472</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6439</v>
      </c>
      <c r="AD2396" s="4" t="s">
        <v>6438</v>
      </c>
    </row>
    <row r="2397" spans="1:30" ht="58">
      <c r="A2397" s="4" t="s">
        <v>6367</v>
      </c>
      <c r="B2397" s="4" t="s">
        <v>6473</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6440</v>
      </c>
      <c r="AD2397" s="4" t="s">
        <v>6438</v>
      </c>
    </row>
    <row r="2398" spans="1:30" ht="58">
      <c r="A2398" s="4" t="s">
        <v>6367</v>
      </c>
      <c r="B2398" s="4" t="s">
        <v>6474</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6439</v>
      </c>
      <c r="AD2398" s="4" t="s">
        <v>6438</v>
      </c>
    </row>
    <row r="2399" spans="1:30" ht="58">
      <c r="A2399" s="4" t="s">
        <v>6367</v>
      </c>
      <c r="B2399" s="4" t="s">
        <v>6475</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6441</v>
      </c>
      <c r="AD2399" s="4" t="s">
        <v>6438</v>
      </c>
    </row>
    <row r="2400" spans="1:30" ht="58">
      <c r="A2400" s="4" t="s">
        <v>6367</v>
      </c>
      <c r="B2400" s="4" t="s">
        <v>6476</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6439</v>
      </c>
      <c r="AD2400" s="4" t="s">
        <v>6438</v>
      </c>
    </row>
    <row r="2401" spans="1:30" ht="89.5" customHeight="1">
      <c r="A2401" s="4" t="s">
        <v>6327</v>
      </c>
      <c r="B2401" s="4" t="s">
        <v>6477</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6437</v>
      </c>
      <c r="AD2401" s="4" t="s">
        <v>8381</v>
      </c>
    </row>
    <row r="2402" spans="1:30" ht="96" customHeight="1">
      <c r="A2402" s="4" t="s">
        <v>6327</v>
      </c>
      <c r="B2402" s="4" t="s">
        <v>6478</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6439</v>
      </c>
      <c r="AD2402" s="4" t="s">
        <v>8381</v>
      </c>
    </row>
    <row r="2403" spans="1:30" ht="87">
      <c r="A2403" s="4" t="s">
        <v>6328</v>
      </c>
      <c r="B2403" s="4" t="s">
        <v>6479</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6437</v>
      </c>
      <c r="AD2403" s="4" t="s">
        <v>8381</v>
      </c>
    </row>
    <row r="2404" spans="1:30" ht="87">
      <c r="A2404" s="4" t="s">
        <v>6328</v>
      </c>
      <c r="B2404" s="4" t="s">
        <v>6480</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6439</v>
      </c>
      <c r="AD2404" s="4" t="s">
        <v>8381</v>
      </c>
    </row>
    <row r="2405" spans="1:30" ht="87">
      <c r="A2405" s="4" t="s">
        <v>6329</v>
      </c>
      <c r="B2405" s="4" t="s">
        <v>6481</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6442</v>
      </c>
      <c r="AD2405" s="4" t="s">
        <v>8381</v>
      </c>
    </row>
    <row r="2406" spans="1:30" s="203" customFormat="1" ht="53.5" customHeight="1">
      <c r="A2406" s="4" t="s">
        <v>6329</v>
      </c>
      <c r="B2406" s="4" t="s">
        <v>6482</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8382</v>
      </c>
      <c r="AD2406" s="4"/>
    </row>
    <row r="2407" spans="1:30" ht="87">
      <c r="A2407" s="4" t="s">
        <v>6330</v>
      </c>
      <c r="B2407" s="4" t="s">
        <v>6483</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6443</v>
      </c>
      <c r="AD2407" s="4" t="s">
        <v>8381</v>
      </c>
    </row>
    <row r="2408" spans="1:30" ht="87">
      <c r="A2408" s="4" t="s">
        <v>6330</v>
      </c>
      <c r="B2408" s="4" t="s">
        <v>6484</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6444</v>
      </c>
      <c r="AD2408" s="4" t="s">
        <v>8381</v>
      </c>
    </row>
    <row r="2409" spans="1:30" ht="29">
      <c r="A2409" s="4" t="s">
        <v>6331</v>
      </c>
      <c r="B2409" s="4" t="s">
        <v>6485</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6443</v>
      </c>
      <c r="AD2409" s="4"/>
    </row>
    <row r="2410" spans="1:30" ht="29">
      <c r="A2410" s="4" t="s">
        <v>6331</v>
      </c>
      <c r="B2410" s="4" t="s">
        <v>6486</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6444</v>
      </c>
      <c r="AD2410" s="4"/>
    </row>
    <row r="2411" spans="1:30" ht="29">
      <c r="A2411" s="4" t="s">
        <v>6332</v>
      </c>
      <c r="B2411" s="4" t="s">
        <v>6487</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6443</v>
      </c>
      <c r="AD2411" s="4"/>
    </row>
    <row r="2412" spans="1:30" ht="87">
      <c r="A2412" s="4" t="s">
        <v>6332</v>
      </c>
      <c r="B2412" s="4" t="s">
        <v>6488</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6444</v>
      </c>
      <c r="AD2412" s="4" t="s">
        <v>8381</v>
      </c>
    </row>
    <row r="2413" spans="1:30" ht="42.5" customHeight="1">
      <c r="A2413" s="4" t="s">
        <v>6333</v>
      </c>
      <c r="B2413" s="4" t="s">
        <v>6489</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6445</v>
      </c>
      <c r="AD2413" s="4"/>
    </row>
    <row r="2414" spans="1:30" ht="42.5" customHeight="1">
      <c r="A2414" s="4" t="s">
        <v>6333</v>
      </c>
      <c r="B2414" s="4" t="s">
        <v>6490</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6446</v>
      </c>
      <c r="AD2414" s="4"/>
    </row>
    <row r="2415" spans="1:30" ht="87">
      <c r="A2415" s="4" t="s">
        <v>6334</v>
      </c>
      <c r="B2415" s="4" t="s">
        <v>6491</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6443</v>
      </c>
      <c r="AD2415" s="4" t="s">
        <v>8381</v>
      </c>
    </row>
    <row r="2416" spans="1:30" ht="87">
      <c r="A2416" s="4" t="s">
        <v>6334</v>
      </c>
      <c r="B2416" s="4" t="s">
        <v>6492</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6444</v>
      </c>
      <c r="AD2416" s="4" t="s">
        <v>8381</v>
      </c>
    </row>
    <row r="2417" spans="1:30" ht="87">
      <c r="A2417" s="4" t="s">
        <v>6335</v>
      </c>
      <c r="B2417" s="4" t="s">
        <v>6493</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6447</v>
      </c>
      <c r="AD2417" s="4" t="s">
        <v>8381</v>
      </c>
    </row>
    <row r="2418" spans="1:30" ht="87">
      <c r="A2418" s="4" t="s">
        <v>6335</v>
      </c>
      <c r="B2418" s="4" t="s">
        <v>6494</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6448</v>
      </c>
      <c r="AD2418" s="4" t="s">
        <v>8381</v>
      </c>
    </row>
    <row r="2419" spans="1:30" ht="87">
      <c r="A2419" s="4" t="s">
        <v>6336</v>
      </c>
      <c r="B2419" s="4" t="s">
        <v>6495</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6449</v>
      </c>
      <c r="AD2419" s="4" t="s">
        <v>8381</v>
      </c>
    </row>
    <row r="2420" spans="1:30" ht="87">
      <c r="A2420" s="4" t="s">
        <v>6336</v>
      </c>
      <c r="B2420" s="4" t="s">
        <v>6496</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6449</v>
      </c>
      <c r="AD2420" s="4" t="s">
        <v>8381</v>
      </c>
    </row>
    <row r="2421" spans="1:30" ht="87">
      <c r="A2421" s="4" t="s">
        <v>6337</v>
      </c>
      <c r="B2421" s="4" t="s">
        <v>6497</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6449</v>
      </c>
      <c r="AD2421" s="4" t="s">
        <v>8381</v>
      </c>
    </row>
    <row r="2422" spans="1:30" ht="87">
      <c r="A2422" s="4" t="s">
        <v>6337</v>
      </c>
      <c r="B2422" s="4" t="s">
        <v>6498</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6449</v>
      </c>
      <c r="AD2422" s="4" t="s">
        <v>8381</v>
      </c>
    </row>
    <row r="2423" spans="1:30" ht="29">
      <c r="A2423" s="4" t="s">
        <v>6338</v>
      </c>
      <c r="B2423" s="4" t="s">
        <v>6499</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6449</v>
      </c>
      <c r="AD2423" s="4"/>
    </row>
    <row r="2424" spans="1:30" ht="29">
      <c r="A2424" s="4" t="s">
        <v>6338</v>
      </c>
      <c r="B2424" s="4" t="s">
        <v>6500</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6449</v>
      </c>
      <c r="AD2424" s="4"/>
    </row>
    <row r="2425" spans="1:30" ht="29">
      <c r="A2425" s="4" t="s">
        <v>6340</v>
      </c>
      <c r="B2425" s="4" t="s">
        <v>6501</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6450</v>
      </c>
      <c r="AD2425" s="4" t="s">
        <v>8397</v>
      </c>
    </row>
    <row r="2426" spans="1:30" ht="29">
      <c r="A2426" s="4" t="s">
        <v>6340</v>
      </c>
      <c r="B2426" s="4" t="s">
        <v>6502</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6450</v>
      </c>
      <c r="AD2426" s="4" t="s">
        <v>8397</v>
      </c>
    </row>
    <row r="2427" spans="1:30" ht="29">
      <c r="A2427" s="4" t="s">
        <v>6340</v>
      </c>
      <c r="B2427" s="4" t="s">
        <v>6503</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6450</v>
      </c>
      <c r="AD2427" s="4" t="s">
        <v>8397</v>
      </c>
    </row>
    <row r="2428" spans="1:30" ht="29">
      <c r="A2428" s="4" t="s">
        <v>6504</v>
      </c>
      <c r="B2428" s="4" t="s">
        <v>6505</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6450</v>
      </c>
      <c r="AD2428" s="4" t="s">
        <v>8397</v>
      </c>
    </row>
    <row r="2429" spans="1:30" ht="29">
      <c r="A2429" s="4" t="s">
        <v>6504</v>
      </c>
      <c r="B2429" s="4" t="s">
        <v>6506</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6450</v>
      </c>
      <c r="AD2429" s="4" t="s">
        <v>8397</v>
      </c>
    </row>
    <row r="2430" spans="1:30" ht="29">
      <c r="A2430" s="4" t="s">
        <v>6504</v>
      </c>
      <c r="B2430" s="4" t="s">
        <v>6507</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6450</v>
      </c>
      <c r="AD2430" s="4" t="s">
        <v>8397</v>
      </c>
    </row>
    <row r="2431" spans="1:30" ht="29">
      <c r="A2431" s="4" t="s">
        <v>6341</v>
      </c>
      <c r="B2431" s="4" t="s">
        <v>6508</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6450</v>
      </c>
      <c r="AD2431" s="4" t="s">
        <v>8397</v>
      </c>
    </row>
    <row r="2432" spans="1:30" ht="29">
      <c r="A2432" s="4" t="s">
        <v>6341</v>
      </c>
      <c r="B2432" s="4" t="s">
        <v>6509</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6450</v>
      </c>
      <c r="AD2432" s="4" t="s">
        <v>8397</v>
      </c>
    </row>
    <row r="2433" spans="1:30" ht="29">
      <c r="A2433" s="4" t="s">
        <v>6341</v>
      </c>
      <c r="B2433" s="4" t="s">
        <v>6510</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6450</v>
      </c>
      <c r="AD2433" s="4" t="s">
        <v>8397</v>
      </c>
    </row>
    <row r="2434" spans="1:30" ht="29">
      <c r="A2434" s="4" t="s">
        <v>6342</v>
      </c>
      <c r="B2434" s="4" t="s">
        <v>6511</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6450</v>
      </c>
      <c r="AD2434" s="4" t="s">
        <v>8397</v>
      </c>
    </row>
    <row r="2435" spans="1:30" ht="29">
      <c r="A2435" s="4" t="s">
        <v>6342</v>
      </c>
      <c r="B2435" s="4" t="s">
        <v>6512</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6450</v>
      </c>
      <c r="AD2435" s="4" t="s">
        <v>8397</v>
      </c>
    </row>
    <row r="2436" spans="1:30" ht="29">
      <c r="A2436" s="4" t="s">
        <v>6342</v>
      </c>
      <c r="B2436" s="4" t="s">
        <v>6513</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6450</v>
      </c>
      <c r="AD2436" s="4" t="s">
        <v>8397</v>
      </c>
    </row>
    <row r="2437" spans="1:30" ht="29">
      <c r="A2437" s="4" t="s">
        <v>6343</v>
      </c>
      <c r="B2437" s="4" t="s">
        <v>6514</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6450</v>
      </c>
      <c r="AD2437" s="4" t="s">
        <v>8397</v>
      </c>
    </row>
    <row r="2438" spans="1:30" ht="29">
      <c r="A2438" s="4" t="s">
        <v>6343</v>
      </c>
      <c r="B2438" s="4" t="s">
        <v>6515</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6450</v>
      </c>
      <c r="AD2438" s="4" t="s">
        <v>8397</v>
      </c>
    </row>
    <row r="2439" spans="1:30" ht="29">
      <c r="A2439" s="4" t="s">
        <v>6343</v>
      </c>
      <c r="B2439" s="4" t="s">
        <v>6516</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6450</v>
      </c>
      <c r="AD2439" s="4" t="s">
        <v>8397</v>
      </c>
    </row>
    <row r="2440" spans="1:30" ht="29">
      <c r="A2440" s="4" t="s">
        <v>6344</v>
      </c>
      <c r="B2440" s="4" t="s">
        <v>6517</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6450</v>
      </c>
      <c r="AD2440" s="4" t="s">
        <v>8397</v>
      </c>
    </row>
    <row r="2441" spans="1:30" ht="29">
      <c r="A2441" s="4" t="s">
        <v>6344</v>
      </c>
      <c r="B2441" s="4" t="s">
        <v>6518</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6450</v>
      </c>
      <c r="AD2441" s="4" t="s">
        <v>8397</v>
      </c>
    </row>
    <row r="2442" spans="1:30" ht="29">
      <c r="A2442" s="4" t="s">
        <v>6344</v>
      </c>
      <c r="B2442" s="4" t="s">
        <v>6519</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6450</v>
      </c>
      <c r="AD2442" s="4" t="s">
        <v>8397</v>
      </c>
    </row>
    <row r="2443" spans="1:30" ht="29">
      <c r="A2443" s="4" t="s">
        <v>8401</v>
      </c>
      <c r="B2443" s="4" t="s">
        <v>8403</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8402</v>
      </c>
      <c r="B2444" s="4" t="s">
        <v>8404</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6345</v>
      </c>
      <c r="B2445" s="4" t="s">
        <v>6520</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6451</v>
      </c>
      <c r="AD2445" s="4"/>
    </row>
    <row r="2446" spans="1:30" ht="29">
      <c r="A2446" s="4" t="s">
        <v>6345</v>
      </c>
      <c r="B2446" s="4" t="s">
        <v>6521</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6452</v>
      </c>
      <c r="AD2446" s="4"/>
    </row>
    <row r="2447" spans="1:30" ht="29">
      <c r="A2447" s="4" t="s">
        <v>6346</v>
      </c>
      <c r="B2447" s="4" t="s">
        <v>6522</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6453</v>
      </c>
      <c r="AD2447" s="4"/>
    </row>
    <row r="2448" spans="1:30" ht="29">
      <c r="A2448" s="4" t="s">
        <v>6346</v>
      </c>
      <c r="B2448" s="4" t="s">
        <v>6523</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6453</v>
      </c>
      <c r="AD2448" s="4"/>
    </row>
    <row r="2449" spans="1:30" ht="29">
      <c r="A2449" s="4" t="s">
        <v>6347</v>
      </c>
      <c r="B2449" s="4" t="s">
        <v>6524</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9">
        <f>100*1.9/83</f>
        <v>2.2891566265060241</v>
      </c>
      <c r="X2449" s="4" t="s">
        <v>2276</v>
      </c>
      <c r="Y2449" s="4" t="s">
        <v>2276</v>
      </c>
      <c r="Z2449" s="4" t="s">
        <v>405</v>
      </c>
      <c r="AA2449" s="4" t="s">
        <v>86</v>
      </c>
      <c r="AB2449" s="4" t="s">
        <v>64</v>
      </c>
      <c r="AC2449" s="4" t="s">
        <v>6454</v>
      </c>
      <c r="AD2449" s="4"/>
    </row>
    <row r="2450" spans="1:30" ht="29">
      <c r="A2450" s="4" t="s">
        <v>6348</v>
      </c>
      <c r="B2450" s="4" t="s">
        <v>6525</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6455</v>
      </c>
      <c r="AD2450" s="4"/>
    </row>
    <row r="2451" spans="1:30" ht="29">
      <c r="A2451" s="4" t="s">
        <v>6348</v>
      </c>
      <c r="B2451" s="4" t="s">
        <v>6526</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6456</v>
      </c>
      <c r="AD2451" s="4"/>
    </row>
    <row r="2452" spans="1:30" ht="29">
      <c r="A2452" s="4" t="s">
        <v>6349</v>
      </c>
      <c r="B2452" s="4" t="s">
        <v>6527</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6455</v>
      </c>
      <c r="AD2452" s="4"/>
    </row>
    <row r="2453" spans="1:30" ht="29">
      <c r="A2453" s="4" t="s">
        <v>6349</v>
      </c>
      <c r="B2453" s="4" t="s">
        <v>6528</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6456</v>
      </c>
      <c r="AD2453" s="4"/>
    </row>
    <row r="2454" spans="1:30" ht="29">
      <c r="A2454" s="4" t="s">
        <v>6350</v>
      </c>
      <c r="B2454" s="4" t="s">
        <v>8405</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6455</v>
      </c>
      <c r="AD2454" s="4" t="s">
        <v>8407</v>
      </c>
    </row>
    <row r="2455" spans="1:30" ht="29">
      <c r="A2455" s="4" t="s">
        <v>6350</v>
      </c>
      <c r="B2455" s="4" t="s">
        <v>8406</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6456</v>
      </c>
      <c r="AD2455" s="4" t="s">
        <v>8407</v>
      </c>
    </row>
    <row r="2456" spans="1:30" ht="32.5" customHeight="1">
      <c r="A2456" s="4" t="s">
        <v>5439</v>
      </c>
      <c r="B2456" s="4" t="s">
        <v>6529</v>
      </c>
      <c r="C2456" s="58"/>
      <c r="D2456" s="58"/>
      <c r="E2456" s="58"/>
      <c r="F2456" s="58"/>
      <c r="G2456" s="58"/>
      <c r="H2456" s="58"/>
      <c r="I2456" s="58"/>
      <c r="J2456" s="228"/>
      <c r="K2456" s="228"/>
      <c r="L2456" s="228"/>
      <c r="M2456" s="228"/>
      <c r="N2456" s="228"/>
      <c r="O2456" s="228"/>
      <c r="P2456" s="228"/>
      <c r="Q2456" s="228"/>
      <c r="R2456" s="228"/>
      <c r="S2456" s="228"/>
      <c r="T2456" s="228"/>
      <c r="U2456" s="228"/>
      <c r="V2456" s="228"/>
      <c r="W2456" s="228"/>
      <c r="X2456" s="228"/>
      <c r="Y2456" s="228"/>
      <c r="Z2456" s="58"/>
      <c r="AA2456" s="58"/>
      <c r="AB2456" s="58"/>
      <c r="AC2456" s="58"/>
      <c r="AD2456" s="58"/>
    </row>
    <row r="2457" spans="1:30" ht="42.5" customHeight="1">
      <c r="A2457" s="4" t="s">
        <v>6351</v>
      </c>
      <c r="B2457" s="4" t="s">
        <v>6530</v>
      </c>
      <c r="C2457" s="4" t="s">
        <v>24</v>
      </c>
      <c r="D2457" s="4" t="s">
        <v>2659</v>
      </c>
      <c r="E2457" s="4" t="s">
        <v>397</v>
      </c>
      <c r="F2457" s="4" t="s">
        <v>28</v>
      </c>
      <c r="G2457" s="4" t="s">
        <v>2276</v>
      </c>
      <c r="H2457" s="4" t="s">
        <v>523</v>
      </c>
      <c r="I2457" s="4"/>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4" t="s">
        <v>34</v>
      </c>
      <c r="AA2457" s="4" t="s">
        <v>404</v>
      </c>
      <c r="AB2457" s="4" t="s">
        <v>64</v>
      </c>
      <c r="AC2457" s="4" t="s">
        <v>6457</v>
      </c>
      <c r="AD2457" s="4"/>
    </row>
    <row r="2458" spans="1:30" ht="51" customHeight="1">
      <c r="A2458" s="4" t="s">
        <v>6352</v>
      </c>
      <c r="B2458" s="4" t="s">
        <v>6531</v>
      </c>
      <c r="C2458" s="4" t="s">
        <v>24</v>
      </c>
      <c r="D2458" s="4" t="s">
        <v>2659</v>
      </c>
      <c r="E2458" s="4" t="s">
        <v>396</v>
      </c>
      <c r="F2458" s="4" t="s">
        <v>28</v>
      </c>
      <c r="G2458" s="4" t="s">
        <v>2276</v>
      </c>
      <c r="H2458" s="4" t="s">
        <v>523</v>
      </c>
      <c r="I2458" s="4">
        <v>2014</v>
      </c>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75">
        <v>1</v>
      </c>
      <c r="Z2458" s="4" t="s">
        <v>399</v>
      </c>
      <c r="AA2458" s="4" t="s">
        <v>34</v>
      </c>
      <c r="AB2458" s="4" t="s">
        <v>2276</v>
      </c>
      <c r="AC2458" s="4" t="s">
        <v>6458</v>
      </c>
      <c r="AD2458" s="4"/>
    </row>
    <row r="2459" spans="1:30" ht="31" customHeight="1">
      <c r="A2459" s="4" t="s">
        <v>6401</v>
      </c>
      <c r="B2459" s="4" t="s">
        <v>6544</v>
      </c>
      <c r="C2459" s="4" t="s">
        <v>24</v>
      </c>
      <c r="D2459" s="4" t="s">
        <v>1242</v>
      </c>
      <c r="E2459" s="4" t="s">
        <v>137</v>
      </c>
      <c r="F2459" s="4" t="s">
        <v>74</v>
      </c>
      <c r="G2459" s="4" t="s">
        <v>74</v>
      </c>
      <c r="H2459" s="4" t="s">
        <v>523</v>
      </c>
      <c r="I2459" s="4"/>
      <c r="J2459" s="221" t="s">
        <v>2276</v>
      </c>
      <c r="K2459" s="221" t="s">
        <v>2276</v>
      </c>
      <c r="L2459" s="221" t="s">
        <v>2276</v>
      </c>
      <c r="M2459" s="221" t="s">
        <v>2276</v>
      </c>
      <c r="N2459" s="221" t="s">
        <v>2276</v>
      </c>
      <c r="O2459" s="221" t="s">
        <v>2276</v>
      </c>
      <c r="P2459" s="221" t="s">
        <v>2276</v>
      </c>
      <c r="Q2459" s="221" t="s">
        <v>2276</v>
      </c>
      <c r="R2459" s="221" t="s">
        <v>2276</v>
      </c>
      <c r="S2459" s="221" t="s">
        <v>2276</v>
      </c>
      <c r="T2459" s="75">
        <v>312500</v>
      </c>
      <c r="U2459" s="221" t="s">
        <v>2276</v>
      </c>
      <c r="V2459" s="75">
        <v>12.5</v>
      </c>
      <c r="W2459" s="221" t="s">
        <v>2276</v>
      </c>
      <c r="X2459" s="75">
        <v>12.5</v>
      </c>
      <c r="Y2459" s="4" t="s">
        <v>2276</v>
      </c>
      <c r="Z2459" s="4" t="s">
        <v>127</v>
      </c>
      <c r="AA2459" s="4" t="s">
        <v>38</v>
      </c>
      <c r="AB2459" s="4" t="s">
        <v>2276</v>
      </c>
      <c r="AC2459" s="4"/>
      <c r="AD2459" s="4" t="s">
        <v>6535</v>
      </c>
    </row>
    <row r="2460" spans="1:30" ht="31" customHeight="1">
      <c r="A2460" s="4" t="s">
        <v>6401</v>
      </c>
      <c r="B2460" s="4" t="s">
        <v>6545</v>
      </c>
      <c r="C2460" s="4" t="s">
        <v>2657</v>
      </c>
      <c r="D2460" s="4" t="s">
        <v>2276</v>
      </c>
      <c r="E2460" s="4" t="s">
        <v>2276</v>
      </c>
      <c r="F2460" s="4" t="s">
        <v>2276</v>
      </c>
      <c r="G2460" s="4" t="s">
        <v>2276</v>
      </c>
      <c r="H2460" s="4" t="s">
        <v>523</v>
      </c>
      <c r="I2460" s="4"/>
      <c r="J2460" s="221" t="s">
        <v>2276</v>
      </c>
      <c r="K2460" s="221" t="s">
        <v>2276</v>
      </c>
      <c r="L2460" s="221" t="s">
        <v>2276</v>
      </c>
      <c r="M2460" s="221" t="s">
        <v>2276</v>
      </c>
      <c r="N2460" s="221" t="s">
        <v>2276</v>
      </c>
      <c r="O2460" s="221" t="s">
        <v>2276</v>
      </c>
      <c r="P2460" s="221" t="s">
        <v>2276</v>
      </c>
      <c r="Q2460" s="221" t="s">
        <v>2276</v>
      </c>
      <c r="R2460" s="221" t="s">
        <v>2276</v>
      </c>
      <c r="S2460" s="221" t="s">
        <v>2276</v>
      </c>
      <c r="T2460" s="75">
        <v>7140</v>
      </c>
      <c r="U2460" s="221" t="s">
        <v>2276</v>
      </c>
      <c r="V2460" s="75">
        <v>0.3</v>
      </c>
      <c r="W2460" s="221" t="s">
        <v>2276</v>
      </c>
      <c r="X2460" s="75">
        <v>0.3</v>
      </c>
      <c r="Y2460" s="4" t="s">
        <v>2276</v>
      </c>
      <c r="Z2460" s="4" t="s">
        <v>127</v>
      </c>
      <c r="AA2460" s="4" t="s">
        <v>38</v>
      </c>
      <c r="AB2460" s="4" t="s">
        <v>2276</v>
      </c>
      <c r="AC2460" s="4"/>
      <c r="AD2460" s="4" t="s">
        <v>6536</v>
      </c>
    </row>
    <row r="2461" spans="1:30" ht="31" customHeight="1">
      <c r="A2461" s="4" t="s">
        <v>6402</v>
      </c>
      <c r="B2461" s="4" t="s">
        <v>6546</v>
      </c>
      <c r="C2461" s="4" t="s">
        <v>24</v>
      </c>
      <c r="D2461" s="4" t="s">
        <v>1242</v>
      </c>
      <c r="E2461" s="4" t="s">
        <v>137</v>
      </c>
      <c r="F2461" s="4" t="s">
        <v>74</v>
      </c>
      <c r="G2461" s="4" t="s">
        <v>74</v>
      </c>
      <c r="H2461" s="4" t="s">
        <v>523</v>
      </c>
      <c r="I2461" s="4"/>
      <c r="J2461" s="221" t="s">
        <v>2276</v>
      </c>
      <c r="K2461" s="221" t="s">
        <v>2276</v>
      </c>
      <c r="L2461" s="221" t="s">
        <v>2276</v>
      </c>
      <c r="M2461" s="221" t="s">
        <v>2276</v>
      </c>
      <c r="N2461" s="221" t="s">
        <v>2276</v>
      </c>
      <c r="O2461" s="221" t="s">
        <v>2276</v>
      </c>
      <c r="P2461" s="221" t="s">
        <v>2276</v>
      </c>
      <c r="Q2461" s="221" t="s">
        <v>2276</v>
      </c>
      <c r="R2461" s="221" t="s">
        <v>2276</v>
      </c>
      <c r="S2461" s="75">
        <v>200000</v>
      </c>
      <c r="T2461" s="75">
        <v>165000</v>
      </c>
      <c r="U2461" s="75">
        <v>8</v>
      </c>
      <c r="V2461" s="75">
        <v>6.6</v>
      </c>
      <c r="W2461" s="75">
        <v>8</v>
      </c>
      <c r="X2461" s="75">
        <v>6.6</v>
      </c>
      <c r="Y2461" s="4" t="s">
        <v>2276</v>
      </c>
      <c r="Z2461" s="4" t="s">
        <v>127</v>
      </c>
      <c r="AA2461" s="4" t="s">
        <v>38</v>
      </c>
      <c r="AB2461" s="4" t="s">
        <v>2276</v>
      </c>
      <c r="AC2461" s="4"/>
      <c r="AD2461" s="4" t="s">
        <v>7861</v>
      </c>
    </row>
    <row r="2462" spans="1:30" ht="31" customHeight="1">
      <c r="A2462" s="4" t="s">
        <v>6402</v>
      </c>
      <c r="B2462" s="4" t="s">
        <v>6547</v>
      </c>
      <c r="C2462" s="4" t="s">
        <v>2657</v>
      </c>
      <c r="D2462" s="4" t="s">
        <v>2276</v>
      </c>
      <c r="E2462" s="4" t="s">
        <v>2276</v>
      </c>
      <c r="F2462" s="4" t="s">
        <v>2276</v>
      </c>
      <c r="G2462" s="4" t="s">
        <v>2276</v>
      </c>
      <c r="H2462" s="4" t="s">
        <v>523</v>
      </c>
      <c r="I2462" s="4"/>
      <c r="J2462" s="221" t="s">
        <v>2276</v>
      </c>
      <c r="K2462" s="221" t="s">
        <v>2276</v>
      </c>
      <c r="L2462" s="221" t="s">
        <v>2276</v>
      </c>
      <c r="M2462" s="221" t="s">
        <v>2276</v>
      </c>
      <c r="N2462" s="221" t="s">
        <v>2276</v>
      </c>
      <c r="O2462" s="221" t="s">
        <v>2276</v>
      </c>
      <c r="P2462" s="221" t="s">
        <v>2276</v>
      </c>
      <c r="Q2462" s="221" t="s">
        <v>2276</v>
      </c>
      <c r="R2462" s="221" t="s">
        <v>2276</v>
      </c>
      <c r="S2462" s="221" t="s">
        <v>2276</v>
      </c>
      <c r="T2462" s="221" t="s">
        <v>2276</v>
      </c>
      <c r="U2462" s="221" t="s">
        <v>2276</v>
      </c>
      <c r="V2462" s="221" t="s">
        <v>2276</v>
      </c>
      <c r="W2462" s="221" t="s">
        <v>2276</v>
      </c>
      <c r="X2462" s="221" t="s">
        <v>2276</v>
      </c>
      <c r="Y2462" s="221" t="s">
        <v>2276</v>
      </c>
      <c r="Z2462" s="4" t="s">
        <v>127</v>
      </c>
      <c r="AA2462" s="4" t="s">
        <v>38</v>
      </c>
      <c r="AB2462" s="4" t="s">
        <v>2276</v>
      </c>
      <c r="AC2462" s="4"/>
      <c r="AD2462" s="4" t="s">
        <v>6537</v>
      </c>
    </row>
    <row r="2463" spans="1:30" ht="31" customHeight="1">
      <c r="A2463" s="4" t="s">
        <v>6403</v>
      </c>
      <c r="B2463" s="4" t="s">
        <v>6548</v>
      </c>
      <c r="C2463" s="4" t="s">
        <v>24</v>
      </c>
      <c r="D2463" s="4" t="s">
        <v>2276</v>
      </c>
      <c r="E2463" s="4" t="s">
        <v>2653</v>
      </c>
      <c r="F2463" s="4" t="s">
        <v>2276</v>
      </c>
      <c r="G2463" s="4" t="s">
        <v>2276</v>
      </c>
      <c r="H2463" s="4" t="s">
        <v>523</v>
      </c>
      <c r="I2463" s="4"/>
      <c r="J2463" s="75">
        <f>0.44/10</f>
        <v>4.3999999999999997E-2</v>
      </c>
      <c r="K2463" s="21" t="s">
        <v>2276</v>
      </c>
      <c r="L2463" s="221" t="s">
        <v>2276</v>
      </c>
      <c r="M2463" s="221" t="s">
        <v>2276</v>
      </c>
      <c r="N2463" s="221" t="s">
        <v>2276</v>
      </c>
      <c r="O2463" s="221" t="s">
        <v>2276</v>
      </c>
      <c r="P2463" s="75">
        <f>((X2463/100)*'Record info'!K1033)/(0.043*'Record info'!K1033)</f>
        <v>3.7209302325581402E-2</v>
      </c>
      <c r="Q2463" s="221" t="s">
        <v>2276</v>
      </c>
      <c r="R2463" s="221" t="s">
        <v>2276</v>
      </c>
      <c r="S2463" s="221" t="s">
        <v>2276</v>
      </c>
      <c r="T2463" s="221" t="s">
        <v>2276</v>
      </c>
      <c r="U2463" s="221" t="s">
        <v>2276</v>
      </c>
      <c r="V2463" s="221" t="s">
        <v>2276</v>
      </c>
      <c r="W2463" s="221" t="s">
        <v>2276</v>
      </c>
      <c r="X2463" s="75">
        <f>1.6/10</f>
        <v>0.16</v>
      </c>
      <c r="Y2463" s="221" t="s">
        <v>2276</v>
      </c>
      <c r="Z2463" s="4" t="s">
        <v>2276</v>
      </c>
      <c r="AA2463" s="4" t="s">
        <v>2276</v>
      </c>
      <c r="AB2463" s="4" t="s">
        <v>2276</v>
      </c>
      <c r="AC2463" s="4"/>
      <c r="AD2463" s="4"/>
    </row>
    <row r="2464" spans="1:30" ht="31" customHeight="1">
      <c r="A2464" s="4" t="s">
        <v>6403</v>
      </c>
      <c r="B2464" s="4" t="s">
        <v>6549</v>
      </c>
      <c r="C2464" s="4" t="s">
        <v>2656</v>
      </c>
      <c r="D2464" s="4" t="s">
        <v>2276</v>
      </c>
      <c r="E2464" s="4" t="s">
        <v>2276</v>
      </c>
      <c r="F2464" s="4" t="s">
        <v>2276</v>
      </c>
      <c r="G2464" s="4" t="s">
        <v>2276</v>
      </c>
      <c r="H2464" s="4" t="s">
        <v>523</v>
      </c>
      <c r="I2464" s="4"/>
      <c r="J2464" s="221">
        <f>J2463*(1-0.992)</f>
        <v>3.5200000000000032E-4</v>
      </c>
      <c r="K2464" s="21" t="s">
        <v>2276</v>
      </c>
      <c r="L2464" s="221" t="s">
        <v>2276</v>
      </c>
      <c r="M2464" s="221" t="s">
        <v>2276</v>
      </c>
      <c r="N2464" s="221" t="s">
        <v>2276</v>
      </c>
      <c r="O2464" s="221" t="s">
        <v>2276</v>
      </c>
      <c r="P2464" s="221" t="s">
        <v>2276</v>
      </c>
      <c r="Q2464" s="221" t="s">
        <v>2276</v>
      </c>
      <c r="R2464" s="221" t="s">
        <v>2276</v>
      </c>
      <c r="S2464" s="221" t="s">
        <v>2276</v>
      </c>
      <c r="T2464" s="221" t="s">
        <v>2276</v>
      </c>
      <c r="U2464" s="221" t="s">
        <v>2276</v>
      </c>
      <c r="V2464" s="221" t="s">
        <v>2276</v>
      </c>
      <c r="W2464" s="221" t="s">
        <v>2276</v>
      </c>
      <c r="X2464" s="221" t="s">
        <v>2276</v>
      </c>
      <c r="Y2464" s="221" t="s">
        <v>2276</v>
      </c>
      <c r="Z2464" s="4" t="s">
        <v>2276</v>
      </c>
      <c r="AA2464" s="4" t="s">
        <v>2276</v>
      </c>
      <c r="AB2464" s="4" t="s">
        <v>2276</v>
      </c>
      <c r="AC2464" s="4"/>
      <c r="AD2464" s="4" t="s">
        <v>6538</v>
      </c>
    </row>
    <row r="2465" spans="1:30" ht="31" customHeight="1">
      <c r="A2465" s="4" t="s">
        <v>6404</v>
      </c>
      <c r="B2465" s="4" t="s">
        <v>6550</v>
      </c>
      <c r="C2465" s="4" t="s">
        <v>24</v>
      </c>
      <c r="D2465" s="4" t="s">
        <v>2276</v>
      </c>
      <c r="E2465" s="4" t="s">
        <v>2653</v>
      </c>
      <c r="F2465" s="4" t="s">
        <v>2276</v>
      </c>
      <c r="G2465" s="4" t="s">
        <v>2276</v>
      </c>
      <c r="H2465" s="4" t="s">
        <v>523</v>
      </c>
      <c r="I2465" s="4"/>
      <c r="J2465" s="75">
        <v>0.04</v>
      </c>
      <c r="K2465" s="21" t="s">
        <v>2276</v>
      </c>
      <c r="L2465" s="221" t="s">
        <v>2276</v>
      </c>
      <c r="M2465" s="221" t="s">
        <v>2276</v>
      </c>
      <c r="N2465" s="221" t="s">
        <v>2276</v>
      </c>
      <c r="O2465" s="221" t="s">
        <v>2276</v>
      </c>
      <c r="P2465" s="221" t="s">
        <v>2276</v>
      </c>
      <c r="Q2465" s="221" t="s">
        <v>2276</v>
      </c>
      <c r="R2465" s="221" t="s">
        <v>2276</v>
      </c>
      <c r="S2465" s="221" t="s">
        <v>2276</v>
      </c>
      <c r="T2465" s="221" t="s">
        <v>2276</v>
      </c>
      <c r="U2465" s="221" t="s">
        <v>2276</v>
      </c>
      <c r="V2465" s="221" t="s">
        <v>2276</v>
      </c>
      <c r="W2465" s="221" t="s">
        <v>2276</v>
      </c>
      <c r="X2465" s="221" t="s">
        <v>2276</v>
      </c>
      <c r="Y2465" s="221" t="s">
        <v>2276</v>
      </c>
      <c r="Z2465" s="4" t="s">
        <v>2276</v>
      </c>
      <c r="AA2465" s="4" t="s">
        <v>2276</v>
      </c>
      <c r="AB2465" s="4" t="s">
        <v>2276</v>
      </c>
      <c r="AC2465" s="4"/>
      <c r="AD2465" s="4"/>
    </row>
    <row r="2466" spans="1:30" ht="31" customHeight="1">
      <c r="A2466" s="4" t="s">
        <v>6404</v>
      </c>
      <c r="B2466" s="4" t="s">
        <v>6551</v>
      </c>
      <c r="C2466" s="4" t="s">
        <v>2656</v>
      </c>
      <c r="D2466" s="4" t="s">
        <v>2276</v>
      </c>
      <c r="E2466" s="4" t="s">
        <v>2276</v>
      </c>
      <c r="F2466" s="4" t="s">
        <v>2276</v>
      </c>
      <c r="G2466" s="4" t="s">
        <v>2276</v>
      </c>
      <c r="H2466" s="4" t="s">
        <v>523</v>
      </c>
      <c r="I2466" s="4"/>
      <c r="J2466" s="221" t="s">
        <v>2276</v>
      </c>
      <c r="K2466" s="21" t="s">
        <v>2276</v>
      </c>
      <c r="L2466" s="221" t="s">
        <v>2276</v>
      </c>
      <c r="M2466" s="221" t="s">
        <v>2276</v>
      </c>
      <c r="N2466" s="221" t="s">
        <v>2276</v>
      </c>
      <c r="O2466" s="221" t="s">
        <v>2276</v>
      </c>
      <c r="P2466" s="221" t="s">
        <v>2276</v>
      </c>
      <c r="Q2466" s="221" t="s">
        <v>2276</v>
      </c>
      <c r="R2466" s="221" t="s">
        <v>2276</v>
      </c>
      <c r="S2466" s="221" t="s">
        <v>2276</v>
      </c>
      <c r="T2466" s="221" t="s">
        <v>2276</v>
      </c>
      <c r="U2466" s="221" t="s">
        <v>2276</v>
      </c>
      <c r="V2466" s="221" t="s">
        <v>2276</v>
      </c>
      <c r="W2466" s="221" t="s">
        <v>2276</v>
      </c>
      <c r="X2466" s="221" t="s">
        <v>2276</v>
      </c>
      <c r="Y2466" s="221" t="s">
        <v>2276</v>
      </c>
      <c r="Z2466" s="4" t="s">
        <v>2276</v>
      </c>
      <c r="AA2466" s="4" t="s">
        <v>2276</v>
      </c>
      <c r="AB2466" s="4" t="s">
        <v>2276</v>
      </c>
      <c r="AC2466" s="4"/>
      <c r="AD2466" s="4" t="s">
        <v>6539</v>
      </c>
    </row>
    <row r="2467" spans="1:30" ht="31" customHeight="1">
      <c r="A2467" s="4" t="s">
        <v>6408</v>
      </c>
      <c r="B2467" s="4" t="s">
        <v>6552</v>
      </c>
      <c r="C2467" s="4" t="s">
        <v>2658</v>
      </c>
      <c r="D2467" s="4" t="s">
        <v>2276</v>
      </c>
      <c r="E2467" s="4" t="s">
        <v>2649</v>
      </c>
      <c r="F2467" s="4" t="s">
        <v>74</v>
      </c>
      <c r="G2467" s="4" t="s">
        <v>74</v>
      </c>
      <c r="H2467" s="4" t="s">
        <v>523</v>
      </c>
      <c r="I2467" s="4"/>
      <c r="J2467" s="75">
        <f>0.662878787878788/28</f>
        <v>2.3674242424242428E-2</v>
      </c>
      <c r="K2467" s="21" t="s">
        <v>2276</v>
      </c>
      <c r="L2467" s="221" t="s">
        <v>2276</v>
      </c>
      <c r="M2467" s="221" t="s">
        <v>2276</v>
      </c>
      <c r="N2467" s="221" t="s">
        <v>2276</v>
      </c>
      <c r="O2467" s="221" t="s">
        <v>2276</v>
      </c>
      <c r="P2467" s="221" t="s">
        <v>2276</v>
      </c>
      <c r="Q2467" s="221" t="s">
        <v>2276</v>
      </c>
      <c r="R2467" s="221" t="s">
        <v>2276</v>
      </c>
      <c r="S2467" s="221" t="s">
        <v>2276</v>
      </c>
      <c r="T2467" s="221" t="s">
        <v>2276</v>
      </c>
      <c r="U2467" s="221" t="s">
        <v>2276</v>
      </c>
      <c r="V2467" s="221" t="s">
        <v>2276</v>
      </c>
      <c r="W2467" s="221" t="s">
        <v>2276</v>
      </c>
      <c r="X2467" s="221" t="s">
        <v>2276</v>
      </c>
      <c r="Y2467" s="75">
        <v>32</v>
      </c>
      <c r="Z2467" s="4" t="s">
        <v>2276</v>
      </c>
      <c r="AA2467" s="4" t="s">
        <v>2276</v>
      </c>
      <c r="AB2467" s="4" t="s">
        <v>2276</v>
      </c>
      <c r="AC2467" s="4"/>
      <c r="AD2467" s="4"/>
    </row>
    <row r="2468" spans="1:30" ht="31" customHeight="1">
      <c r="A2468" s="4" t="s">
        <v>6408</v>
      </c>
      <c r="B2468" s="4" t="s">
        <v>6553</v>
      </c>
      <c r="C2468" s="4" t="s">
        <v>24</v>
      </c>
      <c r="D2468" s="4" t="s">
        <v>1242</v>
      </c>
      <c r="E2468" s="4" t="s">
        <v>2649</v>
      </c>
      <c r="F2468" s="4" t="s">
        <v>74</v>
      </c>
      <c r="G2468" s="4" t="s">
        <v>74</v>
      </c>
      <c r="H2468" s="4" t="s">
        <v>523</v>
      </c>
      <c r="I2468" s="4"/>
      <c r="J2468" s="21" t="s">
        <v>2276</v>
      </c>
      <c r="K2468" s="21" t="s">
        <v>2276</v>
      </c>
      <c r="L2468" s="221" t="s">
        <v>2276</v>
      </c>
      <c r="M2468" s="221" t="s">
        <v>2276</v>
      </c>
      <c r="N2468" s="221" t="s">
        <v>2276</v>
      </c>
      <c r="O2468" s="221" t="s">
        <v>2276</v>
      </c>
      <c r="P2468" s="221" t="s">
        <v>2276</v>
      </c>
      <c r="Q2468" s="221" t="s">
        <v>2276</v>
      </c>
      <c r="R2468" s="221" t="s">
        <v>2276</v>
      </c>
      <c r="S2468" s="221" t="s">
        <v>2276</v>
      </c>
      <c r="T2468" s="221" t="s">
        <v>2276</v>
      </c>
      <c r="U2468" s="221" t="s">
        <v>2276</v>
      </c>
      <c r="V2468" s="221" t="s">
        <v>2276</v>
      </c>
      <c r="W2468" s="221" t="s">
        <v>2276</v>
      </c>
      <c r="X2468" s="221" t="s">
        <v>2276</v>
      </c>
      <c r="Y2468" s="221" t="s">
        <v>2276</v>
      </c>
      <c r="Z2468" s="4" t="s">
        <v>2276</v>
      </c>
      <c r="AA2468" s="4" t="s">
        <v>2276</v>
      </c>
      <c r="AB2468" s="4" t="s">
        <v>2276</v>
      </c>
      <c r="AC2468" s="4"/>
      <c r="AD2468" s="4"/>
    </row>
    <row r="2469" spans="1:30" ht="31" customHeight="1">
      <c r="A2469" s="4" t="s">
        <v>6409</v>
      </c>
      <c r="B2469" s="4" t="s">
        <v>6554</v>
      </c>
      <c r="C2469" s="4" t="s">
        <v>2658</v>
      </c>
      <c r="D2469" s="4" t="s">
        <v>2276</v>
      </c>
      <c r="E2469" s="4" t="s">
        <v>2649</v>
      </c>
      <c r="F2469" s="4" t="s">
        <v>74</v>
      </c>
      <c r="G2469" s="4" t="s">
        <v>74</v>
      </c>
      <c r="H2469" s="4" t="s">
        <v>523</v>
      </c>
      <c r="I2469" s="4"/>
      <c r="J2469" s="75">
        <f>0.15609756097561/28</f>
        <v>5.5749128919860714E-3</v>
      </c>
      <c r="K2469" s="21" t="s">
        <v>2276</v>
      </c>
      <c r="L2469" s="221" t="s">
        <v>2276</v>
      </c>
      <c r="M2469" s="221" t="s">
        <v>2276</v>
      </c>
      <c r="N2469" s="221" t="s">
        <v>2276</v>
      </c>
      <c r="O2469" s="221" t="s">
        <v>2276</v>
      </c>
      <c r="P2469" s="221" t="s">
        <v>2276</v>
      </c>
      <c r="Q2469" s="221" t="s">
        <v>2276</v>
      </c>
      <c r="R2469" s="221" t="s">
        <v>2276</v>
      </c>
      <c r="S2469" s="221" t="s">
        <v>2276</v>
      </c>
      <c r="T2469" s="221" t="s">
        <v>2276</v>
      </c>
      <c r="U2469" s="221" t="s">
        <v>2276</v>
      </c>
      <c r="V2469" s="221" t="s">
        <v>2276</v>
      </c>
      <c r="W2469" s="221" t="s">
        <v>2276</v>
      </c>
      <c r="X2469" s="221" t="s">
        <v>2276</v>
      </c>
      <c r="Y2469" s="75">
        <v>14</v>
      </c>
      <c r="Z2469" s="4" t="s">
        <v>2276</v>
      </c>
      <c r="AA2469" s="4" t="s">
        <v>2276</v>
      </c>
      <c r="AB2469" s="4" t="s">
        <v>2276</v>
      </c>
      <c r="AC2469" s="4"/>
      <c r="AD2469" s="4"/>
    </row>
    <row r="2470" spans="1:30" ht="31" customHeight="1">
      <c r="A2470" s="4" t="s">
        <v>6409</v>
      </c>
      <c r="B2470" s="4" t="s">
        <v>6555</v>
      </c>
      <c r="C2470" s="4" t="s">
        <v>24</v>
      </c>
      <c r="D2470" s="4" t="s">
        <v>1242</v>
      </c>
      <c r="E2470" s="4" t="s">
        <v>2649</v>
      </c>
      <c r="F2470" s="4" t="s">
        <v>74</v>
      </c>
      <c r="G2470" s="4" t="s">
        <v>74</v>
      </c>
      <c r="H2470" s="4" t="s">
        <v>523</v>
      </c>
      <c r="I2470" s="4"/>
      <c r="J2470" s="21" t="s">
        <v>2276</v>
      </c>
      <c r="K2470" s="21" t="s">
        <v>2276</v>
      </c>
      <c r="L2470" s="221" t="s">
        <v>2276</v>
      </c>
      <c r="M2470" s="221" t="s">
        <v>2276</v>
      </c>
      <c r="N2470" s="221" t="s">
        <v>2276</v>
      </c>
      <c r="O2470" s="221" t="s">
        <v>2276</v>
      </c>
      <c r="P2470" s="221" t="s">
        <v>2276</v>
      </c>
      <c r="Q2470" s="221" t="s">
        <v>2276</v>
      </c>
      <c r="R2470" s="221" t="s">
        <v>2276</v>
      </c>
      <c r="S2470" s="221" t="s">
        <v>2276</v>
      </c>
      <c r="T2470" s="221" t="s">
        <v>2276</v>
      </c>
      <c r="U2470" s="221" t="s">
        <v>2276</v>
      </c>
      <c r="V2470" s="221" t="s">
        <v>2276</v>
      </c>
      <c r="W2470" s="221" t="s">
        <v>2276</v>
      </c>
      <c r="X2470" s="221" t="s">
        <v>2276</v>
      </c>
      <c r="Y2470" s="221" t="s">
        <v>2276</v>
      </c>
      <c r="Z2470" s="4" t="s">
        <v>2276</v>
      </c>
      <c r="AA2470" s="4" t="s">
        <v>2276</v>
      </c>
      <c r="AB2470" s="4" t="s">
        <v>2276</v>
      </c>
      <c r="AC2470" s="4"/>
      <c r="AD2470" s="4"/>
    </row>
    <row r="2471" spans="1:30" ht="31" customHeight="1">
      <c r="A2471" s="4" t="s">
        <v>6410</v>
      </c>
      <c r="B2471" s="4" t="s">
        <v>6556</v>
      </c>
      <c r="C2471" s="4" t="s">
        <v>2658</v>
      </c>
      <c r="D2471" s="4" t="s">
        <v>2276</v>
      </c>
      <c r="E2471" s="4" t="s">
        <v>2649</v>
      </c>
      <c r="F2471" s="4" t="s">
        <v>74</v>
      </c>
      <c r="G2471" s="4" t="s">
        <v>74</v>
      </c>
      <c r="H2471" s="4" t="s">
        <v>523</v>
      </c>
      <c r="I2471" s="4"/>
      <c r="J2471" s="75">
        <f>0.829508196721311/28</f>
        <v>2.9625292740046823E-2</v>
      </c>
      <c r="K2471" s="21" t="s">
        <v>2276</v>
      </c>
      <c r="L2471" s="221" t="s">
        <v>2276</v>
      </c>
      <c r="M2471" s="221" t="s">
        <v>2276</v>
      </c>
      <c r="N2471" s="221" t="s">
        <v>2276</v>
      </c>
      <c r="O2471" s="221" t="s">
        <v>2276</v>
      </c>
      <c r="P2471" s="221" t="s">
        <v>2276</v>
      </c>
      <c r="Q2471" s="221" t="s">
        <v>2276</v>
      </c>
      <c r="R2471" s="221" t="s">
        <v>2276</v>
      </c>
      <c r="S2471" s="221" t="s">
        <v>2276</v>
      </c>
      <c r="T2471" s="221" t="s">
        <v>2276</v>
      </c>
      <c r="U2471" s="221" t="s">
        <v>2276</v>
      </c>
      <c r="V2471" s="221" t="s">
        <v>2276</v>
      </c>
      <c r="W2471" s="221" t="s">
        <v>2276</v>
      </c>
      <c r="X2471" s="221" t="s">
        <v>2276</v>
      </c>
      <c r="Y2471" s="75">
        <v>35</v>
      </c>
      <c r="Z2471" s="4" t="s">
        <v>2276</v>
      </c>
      <c r="AA2471" s="4" t="s">
        <v>2276</v>
      </c>
      <c r="AB2471" s="4" t="s">
        <v>2276</v>
      </c>
      <c r="AC2471" s="4"/>
      <c r="AD2471" s="4"/>
    </row>
    <row r="2472" spans="1:30" ht="31" customHeight="1">
      <c r="A2472" s="4" t="s">
        <v>6410</v>
      </c>
      <c r="B2472" s="4" t="s">
        <v>6557</v>
      </c>
      <c r="C2472" s="4" t="s">
        <v>24</v>
      </c>
      <c r="D2472" s="4" t="s">
        <v>1242</v>
      </c>
      <c r="E2472" s="4" t="s">
        <v>2649</v>
      </c>
      <c r="F2472" s="4" t="s">
        <v>74</v>
      </c>
      <c r="G2472" s="4" t="s">
        <v>74</v>
      </c>
      <c r="H2472" s="4" t="s">
        <v>523</v>
      </c>
      <c r="I2472" s="4"/>
      <c r="J2472" s="21" t="s">
        <v>2276</v>
      </c>
      <c r="K2472" s="21" t="s">
        <v>2276</v>
      </c>
      <c r="L2472" s="221" t="s">
        <v>2276</v>
      </c>
      <c r="M2472" s="221" t="s">
        <v>2276</v>
      </c>
      <c r="N2472" s="221" t="s">
        <v>2276</v>
      </c>
      <c r="O2472" s="221" t="s">
        <v>2276</v>
      </c>
      <c r="P2472" s="221" t="s">
        <v>2276</v>
      </c>
      <c r="Q2472" s="221" t="s">
        <v>2276</v>
      </c>
      <c r="R2472" s="221" t="s">
        <v>2276</v>
      </c>
      <c r="S2472" s="221" t="s">
        <v>2276</v>
      </c>
      <c r="T2472" s="221" t="s">
        <v>2276</v>
      </c>
      <c r="U2472" s="221" t="s">
        <v>2276</v>
      </c>
      <c r="V2472" s="221" t="s">
        <v>2276</v>
      </c>
      <c r="W2472" s="221" t="s">
        <v>2276</v>
      </c>
      <c r="X2472" s="221" t="s">
        <v>2276</v>
      </c>
      <c r="Y2472" s="221" t="s">
        <v>2276</v>
      </c>
      <c r="Z2472" s="4" t="s">
        <v>2276</v>
      </c>
      <c r="AA2472" s="4" t="s">
        <v>2276</v>
      </c>
      <c r="AB2472" s="4" t="s">
        <v>2276</v>
      </c>
      <c r="AC2472" s="4"/>
      <c r="AD2472" s="4"/>
    </row>
    <row r="2473" spans="1:30" ht="31" customHeight="1">
      <c r="A2473" s="4" t="s">
        <v>6411</v>
      </c>
      <c r="B2473" s="4" t="s">
        <v>6558</v>
      </c>
      <c r="C2473" s="4" t="s">
        <v>2658</v>
      </c>
      <c r="D2473" s="4" t="s">
        <v>2276</v>
      </c>
      <c r="E2473" s="4" t="s">
        <v>2649</v>
      </c>
      <c r="F2473" s="4" t="s">
        <v>74</v>
      </c>
      <c r="G2473" s="4" t="s">
        <v>74</v>
      </c>
      <c r="H2473" s="4" t="s">
        <v>523</v>
      </c>
      <c r="I2473" s="4"/>
      <c r="J2473" s="75">
        <f>0.559241706161137/28</f>
        <v>1.9972918077183464E-2</v>
      </c>
      <c r="K2473" s="21" t="s">
        <v>2276</v>
      </c>
      <c r="L2473" s="221" t="s">
        <v>2276</v>
      </c>
      <c r="M2473" s="221" t="s">
        <v>2276</v>
      </c>
      <c r="N2473" s="221" t="s">
        <v>2276</v>
      </c>
      <c r="O2473" s="221" t="s">
        <v>2276</v>
      </c>
      <c r="P2473" s="221" t="s">
        <v>2276</v>
      </c>
      <c r="Q2473" s="221" t="s">
        <v>2276</v>
      </c>
      <c r="R2473" s="221" t="s">
        <v>2276</v>
      </c>
      <c r="S2473" s="221" t="s">
        <v>2276</v>
      </c>
      <c r="T2473" s="221" t="s">
        <v>2276</v>
      </c>
      <c r="U2473" s="221" t="s">
        <v>2276</v>
      </c>
      <c r="V2473" s="221" t="s">
        <v>2276</v>
      </c>
      <c r="W2473" s="221" t="s">
        <v>2276</v>
      </c>
      <c r="X2473" s="221" t="s">
        <v>2276</v>
      </c>
      <c r="Y2473" s="75">
        <v>30</v>
      </c>
      <c r="Z2473" s="4" t="s">
        <v>2276</v>
      </c>
      <c r="AA2473" s="4" t="s">
        <v>2276</v>
      </c>
      <c r="AB2473" s="4" t="s">
        <v>2276</v>
      </c>
      <c r="AC2473" s="4"/>
      <c r="AD2473" s="4"/>
    </row>
    <row r="2474" spans="1:30" ht="31" customHeight="1">
      <c r="A2474" s="4" t="s">
        <v>6411</v>
      </c>
      <c r="B2474" s="4" t="s">
        <v>6559</v>
      </c>
      <c r="C2474" s="4" t="s">
        <v>24</v>
      </c>
      <c r="D2474" s="4" t="s">
        <v>1242</v>
      </c>
      <c r="E2474" s="4" t="s">
        <v>2649</v>
      </c>
      <c r="F2474" s="4" t="s">
        <v>74</v>
      </c>
      <c r="G2474" s="4" t="s">
        <v>74</v>
      </c>
      <c r="H2474" s="4" t="s">
        <v>523</v>
      </c>
      <c r="I2474" s="4"/>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1" t="s">
        <v>2276</v>
      </c>
      <c r="Y2474" s="21" t="s">
        <v>2276</v>
      </c>
      <c r="Z2474" s="4" t="s">
        <v>2276</v>
      </c>
      <c r="AA2474" s="4" t="s">
        <v>2276</v>
      </c>
      <c r="AB2474" s="4" t="s">
        <v>2276</v>
      </c>
      <c r="AC2474" s="4"/>
      <c r="AD2474" s="4"/>
    </row>
    <row r="2475" spans="1:30" ht="31" customHeight="1">
      <c r="A2475" s="4" t="s">
        <v>6412</v>
      </c>
      <c r="B2475" s="4" t="s">
        <v>6560</v>
      </c>
      <c r="C2475" s="4" t="s">
        <v>24</v>
      </c>
      <c r="D2475" s="4" t="s">
        <v>2659</v>
      </c>
      <c r="E2475" s="4" t="s">
        <v>2649</v>
      </c>
      <c r="F2475" s="4" t="s">
        <v>74</v>
      </c>
      <c r="G2475" s="4" t="s">
        <v>74</v>
      </c>
      <c r="H2475" s="4" t="s">
        <v>523</v>
      </c>
      <c r="I2475" s="4"/>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1" t="s">
        <v>2276</v>
      </c>
      <c r="Y2475" s="21" t="s">
        <v>2276</v>
      </c>
      <c r="Z2475" s="4" t="s">
        <v>2276</v>
      </c>
      <c r="AA2475" s="4" t="s">
        <v>2276</v>
      </c>
      <c r="AB2475" s="4" t="s">
        <v>2276</v>
      </c>
      <c r="AC2475" s="4"/>
      <c r="AD2475" s="4"/>
    </row>
    <row r="2476" spans="1:30" ht="31" customHeight="1">
      <c r="A2476" s="4" t="s">
        <v>6413</v>
      </c>
      <c r="B2476" s="4" t="s">
        <v>6561</v>
      </c>
      <c r="C2476" s="4" t="s">
        <v>24</v>
      </c>
      <c r="D2476" s="4" t="s">
        <v>2659</v>
      </c>
      <c r="E2476" s="4" t="s">
        <v>2649</v>
      </c>
      <c r="F2476" s="4" t="s">
        <v>74</v>
      </c>
      <c r="G2476" s="4" t="s">
        <v>74</v>
      </c>
      <c r="H2476" s="4" t="s">
        <v>523</v>
      </c>
      <c r="I2476" s="4"/>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1" t="s">
        <v>2276</v>
      </c>
      <c r="Y2476" s="21" t="s">
        <v>2276</v>
      </c>
      <c r="Z2476" s="4" t="s">
        <v>2276</v>
      </c>
      <c r="AA2476" s="4" t="s">
        <v>2276</v>
      </c>
      <c r="AB2476" s="4" t="s">
        <v>2276</v>
      </c>
      <c r="AC2476" s="4"/>
      <c r="AD2476" s="4"/>
    </row>
    <row r="2477" spans="1:30" ht="31" customHeight="1">
      <c r="A2477" s="4" t="s">
        <v>6414</v>
      </c>
      <c r="B2477" s="4" t="s">
        <v>6562</v>
      </c>
      <c r="C2477" s="4" t="s">
        <v>24</v>
      </c>
      <c r="D2477" s="4" t="s">
        <v>2659</v>
      </c>
      <c r="E2477" s="4" t="s">
        <v>2649</v>
      </c>
      <c r="F2477" s="4" t="s">
        <v>74</v>
      </c>
      <c r="G2477" s="4" t="s">
        <v>74</v>
      </c>
      <c r="H2477" s="4" t="s">
        <v>523</v>
      </c>
      <c r="I2477" s="4"/>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4" t="s">
        <v>2276</v>
      </c>
      <c r="AA2477" s="4" t="s">
        <v>2276</v>
      </c>
      <c r="AB2477" s="4" t="s">
        <v>2276</v>
      </c>
      <c r="AC2477" s="4"/>
      <c r="AD2477" s="4"/>
    </row>
    <row r="2478" spans="1:30" s="203" customFormat="1" ht="31" customHeight="1">
      <c r="A2478" s="4" t="s">
        <v>6414</v>
      </c>
      <c r="B2478" s="4" t="s">
        <v>6600</v>
      </c>
      <c r="C2478" s="4" t="s">
        <v>24</v>
      </c>
      <c r="D2478" s="4" t="s">
        <v>1242</v>
      </c>
      <c r="E2478" s="4" t="s">
        <v>2649</v>
      </c>
      <c r="F2478" s="4" t="s">
        <v>74</v>
      </c>
      <c r="G2478" s="4" t="s">
        <v>74</v>
      </c>
      <c r="H2478" s="4" t="s">
        <v>523</v>
      </c>
      <c r="I2478" s="4"/>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1" t="s">
        <v>2276</v>
      </c>
      <c r="AB2478" s="21" t="s">
        <v>2276</v>
      </c>
      <c r="AC2478" s="4"/>
      <c r="AD2478" s="4"/>
    </row>
    <row r="2479" spans="1:30" ht="31" customHeight="1">
      <c r="A2479" s="4" t="s">
        <v>6415</v>
      </c>
      <c r="B2479" s="4" t="s">
        <v>6563</v>
      </c>
      <c r="C2479" s="4" t="s">
        <v>24</v>
      </c>
      <c r="D2479" s="4" t="s">
        <v>2659</v>
      </c>
      <c r="E2479" s="4" t="s">
        <v>2649</v>
      </c>
      <c r="F2479" s="4" t="s">
        <v>74</v>
      </c>
      <c r="G2479" s="4" t="s">
        <v>74</v>
      </c>
      <c r="H2479" s="4" t="s">
        <v>523</v>
      </c>
      <c r="I2479" s="4"/>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1" t="s">
        <v>2276</v>
      </c>
      <c r="AB2479" s="21" t="s">
        <v>2276</v>
      </c>
      <c r="AC2479" s="4"/>
      <c r="AD2479" s="4"/>
    </row>
    <row r="2480" spans="1:30" s="203" customFormat="1" ht="31" customHeight="1">
      <c r="A2480" s="4" t="s">
        <v>6415</v>
      </c>
      <c r="B2480" s="4" t="s">
        <v>6603</v>
      </c>
      <c r="C2480" s="4" t="s">
        <v>24</v>
      </c>
      <c r="D2480" s="4" t="s">
        <v>1242</v>
      </c>
      <c r="E2480" s="4" t="s">
        <v>2649</v>
      </c>
      <c r="F2480" s="4" t="s">
        <v>74</v>
      </c>
      <c r="G2480" s="4" t="s">
        <v>74</v>
      </c>
      <c r="H2480" s="4" t="s">
        <v>523</v>
      </c>
      <c r="I2480" s="4"/>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1" t="s">
        <v>2276</v>
      </c>
      <c r="AB2480" s="21" t="s">
        <v>2276</v>
      </c>
      <c r="AC2480" s="4"/>
      <c r="AD2480" s="4"/>
    </row>
    <row r="2481" spans="1:30" ht="31" customHeight="1">
      <c r="A2481" s="4" t="s">
        <v>6416</v>
      </c>
      <c r="B2481" s="4" t="s">
        <v>6564</v>
      </c>
      <c r="C2481" s="4" t="s">
        <v>24</v>
      </c>
      <c r="D2481" s="4" t="s">
        <v>2659</v>
      </c>
      <c r="E2481" s="4" t="s">
        <v>2649</v>
      </c>
      <c r="F2481" s="4" t="s">
        <v>74</v>
      </c>
      <c r="G2481" s="4" t="s">
        <v>74</v>
      </c>
      <c r="H2481" s="4" t="s">
        <v>523</v>
      </c>
      <c r="I2481" s="4"/>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1" t="s">
        <v>2276</v>
      </c>
      <c r="AB2481" s="21" t="s">
        <v>2276</v>
      </c>
      <c r="AC2481" s="4"/>
      <c r="AD2481" s="4"/>
    </row>
    <row r="2482" spans="1:30" ht="31" customHeight="1">
      <c r="A2482" s="4" t="s">
        <v>6417</v>
      </c>
      <c r="B2482" s="4" t="s">
        <v>6565</v>
      </c>
      <c r="C2482" s="4" t="s">
        <v>24</v>
      </c>
      <c r="D2482" s="4" t="s">
        <v>2659</v>
      </c>
      <c r="E2482" s="4" t="s">
        <v>2649</v>
      </c>
      <c r="F2482" s="4" t="s">
        <v>74</v>
      </c>
      <c r="G2482" s="4" t="s">
        <v>74</v>
      </c>
      <c r="H2482" s="4" t="s">
        <v>523</v>
      </c>
      <c r="I2482" s="4"/>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1" t="s">
        <v>2276</v>
      </c>
      <c r="AB2482" s="21" t="s">
        <v>2276</v>
      </c>
      <c r="AC2482" s="4"/>
      <c r="AD2482" s="4"/>
    </row>
    <row r="2483" spans="1:30" ht="31" customHeight="1">
      <c r="A2483" s="4" t="s">
        <v>6566</v>
      </c>
      <c r="B2483" s="4" t="s">
        <v>6567</v>
      </c>
      <c r="C2483" s="4" t="s">
        <v>24</v>
      </c>
      <c r="D2483" s="4" t="s">
        <v>2659</v>
      </c>
      <c r="E2483" s="4" t="s">
        <v>2649</v>
      </c>
      <c r="F2483" s="4" t="s">
        <v>74</v>
      </c>
      <c r="G2483" s="4" t="s">
        <v>74</v>
      </c>
      <c r="H2483" s="4" t="s">
        <v>523</v>
      </c>
      <c r="I2483" s="4"/>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1" t="s">
        <v>2276</v>
      </c>
      <c r="AB2483" s="21" t="s">
        <v>2276</v>
      </c>
      <c r="AC2483" s="4"/>
      <c r="AD2483" s="4"/>
    </row>
    <row r="2484" spans="1:30" s="203" customFormat="1" ht="31" customHeight="1">
      <c r="A2484" s="4" t="s">
        <v>6566</v>
      </c>
      <c r="B2484" s="4" t="s">
        <v>6608</v>
      </c>
      <c r="C2484" s="4" t="s">
        <v>24</v>
      </c>
      <c r="D2484" s="4" t="s">
        <v>1242</v>
      </c>
      <c r="E2484" s="4" t="s">
        <v>2649</v>
      </c>
      <c r="F2484" s="4" t="s">
        <v>74</v>
      </c>
      <c r="G2484" s="4" t="s">
        <v>74</v>
      </c>
      <c r="H2484" s="4" t="s">
        <v>523</v>
      </c>
      <c r="I2484" s="4"/>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1" t="s">
        <v>2276</v>
      </c>
      <c r="AB2484" s="21" t="s">
        <v>2276</v>
      </c>
      <c r="AC2484" s="4"/>
      <c r="AD2484" s="4"/>
    </row>
    <row r="2485" spans="1:30" ht="31" customHeight="1">
      <c r="A2485" s="4" t="s">
        <v>6419</v>
      </c>
      <c r="B2485" s="4" t="s">
        <v>6568</v>
      </c>
      <c r="C2485" s="4" t="s">
        <v>24</v>
      </c>
      <c r="D2485" s="4" t="s">
        <v>2659</v>
      </c>
      <c r="E2485" s="4" t="s">
        <v>2649</v>
      </c>
      <c r="F2485" s="4" t="s">
        <v>74</v>
      </c>
      <c r="G2485" s="4" t="s">
        <v>74</v>
      </c>
      <c r="H2485" s="4" t="s">
        <v>523</v>
      </c>
      <c r="I2485" s="4"/>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1" t="s">
        <v>2276</v>
      </c>
      <c r="AB2485" s="21" t="s">
        <v>2276</v>
      </c>
      <c r="AC2485" s="4"/>
      <c r="AD2485" s="4"/>
    </row>
    <row r="2486" spans="1:30" ht="31" customHeight="1">
      <c r="A2486" s="4" t="s">
        <v>6420</v>
      </c>
      <c r="B2486" s="4" t="s">
        <v>6569</v>
      </c>
      <c r="C2486" s="4" t="s">
        <v>24</v>
      </c>
      <c r="D2486" s="4" t="s">
        <v>2659</v>
      </c>
      <c r="E2486" s="4" t="s">
        <v>2649</v>
      </c>
      <c r="F2486" s="4" t="s">
        <v>74</v>
      </c>
      <c r="G2486" s="4" t="s">
        <v>74</v>
      </c>
      <c r="H2486" s="4" t="s">
        <v>523</v>
      </c>
      <c r="I2486" s="4"/>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1" t="s">
        <v>2276</v>
      </c>
      <c r="AB2486" s="21" t="s">
        <v>2276</v>
      </c>
      <c r="AC2486" s="4"/>
      <c r="AD2486" s="4"/>
    </row>
    <row r="2487" spans="1:30" ht="31" customHeight="1">
      <c r="A2487" s="4" t="s">
        <v>6421</v>
      </c>
      <c r="B2487" s="4" t="s">
        <v>6570</v>
      </c>
      <c r="C2487" s="4" t="s">
        <v>24</v>
      </c>
      <c r="D2487" s="4" t="s">
        <v>2659</v>
      </c>
      <c r="E2487" s="4" t="s">
        <v>2649</v>
      </c>
      <c r="F2487" s="4" t="s">
        <v>74</v>
      </c>
      <c r="G2487" s="4" t="s">
        <v>74</v>
      </c>
      <c r="H2487" s="4" t="s">
        <v>523</v>
      </c>
      <c r="I2487" s="4"/>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1" t="s">
        <v>2276</v>
      </c>
      <c r="AB2487" s="21" t="s">
        <v>2276</v>
      </c>
      <c r="AC2487" s="4"/>
      <c r="AD2487" s="4"/>
    </row>
    <row r="2488" spans="1:30" s="203" customFormat="1" ht="31" customHeight="1">
      <c r="A2488" s="4" t="s">
        <v>6421</v>
      </c>
      <c r="B2488" s="4" t="s">
        <v>6612</v>
      </c>
      <c r="C2488" s="4" t="s">
        <v>24</v>
      </c>
      <c r="D2488" s="4" t="s">
        <v>1242</v>
      </c>
      <c r="E2488" s="4" t="s">
        <v>2649</v>
      </c>
      <c r="F2488" s="4" t="s">
        <v>74</v>
      </c>
      <c r="G2488" s="4" t="s">
        <v>74</v>
      </c>
      <c r="H2488" s="4" t="s">
        <v>523</v>
      </c>
      <c r="I2488" s="4"/>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1" t="s">
        <v>2276</v>
      </c>
      <c r="AB2488" s="21" t="s">
        <v>2276</v>
      </c>
      <c r="AC2488" s="4"/>
      <c r="AD2488" s="4"/>
    </row>
    <row r="2489" spans="1:30" ht="31" customHeight="1">
      <c r="A2489" s="4" t="s">
        <v>6422</v>
      </c>
      <c r="B2489" s="4" t="s">
        <v>6571</v>
      </c>
      <c r="C2489" s="4" t="s">
        <v>24</v>
      </c>
      <c r="D2489" s="4" t="s">
        <v>2659</v>
      </c>
      <c r="E2489" s="4" t="s">
        <v>2649</v>
      </c>
      <c r="F2489" s="4" t="s">
        <v>74</v>
      </c>
      <c r="G2489" s="4" t="s">
        <v>74</v>
      </c>
      <c r="H2489" s="4" t="s">
        <v>523</v>
      </c>
      <c r="I2489" s="4"/>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1" t="s">
        <v>2276</v>
      </c>
      <c r="AB2489" s="21" t="s">
        <v>2276</v>
      </c>
      <c r="AC2489" s="4"/>
      <c r="AD2489" s="4"/>
    </row>
    <row r="2490" spans="1:30" s="203" customFormat="1" ht="31" customHeight="1">
      <c r="A2490" s="4" t="s">
        <v>6422</v>
      </c>
      <c r="B2490" s="4" t="s">
        <v>6614</v>
      </c>
      <c r="C2490" s="4" t="s">
        <v>24</v>
      </c>
      <c r="D2490" s="4" t="s">
        <v>1242</v>
      </c>
      <c r="E2490" s="4" t="s">
        <v>2649</v>
      </c>
      <c r="F2490" s="4" t="s">
        <v>74</v>
      </c>
      <c r="G2490" s="4" t="s">
        <v>74</v>
      </c>
      <c r="H2490" s="4" t="s">
        <v>523</v>
      </c>
      <c r="I2490" s="4"/>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1" t="s">
        <v>2276</v>
      </c>
      <c r="AB2490" s="21" t="s">
        <v>2276</v>
      </c>
      <c r="AC2490" s="4"/>
      <c r="AD2490" s="4"/>
    </row>
    <row r="2491" spans="1:30" ht="38" customHeight="1">
      <c r="A2491" s="4" t="s">
        <v>6423</v>
      </c>
      <c r="B2491" s="4" t="s">
        <v>6572</v>
      </c>
      <c r="C2491" s="4" t="s">
        <v>2458</v>
      </c>
      <c r="D2491" s="4" t="s">
        <v>2276</v>
      </c>
      <c r="E2491" s="4" t="s">
        <v>2652</v>
      </c>
      <c r="F2491" s="4" t="s">
        <v>74</v>
      </c>
      <c r="G2491" s="4" t="s">
        <v>74</v>
      </c>
      <c r="H2491" s="4" t="s">
        <v>523</v>
      </c>
      <c r="I2491" s="4"/>
      <c r="J2491" s="221">
        <v>1.1627906976744187E-5</v>
      </c>
      <c r="K2491" s="21" t="s">
        <v>2276</v>
      </c>
      <c r="L2491" s="21" t="s">
        <v>2276</v>
      </c>
      <c r="M2491" s="21" t="s">
        <v>2276</v>
      </c>
      <c r="N2491" s="21" t="s">
        <v>2276</v>
      </c>
      <c r="O2491" s="21" t="s">
        <v>2276</v>
      </c>
      <c r="P2491" s="75">
        <f>T2491/(23/16)</f>
        <v>2268.4310018903593</v>
      </c>
      <c r="Q2491" s="21" t="s">
        <v>2276</v>
      </c>
      <c r="R2491" s="21" t="s">
        <v>2276</v>
      </c>
      <c r="S2491" s="21" t="s">
        <v>2276</v>
      </c>
      <c r="T2491" s="75">
        <f>150000/46</f>
        <v>3260.8695652173915</v>
      </c>
      <c r="U2491" s="21" t="s">
        <v>2276</v>
      </c>
      <c r="V2491" s="21" t="s">
        <v>2276</v>
      </c>
      <c r="W2491" s="21" t="s">
        <v>2276</v>
      </c>
      <c r="X2491" s="75">
        <f>T2491/'Record info'!K$1053</f>
        <v>7.583417593528817E-2</v>
      </c>
      <c r="Y2491" s="21" t="s">
        <v>2276</v>
      </c>
      <c r="Z2491" s="4" t="s">
        <v>189</v>
      </c>
      <c r="AA2491" s="4" t="s">
        <v>68</v>
      </c>
      <c r="AB2491" s="4" t="s">
        <v>2276</v>
      </c>
      <c r="AC2491" s="4" t="s">
        <v>6541</v>
      </c>
      <c r="AD2491" s="4" t="s">
        <v>6542</v>
      </c>
    </row>
    <row r="2492" spans="1:30" ht="38" customHeight="1">
      <c r="A2492" s="4" t="s">
        <v>6423</v>
      </c>
      <c r="B2492" s="4" t="s">
        <v>6573</v>
      </c>
      <c r="C2492" s="4" t="s">
        <v>2656</v>
      </c>
      <c r="D2492" s="4" t="s">
        <v>2276</v>
      </c>
      <c r="E2492" s="4" t="s">
        <v>137</v>
      </c>
      <c r="F2492" s="4" t="s">
        <v>74</v>
      </c>
      <c r="G2492" s="4" t="s">
        <v>74</v>
      </c>
      <c r="H2492" s="4" t="s">
        <v>523</v>
      </c>
      <c r="I2492" s="4"/>
      <c r="J2492" s="221">
        <v>2.6188068756319516E-4</v>
      </c>
      <c r="K2492" s="21" t="s">
        <v>2276</v>
      </c>
      <c r="L2492" s="21" t="s">
        <v>2276</v>
      </c>
      <c r="M2492" s="21" t="s">
        <v>2276</v>
      </c>
      <c r="N2492" s="21" t="s">
        <v>2276</v>
      </c>
      <c r="O2492" s="21" t="s">
        <v>2276</v>
      </c>
      <c r="P2492" s="75">
        <f>T2492/(518/16)</f>
        <v>2283.0283699848915</v>
      </c>
      <c r="Q2492" s="21" t="s">
        <v>2276</v>
      </c>
      <c r="R2492" s="21" t="s">
        <v>2276</v>
      </c>
      <c r="S2492" s="21" t="s">
        <v>2276</v>
      </c>
      <c r="T2492" s="75">
        <f>3400000/46</f>
        <v>73913.043478260865</v>
      </c>
      <c r="U2492" s="21" t="s">
        <v>2276</v>
      </c>
      <c r="V2492" s="21" t="s">
        <v>2276</v>
      </c>
      <c r="W2492" s="21" t="s">
        <v>2276</v>
      </c>
      <c r="X2492" s="75">
        <f>T2492/'Record info'!K$1053</f>
        <v>1.7189079878665317</v>
      </c>
      <c r="Y2492" s="21" t="s">
        <v>2276</v>
      </c>
      <c r="Z2492" s="4" t="s">
        <v>189</v>
      </c>
      <c r="AA2492" s="4" t="s">
        <v>68</v>
      </c>
      <c r="AB2492" s="4" t="s">
        <v>2276</v>
      </c>
      <c r="AC2492" s="4" t="s">
        <v>6541</v>
      </c>
      <c r="AD2492" s="4" t="s">
        <v>6542</v>
      </c>
    </row>
    <row r="2493" spans="1:30" s="203" customFormat="1" ht="49" customHeight="1">
      <c r="A2493" s="4" t="s">
        <v>6423</v>
      </c>
      <c r="B2493" s="4" t="s">
        <v>7856</v>
      </c>
      <c r="C2493" s="4" t="s">
        <v>1105</v>
      </c>
      <c r="D2493" s="4" t="s">
        <v>2276</v>
      </c>
      <c r="E2493" s="4" t="s">
        <v>1105</v>
      </c>
      <c r="F2493" s="4" t="s">
        <v>74</v>
      </c>
      <c r="G2493" s="4" t="s">
        <v>74</v>
      </c>
      <c r="H2493" s="4" t="s">
        <v>523</v>
      </c>
      <c r="I2493" s="4"/>
      <c r="J2493" s="204" t="s">
        <v>2276</v>
      </c>
      <c r="K2493" s="204" t="s">
        <v>2276</v>
      </c>
      <c r="L2493" s="204" t="s">
        <v>2276</v>
      </c>
      <c r="M2493" s="204" t="s">
        <v>2276</v>
      </c>
      <c r="N2493" s="204" t="s">
        <v>2276</v>
      </c>
      <c r="O2493" s="204" t="s">
        <v>2276</v>
      </c>
      <c r="P2493" s="204" t="s">
        <v>2276</v>
      </c>
      <c r="Q2493" s="204" t="s">
        <v>2276</v>
      </c>
      <c r="R2493" s="204" t="s">
        <v>2276</v>
      </c>
      <c r="S2493" s="204" t="s">
        <v>2276</v>
      </c>
      <c r="T2493" s="204" t="s">
        <v>2276</v>
      </c>
      <c r="U2493" s="204" t="s">
        <v>2276</v>
      </c>
      <c r="V2493" s="204" t="s">
        <v>2276</v>
      </c>
      <c r="W2493" s="204" t="s">
        <v>2276</v>
      </c>
      <c r="X2493" s="204" t="s">
        <v>2276</v>
      </c>
      <c r="Y2493" s="204" t="s">
        <v>2276</v>
      </c>
      <c r="Z2493" s="4" t="s">
        <v>189</v>
      </c>
      <c r="AA2493" s="4" t="s">
        <v>68</v>
      </c>
      <c r="AB2493" s="4" t="s">
        <v>2276</v>
      </c>
      <c r="AC2493" s="4" t="s">
        <v>7859</v>
      </c>
      <c r="AD2493" s="4" t="s">
        <v>7858</v>
      </c>
    </row>
    <row r="2494" spans="1:30" ht="38" customHeight="1">
      <c r="A2494" s="4" t="s">
        <v>6424</v>
      </c>
      <c r="B2494" s="4" t="s">
        <v>6616</v>
      </c>
      <c r="C2494" s="4" t="s">
        <v>2458</v>
      </c>
      <c r="D2494" s="4" t="s">
        <v>2276</v>
      </c>
      <c r="E2494" s="4" t="s">
        <v>2649</v>
      </c>
      <c r="F2494" s="4" t="s">
        <v>74</v>
      </c>
      <c r="G2494" s="4" t="s">
        <v>74</v>
      </c>
      <c r="H2494" s="4" t="s">
        <v>523</v>
      </c>
      <c r="I2494" s="4"/>
      <c r="J2494" s="221">
        <v>1.4639515685195377E-4</v>
      </c>
      <c r="K2494" s="204" t="s">
        <v>2276</v>
      </c>
      <c r="L2494" s="204" t="s">
        <v>2276</v>
      </c>
      <c r="M2494" s="204" t="s">
        <v>2276</v>
      </c>
      <c r="N2494" s="204" t="s">
        <v>2276</v>
      </c>
      <c r="O2494" s="204" t="s">
        <v>2276</v>
      </c>
      <c r="P2494" s="75">
        <f>T2494/(532/46)</f>
        <v>4191.729323308271</v>
      </c>
      <c r="Q2494" s="204" t="s">
        <v>2276</v>
      </c>
      <c r="R2494" s="204" t="s">
        <v>2276</v>
      </c>
      <c r="S2494" s="204" t="s">
        <v>2276</v>
      </c>
      <c r="T2494" s="75">
        <f>2230000/46</f>
        <v>48478.260869565216</v>
      </c>
      <c r="U2494" s="204" t="s">
        <v>2276</v>
      </c>
      <c r="V2494" s="204" t="s">
        <v>2276</v>
      </c>
      <c r="W2494" s="204" t="s">
        <v>2276</v>
      </c>
      <c r="X2494" s="75">
        <f>T2494/'Record info'!K$1054</f>
        <v>0.61364887176664829</v>
      </c>
      <c r="Y2494" s="204" t="s">
        <v>2276</v>
      </c>
      <c r="Z2494" s="4" t="s">
        <v>189</v>
      </c>
      <c r="AA2494" s="4" t="s">
        <v>68</v>
      </c>
      <c r="AB2494" s="4" t="s">
        <v>2276</v>
      </c>
      <c r="AC2494" s="4" t="s">
        <v>6541</v>
      </c>
      <c r="AD2494" s="4" t="s">
        <v>6542</v>
      </c>
    </row>
    <row r="2495" spans="1:30" ht="38" customHeight="1">
      <c r="A2495" s="4" t="s">
        <v>6424</v>
      </c>
      <c r="B2495" s="4" t="s">
        <v>6617</v>
      </c>
      <c r="C2495" s="4" t="s">
        <v>2656</v>
      </c>
      <c r="D2495" s="4" t="s">
        <v>2276</v>
      </c>
      <c r="E2495" s="4" t="s">
        <v>2649</v>
      </c>
      <c r="F2495" s="4" t="s">
        <v>74</v>
      </c>
      <c r="G2495" s="4" t="s">
        <v>74</v>
      </c>
      <c r="H2495" s="4" t="s">
        <v>523</v>
      </c>
      <c r="I2495" s="4"/>
      <c r="J2495" s="221">
        <v>1.6895982388552558E-4</v>
      </c>
      <c r="K2495" s="204" t="s">
        <v>2276</v>
      </c>
      <c r="L2495" s="204" t="s">
        <v>2276</v>
      </c>
      <c r="M2495" s="204" t="s">
        <v>2276</v>
      </c>
      <c r="N2495" s="204" t="s">
        <v>2276</v>
      </c>
      <c r="O2495" s="204" t="s">
        <v>2276</v>
      </c>
      <c r="P2495" s="75">
        <f>T2495/(614/46)</f>
        <v>3257.328990228013</v>
      </c>
      <c r="Q2495" s="204" t="s">
        <v>2276</v>
      </c>
      <c r="R2495" s="204" t="s">
        <v>2276</v>
      </c>
      <c r="S2495" s="204" t="s">
        <v>2276</v>
      </c>
      <c r="T2495" s="75">
        <f>2000000/46</f>
        <v>43478.260869565216</v>
      </c>
      <c r="U2495" s="204" t="s">
        <v>2276</v>
      </c>
      <c r="V2495" s="204" t="s">
        <v>2276</v>
      </c>
      <c r="W2495" s="204" t="s">
        <v>2276</v>
      </c>
      <c r="X2495" s="75">
        <f>T2495/'Record info'!K$1054</f>
        <v>0.55035773252614195</v>
      </c>
      <c r="Y2495" s="204" t="s">
        <v>2276</v>
      </c>
      <c r="Z2495" s="4" t="s">
        <v>189</v>
      </c>
      <c r="AA2495" s="4" t="s">
        <v>68</v>
      </c>
      <c r="AB2495" s="4" t="s">
        <v>2276</v>
      </c>
      <c r="AC2495" s="4" t="s">
        <v>6541</v>
      </c>
      <c r="AD2495" s="4" t="s">
        <v>6542</v>
      </c>
    </row>
    <row r="2496" spans="1:30" s="203" customFormat="1" ht="44.5" customHeight="1">
      <c r="A2496" s="4" t="s">
        <v>6424</v>
      </c>
      <c r="B2496" s="4" t="s">
        <v>7857</v>
      </c>
      <c r="C2496" s="4" t="s">
        <v>1105</v>
      </c>
      <c r="D2496" s="4" t="s">
        <v>2276</v>
      </c>
      <c r="E2496" s="4" t="s">
        <v>1105</v>
      </c>
      <c r="F2496" s="4" t="s">
        <v>74</v>
      </c>
      <c r="G2496" s="4" t="s">
        <v>74</v>
      </c>
      <c r="H2496" s="4" t="s">
        <v>523</v>
      </c>
      <c r="I2496" s="204"/>
      <c r="J2496" s="204" t="s">
        <v>2276</v>
      </c>
      <c r="K2496" s="204" t="s">
        <v>2276</v>
      </c>
      <c r="L2496" s="204" t="s">
        <v>2276</v>
      </c>
      <c r="M2496" s="204" t="s">
        <v>2276</v>
      </c>
      <c r="N2496" s="204" t="s">
        <v>2276</v>
      </c>
      <c r="O2496" s="204" t="s">
        <v>2276</v>
      </c>
      <c r="P2496" s="204" t="s">
        <v>2276</v>
      </c>
      <c r="Q2496" s="204" t="s">
        <v>2276</v>
      </c>
      <c r="R2496" s="204" t="s">
        <v>2276</v>
      </c>
      <c r="S2496" s="204" t="s">
        <v>2276</v>
      </c>
      <c r="T2496" s="204" t="s">
        <v>2276</v>
      </c>
      <c r="U2496" s="204" t="s">
        <v>2276</v>
      </c>
      <c r="V2496" s="204" t="s">
        <v>2276</v>
      </c>
      <c r="W2496" s="204" t="s">
        <v>2276</v>
      </c>
      <c r="X2496" s="204" t="s">
        <v>2276</v>
      </c>
      <c r="Y2496" s="204" t="s">
        <v>2276</v>
      </c>
      <c r="Z2496" s="4" t="s">
        <v>189</v>
      </c>
      <c r="AA2496" s="4" t="s">
        <v>68</v>
      </c>
      <c r="AB2496" s="4" t="s">
        <v>2276</v>
      </c>
      <c r="AC2496" s="4" t="s">
        <v>7859</v>
      </c>
      <c r="AD2496" s="4" t="s">
        <v>7858</v>
      </c>
    </row>
    <row r="2497" spans="1:30" ht="34" customHeight="1">
      <c r="A2497" s="4" t="s">
        <v>6425</v>
      </c>
      <c r="B2497" s="4" t="s">
        <v>6574</v>
      </c>
      <c r="C2497" s="4" t="s">
        <v>1105</v>
      </c>
      <c r="D2497" s="4" t="s">
        <v>2276</v>
      </c>
      <c r="E2497" s="4" t="s">
        <v>2649</v>
      </c>
      <c r="F2497" s="4" t="s">
        <v>74</v>
      </c>
      <c r="G2497" s="4" t="s">
        <v>74</v>
      </c>
      <c r="H2497" s="4" t="s">
        <v>523</v>
      </c>
      <c r="I2497" s="4">
        <v>1989</v>
      </c>
      <c r="J2497" s="204" t="s">
        <v>2276</v>
      </c>
      <c r="K2497" s="204" t="s">
        <v>2276</v>
      </c>
      <c r="L2497" s="204" t="s">
        <v>2276</v>
      </c>
      <c r="M2497" s="204" t="s">
        <v>2276</v>
      </c>
      <c r="N2497" s="204" t="s">
        <v>2276</v>
      </c>
      <c r="O2497" s="204" t="s">
        <v>2276</v>
      </c>
      <c r="P2497" s="204" t="s">
        <v>2276</v>
      </c>
      <c r="Q2497" s="204" t="s">
        <v>2276</v>
      </c>
      <c r="R2497" s="204" t="s">
        <v>2276</v>
      </c>
      <c r="S2497" s="204" t="s">
        <v>2276</v>
      </c>
      <c r="T2497" s="75">
        <v>92285</v>
      </c>
      <c r="U2497" s="204" t="s">
        <v>2276</v>
      </c>
      <c r="V2497" s="204" t="s">
        <v>2276</v>
      </c>
      <c r="W2497" s="204" t="s">
        <v>2276</v>
      </c>
      <c r="X2497" s="75">
        <v>14.448880538594018</v>
      </c>
      <c r="Y2497" s="204" t="s">
        <v>2276</v>
      </c>
      <c r="Z2497" s="4" t="s">
        <v>2276</v>
      </c>
      <c r="AA2497" s="4" t="s">
        <v>2276</v>
      </c>
      <c r="AB2497" s="4" t="s">
        <v>2276</v>
      </c>
      <c r="AC2497" s="4"/>
      <c r="AD2497" s="4"/>
    </row>
    <row r="2498" spans="1:30" ht="34" customHeight="1">
      <c r="A2498" s="4" t="s">
        <v>6425</v>
      </c>
      <c r="B2498" s="4" t="s">
        <v>6575</v>
      </c>
      <c r="C2498" s="4" t="s">
        <v>1105</v>
      </c>
      <c r="D2498" s="4" t="s">
        <v>2276</v>
      </c>
      <c r="E2498" s="4" t="s">
        <v>2649</v>
      </c>
      <c r="F2498" s="4" t="s">
        <v>74</v>
      </c>
      <c r="G2498" s="4" t="s">
        <v>74</v>
      </c>
      <c r="H2498" s="4" t="s">
        <v>523</v>
      </c>
      <c r="I2498" s="4">
        <v>1990</v>
      </c>
      <c r="J2498" s="204" t="s">
        <v>2276</v>
      </c>
      <c r="K2498" s="204" t="s">
        <v>2276</v>
      </c>
      <c r="L2498" s="204" t="s">
        <v>2276</v>
      </c>
      <c r="M2498" s="204" t="s">
        <v>2276</v>
      </c>
      <c r="N2498" s="204" t="s">
        <v>2276</v>
      </c>
      <c r="O2498" s="204" t="s">
        <v>2276</v>
      </c>
      <c r="P2498" s="204" t="s">
        <v>2276</v>
      </c>
      <c r="Q2498" s="204" t="s">
        <v>2276</v>
      </c>
      <c r="R2498" s="204" t="s">
        <v>2276</v>
      </c>
      <c r="S2498" s="204" t="s">
        <v>2276</v>
      </c>
      <c r="T2498" s="75">
        <v>51141</v>
      </c>
      <c r="U2498" s="204" t="s">
        <v>2276</v>
      </c>
      <c r="V2498" s="204" t="s">
        <v>2276</v>
      </c>
      <c r="W2498" s="204" t="s">
        <v>2276</v>
      </c>
      <c r="X2498" s="75">
        <v>8.0070455612963833</v>
      </c>
      <c r="Y2498" s="204" t="s">
        <v>2276</v>
      </c>
      <c r="Z2498" s="4" t="s">
        <v>2276</v>
      </c>
      <c r="AA2498" s="4" t="s">
        <v>2276</v>
      </c>
      <c r="AB2498" s="4" t="s">
        <v>2276</v>
      </c>
      <c r="AC2498" s="4"/>
      <c r="AD2498" s="4"/>
    </row>
    <row r="2499" spans="1:30" ht="34" customHeight="1">
      <c r="A2499" s="4" t="s">
        <v>6425</v>
      </c>
      <c r="B2499" s="4" t="s">
        <v>6576</v>
      </c>
      <c r="C2499" s="4" t="s">
        <v>1105</v>
      </c>
      <c r="D2499" s="4" t="s">
        <v>2276</v>
      </c>
      <c r="E2499" s="4" t="s">
        <v>2649</v>
      </c>
      <c r="F2499" s="4" t="s">
        <v>74</v>
      </c>
      <c r="G2499" s="4" t="s">
        <v>74</v>
      </c>
      <c r="H2499" s="4" t="s">
        <v>523</v>
      </c>
      <c r="I2499" s="4">
        <v>1991</v>
      </c>
      <c r="J2499" s="204" t="s">
        <v>2276</v>
      </c>
      <c r="K2499" s="204" t="s">
        <v>2276</v>
      </c>
      <c r="L2499" s="204" t="s">
        <v>2276</v>
      </c>
      <c r="M2499" s="204" t="s">
        <v>2276</v>
      </c>
      <c r="N2499" s="204" t="s">
        <v>2276</v>
      </c>
      <c r="O2499" s="204" t="s">
        <v>2276</v>
      </c>
      <c r="P2499" s="204" t="s">
        <v>2276</v>
      </c>
      <c r="Q2499" s="204" t="s">
        <v>2276</v>
      </c>
      <c r="R2499" s="204" t="s">
        <v>2276</v>
      </c>
      <c r="S2499" s="204" t="s">
        <v>2276</v>
      </c>
      <c r="T2499" s="75">
        <v>42741</v>
      </c>
      <c r="U2499" s="204" t="s">
        <v>2276</v>
      </c>
      <c r="V2499" s="204" t="s">
        <v>2276</v>
      </c>
      <c r="W2499" s="204" t="s">
        <v>2276</v>
      </c>
      <c r="X2499" s="75">
        <v>6.6918741193048383</v>
      </c>
      <c r="Y2499" s="204" t="s">
        <v>2276</v>
      </c>
      <c r="Z2499" s="4" t="s">
        <v>2276</v>
      </c>
      <c r="AA2499" s="4" t="s">
        <v>2276</v>
      </c>
      <c r="AB2499" s="4" t="s">
        <v>2276</v>
      </c>
      <c r="AC2499" s="4"/>
      <c r="AD2499" s="4"/>
    </row>
    <row r="2500" spans="1:30" ht="34" customHeight="1">
      <c r="A2500" s="4" t="s">
        <v>6426</v>
      </c>
      <c r="B2500" s="4" t="s">
        <v>6577</v>
      </c>
      <c r="C2500" s="4" t="s">
        <v>24</v>
      </c>
      <c r="D2500" s="4" t="s">
        <v>1242</v>
      </c>
      <c r="E2500" s="4" t="s">
        <v>2649</v>
      </c>
      <c r="F2500" s="4" t="s">
        <v>74</v>
      </c>
      <c r="G2500" s="4" t="s">
        <v>74</v>
      </c>
      <c r="H2500" s="4" t="s">
        <v>523</v>
      </c>
      <c r="I2500" s="4"/>
      <c r="J2500" s="75">
        <f>T2500/P2500/'Record info'!K1056</f>
        <v>1.4983277591973246E-2</v>
      </c>
      <c r="K2500" s="204" t="s">
        <v>2276</v>
      </c>
      <c r="L2500" s="75">
        <v>0.2</v>
      </c>
      <c r="M2500" s="204" t="s">
        <v>2276</v>
      </c>
      <c r="N2500" s="75">
        <v>152</v>
      </c>
      <c r="O2500" s="204" t="s">
        <v>2276</v>
      </c>
      <c r="P2500" s="75">
        <v>25</v>
      </c>
      <c r="Q2500" s="204" t="s">
        <v>2276</v>
      </c>
      <c r="R2500" s="204" t="s">
        <v>2276</v>
      </c>
      <c r="S2500" s="204" t="s">
        <v>2276</v>
      </c>
      <c r="T2500" s="75">
        <f>11200/50</f>
        <v>224</v>
      </c>
      <c r="U2500" s="204" t="s">
        <v>2276</v>
      </c>
      <c r="V2500" s="204" t="s">
        <v>2276</v>
      </c>
      <c r="W2500" s="204" t="s">
        <v>2276</v>
      </c>
      <c r="X2500" s="75">
        <f>18.7/50</f>
        <v>0.374</v>
      </c>
      <c r="Y2500" s="204" t="s">
        <v>2276</v>
      </c>
      <c r="Z2500" s="4" t="s">
        <v>34</v>
      </c>
      <c r="AA2500" s="4" t="s">
        <v>405</v>
      </c>
      <c r="AB2500" s="4" t="s">
        <v>64</v>
      </c>
      <c r="AC2500" s="4"/>
      <c r="AD2500" s="4" t="s">
        <v>6543</v>
      </c>
    </row>
    <row r="2501" spans="1:30" ht="34" customHeight="1">
      <c r="A2501" s="4" t="s">
        <v>6427</v>
      </c>
      <c r="B2501" s="4" t="s">
        <v>6578</v>
      </c>
      <c r="C2501" s="4" t="s">
        <v>24</v>
      </c>
      <c r="D2501" s="4" t="s">
        <v>1242</v>
      </c>
      <c r="E2501" s="4" t="s">
        <v>2649</v>
      </c>
      <c r="F2501" s="4" t="s">
        <v>74</v>
      </c>
      <c r="G2501" s="4" t="s">
        <v>74</v>
      </c>
      <c r="H2501" s="4" t="s">
        <v>523</v>
      </c>
      <c r="I2501" s="4"/>
      <c r="J2501" s="75">
        <v>1.5260675923500131E-3</v>
      </c>
      <c r="K2501" s="204" t="s">
        <v>2276</v>
      </c>
      <c r="L2501" s="204" t="s">
        <v>2276</v>
      </c>
      <c r="M2501" s="204" t="s">
        <v>2276</v>
      </c>
      <c r="N2501" s="204" t="s">
        <v>2276</v>
      </c>
      <c r="O2501" s="204" t="s">
        <v>2276</v>
      </c>
      <c r="P2501" s="75">
        <v>12</v>
      </c>
      <c r="Q2501" s="204" t="s">
        <v>2276</v>
      </c>
      <c r="R2501" s="75">
        <v>7.5</v>
      </c>
      <c r="S2501" s="204" t="s">
        <v>2276</v>
      </c>
      <c r="T2501" s="75">
        <v>6141</v>
      </c>
      <c r="U2501" s="204" t="s">
        <v>2276</v>
      </c>
      <c r="V2501" s="75">
        <v>2.0110689022792769E-4</v>
      </c>
      <c r="W2501" s="204" t="s">
        <v>2276</v>
      </c>
      <c r="X2501" s="204" t="s">
        <v>2276</v>
      </c>
      <c r="Y2501" s="204" t="s">
        <v>2276</v>
      </c>
      <c r="Z2501" s="4" t="s">
        <v>2276</v>
      </c>
      <c r="AA2501" s="4" t="s">
        <v>2276</v>
      </c>
      <c r="AB2501" s="4" t="s">
        <v>2276</v>
      </c>
      <c r="AC2501" s="4"/>
      <c r="AD2501" s="4"/>
    </row>
    <row r="2502" spans="1:30" ht="34" customHeight="1">
      <c r="A2502" s="4" t="s">
        <v>6427</v>
      </c>
      <c r="B2502" s="4" t="s">
        <v>6579</v>
      </c>
      <c r="C2502" s="4" t="s">
        <v>2656</v>
      </c>
      <c r="D2502" s="4" t="s">
        <v>2276</v>
      </c>
      <c r="E2502" s="4" t="s">
        <v>2649</v>
      </c>
      <c r="F2502" s="4" t="s">
        <v>74</v>
      </c>
      <c r="G2502" s="4" t="s">
        <v>74</v>
      </c>
      <c r="H2502" s="4" t="s">
        <v>523</v>
      </c>
      <c r="I2502" s="4"/>
      <c r="J2502" s="75">
        <v>2.9473408435944457E-3</v>
      </c>
      <c r="K2502" s="204" t="s">
        <v>2276</v>
      </c>
      <c r="L2502" s="204" t="s">
        <v>2276</v>
      </c>
      <c r="M2502" s="204" t="s">
        <v>2276</v>
      </c>
      <c r="N2502" s="204" t="s">
        <v>2276</v>
      </c>
      <c r="O2502" s="204" t="s">
        <v>2276</v>
      </c>
      <c r="P2502" s="75">
        <v>3.5</v>
      </c>
      <c r="Q2502" s="204" t="s">
        <v>2276</v>
      </c>
      <c r="R2502" s="75">
        <v>1</v>
      </c>
      <c r="S2502" s="204" t="s">
        <v>2276</v>
      </c>
      <c r="T2502" s="75">
        <v>14301</v>
      </c>
      <c r="U2502" s="204" t="s">
        <v>2276</v>
      </c>
      <c r="V2502" s="75">
        <v>4.6833246004715745E-4</v>
      </c>
      <c r="W2502" s="204" t="s">
        <v>2276</v>
      </c>
      <c r="X2502" s="204" t="s">
        <v>2276</v>
      </c>
      <c r="Y2502" s="204" t="s">
        <v>2276</v>
      </c>
      <c r="Z2502" s="4" t="s">
        <v>2276</v>
      </c>
      <c r="AA2502" s="4" t="s">
        <v>2276</v>
      </c>
      <c r="AB2502" s="4" t="s">
        <v>2276</v>
      </c>
      <c r="AC2502" s="4"/>
      <c r="AD2502" s="4"/>
    </row>
    <row r="2503" spans="1:30" ht="123" customHeight="1">
      <c r="A2503" s="19" t="s">
        <v>6997</v>
      </c>
      <c r="B2503" s="19" t="s">
        <v>6999</v>
      </c>
      <c r="C2503" s="204" t="s">
        <v>24</v>
      </c>
      <c r="D2503" s="204" t="s">
        <v>25</v>
      </c>
      <c r="E2503" s="204" t="s">
        <v>45</v>
      </c>
      <c r="F2503" s="4" t="s">
        <v>29</v>
      </c>
      <c r="G2503" s="4" t="s">
        <v>29</v>
      </c>
      <c r="H2503" s="4" t="s">
        <v>523</v>
      </c>
      <c r="I2503" s="204"/>
      <c r="J2503" s="204" t="s">
        <v>2276</v>
      </c>
      <c r="K2503" s="204" t="s">
        <v>2276</v>
      </c>
      <c r="L2503" s="204" t="s">
        <v>2276</v>
      </c>
      <c r="M2503" s="204" t="s">
        <v>2276</v>
      </c>
      <c r="N2503" s="204" t="s">
        <v>2276</v>
      </c>
      <c r="O2503" s="204" t="s">
        <v>2276</v>
      </c>
      <c r="P2503" s="204" t="s">
        <v>2276</v>
      </c>
      <c r="Q2503" s="204" t="s">
        <v>2276</v>
      </c>
      <c r="R2503" s="204" t="s">
        <v>2276</v>
      </c>
      <c r="S2503" s="204" t="s">
        <v>2276</v>
      </c>
      <c r="T2503" s="204" t="s">
        <v>2276</v>
      </c>
      <c r="U2503" s="204" t="s">
        <v>2276</v>
      </c>
      <c r="V2503" s="204" t="s">
        <v>2276</v>
      </c>
      <c r="W2503" s="204" t="s">
        <v>2276</v>
      </c>
      <c r="X2503" s="204" t="s">
        <v>2276</v>
      </c>
      <c r="Y2503" s="204" t="s">
        <v>2276</v>
      </c>
      <c r="Z2503" s="204" t="s">
        <v>405</v>
      </c>
      <c r="AA2503" s="204" t="s">
        <v>425</v>
      </c>
      <c r="AB2503" s="4" t="s">
        <v>64</v>
      </c>
      <c r="AC2503" s="204"/>
      <c r="AD2503" s="4" t="s">
        <v>7004</v>
      </c>
    </row>
    <row r="2504" spans="1:30" ht="73" customHeight="1">
      <c r="A2504" s="19" t="s">
        <v>6997</v>
      </c>
      <c r="B2504" s="19" t="s">
        <v>7000</v>
      </c>
      <c r="C2504" s="204" t="s">
        <v>24</v>
      </c>
      <c r="D2504" s="204" t="s">
        <v>25</v>
      </c>
      <c r="E2504" s="204" t="s">
        <v>2647</v>
      </c>
      <c r="F2504" s="4" t="s">
        <v>29</v>
      </c>
      <c r="G2504" s="4" t="s">
        <v>29</v>
      </c>
      <c r="H2504" s="4" t="s">
        <v>523</v>
      </c>
      <c r="I2504" s="204"/>
      <c r="J2504" s="204" t="s">
        <v>2276</v>
      </c>
      <c r="K2504" s="204" t="s">
        <v>2276</v>
      </c>
      <c r="L2504" s="204" t="s">
        <v>2276</v>
      </c>
      <c r="M2504" s="204" t="s">
        <v>2276</v>
      </c>
      <c r="N2504" s="204" t="s">
        <v>2276</v>
      </c>
      <c r="O2504" s="204" t="s">
        <v>2276</v>
      </c>
      <c r="P2504" s="204" t="s">
        <v>2276</v>
      </c>
      <c r="Q2504" s="204" t="s">
        <v>2276</v>
      </c>
      <c r="R2504" s="204" t="s">
        <v>2276</v>
      </c>
      <c r="S2504" s="204" t="s">
        <v>2276</v>
      </c>
      <c r="T2504" s="204" t="s">
        <v>2276</v>
      </c>
      <c r="U2504" s="204" t="s">
        <v>2276</v>
      </c>
      <c r="V2504" s="204" t="s">
        <v>2276</v>
      </c>
      <c r="W2504" s="204" t="s">
        <v>2276</v>
      </c>
      <c r="X2504" s="204" t="s">
        <v>2276</v>
      </c>
      <c r="Y2504" s="204" t="s">
        <v>2276</v>
      </c>
      <c r="Z2504" s="204" t="s">
        <v>405</v>
      </c>
      <c r="AA2504" s="204" t="s">
        <v>425</v>
      </c>
      <c r="AB2504" s="4" t="s">
        <v>64</v>
      </c>
      <c r="AC2504" s="204"/>
      <c r="AD2504" s="4"/>
    </row>
    <row r="2505" spans="1:30" ht="123" customHeight="1">
      <c r="A2505" s="19" t="s">
        <v>6997</v>
      </c>
      <c r="B2505" s="19" t="s">
        <v>7001</v>
      </c>
      <c r="C2505" s="204" t="s">
        <v>2458</v>
      </c>
      <c r="D2505" s="204" t="s">
        <v>25</v>
      </c>
      <c r="E2505" s="204" t="s">
        <v>45</v>
      </c>
      <c r="F2505" s="4" t="s">
        <v>29</v>
      </c>
      <c r="G2505" s="204" t="s">
        <v>160</v>
      </c>
      <c r="H2505" s="4" t="s">
        <v>523</v>
      </c>
      <c r="I2505" s="204"/>
      <c r="J2505" s="204" t="s">
        <v>2276</v>
      </c>
      <c r="K2505" s="204" t="s">
        <v>2276</v>
      </c>
      <c r="L2505" s="204" t="s">
        <v>2276</v>
      </c>
      <c r="M2505" s="204" t="s">
        <v>2276</v>
      </c>
      <c r="N2505" s="204" t="s">
        <v>2276</v>
      </c>
      <c r="O2505" s="204" t="s">
        <v>2276</v>
      </c>
      <c r="P2505" s="204" t="s">
        <v>2276</v>
      </c>
      <c r="Q2505" s="204" t="s">
        <v>2276</v>
      </c>
      <c r="R2505" s="204" t="s">
        <v>2276</v>
      </c>
      <c r="S2505" s="204" t="s">
        <v>2276</v>
      </c>
      <c r="T2505" s="204" t="s">
        <v>2276</v>
      </c>
      <c r="U2505" s="204" t="s">
        <v>2276</v>
      </c>
      <c r="V2505" s="204" t="s">
        <v>2276</v>
      </c>
      <c r="W2505" s="204" t="s">
        <v>2276</v>
      </c>
      <c r="X2505" s="204" t="s">
        <v>2276</v>
      </c>
      <c r="Y2505" s="204" t="s">
        <v>2276</v>
      </c>
      <c r="Z2505" s="204" t="s">
        <v>405</v>
      </c>
      <c r="AA2505" s="204" t="s">
        <v>425</v>
      </c>
      <c r="AB2505" s="4" t="s">
        <v>64</v>
      </c>
      <c r="AC2505" s="4" t="s">
        <v>7006</v>
      </c>
      <c r="AD2505" s="4" t="s">
        <v>7005</v>
      </c>
    </row>
    <row r="2506" spans="1:30" ht="71" customHeight="1">
      <c r="A2506" s="19" t="s">
        <v>6997</v>
      </c>
      <c r="B2506" s="19" t="s">
        <v>7002</v>
      </c>
      <c r="C2506" s="204" t="s">
        <v>2458</v>
      </c>
      <c r="D2506" s="204" t="s">
        <v>25</v>
      </c>
      <c r="E2506" s="204" t="s">
        <v>2647</v>
      </c>
      <c r="F2506" s="4" t="s">
        <v>29</v>
      </c>
      <c r="G2506" s="204" t="s">
        <v>160</v>
      </c>
      <c r="H2506" s="4" t="s">
        <v>523</v>
      </c>
      <c r="I2506" s="204"/>
      <c r="J2506" s="204" t="s">
        <v>2276</v>
      </c>
      <c r="K2506" s="204" t="s">
        <v>2276</v>
      </c>
      <c r="L2506" s="204" t="s">
        <v>2276</v>
      </c>
      <c r="M2506" s="204" t="s">
        <v>2276</v>
      </c>
      <c r="N2506" s="204" t="s">
        <v>2276</v>
      </c>
      <c r="O2506" s="204" t="s">
        <v>2276</v>
      </c>
      <c r="P2506" s="204" t="s">
        <v>2276</v>
      </c>
      <c r="Q2506" s="204" t="s">
        <v>2276</v>
      </c>
      <c r="R2506" s="204" t="s">
        <v>2276</v>
      </c>
      <c r="S2506" s="204" t="s">
        <v>2276</v>
      </c>
      <c r="T2506" s="204" t="s">
        <v>2276</v>
      </c>
      <c r="U2506" s="204" t="s">
        <v>2276</v>
      </c>
      <c r="V2506" s="204" t="s">
        <v>2276</v>
      </c>
      <c r="W2506" s="204" t="s">
        <v>2276</v>
      </c>
      <c r="X2506" s="204" t="s">
        <v>2276</v>
      </c>
      <c r="Y2506" s="204" t="s">
        <v>2276</v>
      </c>
      <c r="Z2506" s="204" t="s">
        <v>405</v>
      </c>
      <c r="AA2506" s="204" t="s">
        <v>425</v>
      </c>
      <c r="AB2506" s="4" t="s">
        <v>64</v>
      </c>
      <c r="AC2506" s="204"/>
      <c r="AD2506" s="204"/>
    </row>
    <row r="2507" spans="1:30" ht="55.5" customHeight="1">
      <c r="A2507" s="19" t="s">
        <v>7008</v>
      </c>
      <c r="B2507" s="19" t="s">
        <v>7012</v>
      </c>
      <c r="C2507" s="204" t="s">
        <v>24</v>
      </c>
      <c r="D2507" s="204" t="s">
        <v>2231</v>
      </c>
      <c r="E2507" s="204" t="s">
        <v>84</v>
      </c>
      <c r="F2507" s="4" t="s">
        <v>2662</v>
      </c>
      <c r="G2507" s="4" t="s">
        <v>2662</v>
      </c>
      <c r="H2507" s="4" t="s">
        <v>523</v>
      </c>
      <c r="I2507" s="204"/>
      <c r="J2507" s="204" t="s">
        <v>2276</v>
      </c>
      <c r="K2507" s="204" t="s">
        <v>2276</v>
      </c>
      <c r="L2507" s="204" t="s">
        <v>2276</v>
      </c>
      <c r="M2507" s="204" t="s">
        <v>2276</v>
      </c>
      <c r="N2507" s="204" t="s">
        <v>2276</v>
      </c>
      <c r="O2507" s="204" t="s">
        <v>2276</v>
      </c>
      <c r="P2507" s="204" t="s">
        <v>2276</v>
      </c>
      <c r="Q2507" s="204" t="s">
        <v>2276</v>
      </c>
      <c r="R2507" s="204" t="s">
        <v>2276</v>
      </c>
      <c r="S2507" s="204" t="s">
        <v>2276</v>
      </c>
      <c r="T2507" s="204" t="s">
        <v>2276</v>
      </c>
      <c r="U2507" s="204" t="s">
        <v>2276</v>
      </c>
      <c r="V2507" s="21">
        <v>34</v>
      </c>
      <c r="W2507" s="204" t="s">
        <v>2276</v>
      </c>
      <c r="X2507" s="21">
        <f>100*534/'Record info'!K1060</f>
        <v>1.5602629656683711</v>
      </c>
      <c r="Y2507" s="204" t="s">
        <v>2276</v>
      </c>
      <c r="Z2507" s="204" t="s">
        <v>2276</v>
      </c>
      <c r="AA2507" s="204" t="s">
        <v>2276</v>
      </c>
      <c r="AB2507" s="204" t="s">
        <v>2276</v>
      </c>
      <c r="AC2507" s="4" t="s">
        <v>7014</v>
      </c>
      <c r="AD2507" s="204"/>
    </row>
    <row r="2508" spans="1:30" ht="50" customHeight="1">
      <c r="A2508" s="19" t="s">
        <v>7008</v>
      </c>
      <c r="B2508" s="19" t="s">
        <v>7013</v>
      </c>
      <c r="C2508" s="204" t="s">
        <v>24</v>
      </c>
      <c r="D2508" s="204" t="s">
        <v>25</v>
      </c>
      <c r="E2508" s="204" t="s">
        <v>45</v>
      </c>
      <c r="F2508" s="4" t="s">
        <v>29</v>
      </c>
      <c r="G2508" s="204" t="s">
        <v>29</v>
      </c>
      <c r="H2508" s="4" t="s">
        <v>523</v>
      </c>
      <c r="I2508" s="204"/>
      <c r="J2508" s="204" t="s">
        <v>2276</v>
      </c>
      <c r="K2508" s="204" t="s">
        <v>2276</v>
      </c>
      <c r="L2508" s="204" t="s">
        <v>2276</v>
      </c>
      <c r="M2508" s="204" t="s">
        <v>2276</v>
      </c>
      <c r="N2508" s="204" t="s">
        <v>2276</v>
      </c>
      <c r="O2508" s="204" t="s">
        <v>2276</v>
      </c>
      <c r="P2508" s="204" t="s">
        <v>2276</v>
      </c>
      <c r="Q2508" s="204" t="s">
        <v>2276</v>
      </c>
      <c r="R2508" s="204" t="s">
        <v>2276</v>
      </c>
      <c r="S2508" s="204" t="s">
        <v>2276</v>
      </c>
      <c r="T2508" s="204" t="s">
        <v>2276</v>
      </c>
      <c r="U2508" s="204" t="s">
        <v>2276</v>
      </c>
      <c r="V2508" s="204" t="s">
        <v>2276</v>
      </c>
      <c r="W2508" s="204" t="s">
        <v>2276</v>
      </c>
      <c r="X2508" s="21">
        <f>100*938/'Record info'!K1060</f>
        <v>2.7406866325785244</v>
      </c>
      <c r="Y2508" s="204" t="s">
        <v>2276</v>
      </c>
      <c r="Z2508" s="204" t="s">
        <v>2276</v>
      </c>
      <c r="AA2508" s="204" t="s">
        <v>2276</v>
      </c>
      <c r="AB2508" s="204" t="s">
        <v>2276</v>
      </c>
      <c r="AC2508" s="4" t="s">
        <v>7016</v>
      </c>
      <c r="AD2508" s="204"/>
    </row>
    <row r="2509" spans="1:30" ht="49" customHeight="1">
      <c r="A2509" s="19" t="s">
        <v>7008</v>
      </c>
      <c r="B2509" s="19" t="s">
        <v>7013</v>
      </c>
      <c r="C2509" s="204" t="s">
        <v>2458</v>
      </c>
      <c r="D2509" s="204" t="s">
        <v>25</v>
      </c>
      <c r="E2509" s="204" t="s">
        <v>2647</v>
      </c>
      <c r="F2509" s="4" t="s">
        <v>29</v>
      </c>
      <c r="G2509" s="204" t="s">
        <v>74</v>
      </c>
      <c r="H2509" s="4" t="s">
        <v>523</v>
      </c>
      <c r="I2509" s="204"/>
      <c r="J2509" s="204" t="s">
        <v>2276</v>
      </c>
      <c r="K2509" s="204" t="s">
        <v>2276</v>
      </c>
      <c r="L2509" s="204" t="s">
        <v>2276</v>
      </c>
      <c r="M2509" s="204" t="s">
        <v>2276</v>
      </c>
      <c r="N2509" s="204" t="s">
        <v>2276</v>
      </c>
      <c r="O2509" s="204" t="s">
        <v>2276</v>
      </c>
      <c r="P2509" s="204" t="s">
        <v>2276</v>
      </c>
      <c r="Q2509" s="204" t="s">
        <v>2276</v>
      </c>
      <c r="R2509" s="204" t="s">
        <v>2276</v>
      </c>
      <c r="S2509" s="204" t="s">
        <v>2276</v>
      </c>
      <c r="T2509" s="204" t="s">
        <v>2276</v>
      </c>
      <c r="U2509" s="204" t="s">
        <v>2276</v>
      </c>
      <c r="V2509" s="21">
        <f>100 * 180 / ('Record info'!K1060*'Land use'!R1060/100)</f>
        <v>0.92524000302366016</v>
      </c>
      <c r="W2509" s="204" t="s">
        <v>2276</v>
      </c>
      <c r="X2509" s="21">
        <f>100 * 180 / 'Record info'!K1060</f>
        <v>0.52593133674214754</v>
      </c>
      <c r="Y2509" s="204" t="s">
        <v>2276</v>
      </c>
      <c r="Z2509" s="204" t="s">
        <v>2276</v>
      </c>
      <c r="AA2509" s="204" t="s">
        <v>2276</v>
      </c>
      <c r="AB2509" s="204" t="s">
        <v>2276</v>
      </c>
      <c r="AC2509" s="4" t="s">
        <v>7015</v>
      </c>
      <c r="AD2509" s="204"/>
    </row>
    <row r="2510" spans="1:30" ht="60.5" customHeight="1">
      <c r="A2510" s="19" t="s">
        <v>7018</v>
      </c>
      <c r="B2510" s="19" t="s">
        <v>7019</v>
      </c>
      <c r="C2510" s="204" t="s">
        <v>24</v>
      </c>
      <c r="D2510" s="204" t="s">
        <v>143</v>
      </c>
      <c r="E2510" s="204" t="s">
        <v>45</v>
      </c>
      <c r="F2510" s="204" t="s">
        <v>74</v>
      </c>
      <c r="G2510" s="204" t="s">
        <v>74</v>
      </c>
      <c r="H2510" s="4" t="s">
        <v>523</v>
      </c>
      <c r="I2510" s="204"/>
      <c r="J2510" s="204" t="s">
        <v>2276</v>
      </c>
      <c r="K2510" s="204" t="s">
        <v>2276</v>
      </c>
      <c r="L2510" s="204" t="s">
        <v>2276</v>
      </c>
      <c r="M2510" s="204" t="s">
        <v>2276</v>
      </c>
      <c r="N2510" s="204" t="s">
        <v>2276</v>
      </c>
      <c r="O2510" s="204" t="s">
        <v>2276</v>
      </c>
      <c r="P2510" s="14">
        <v>333</v>
      </c>
      <c r="Q2510" s="204" t="s">
        <v>2276</v>
      </c>
      <c r="R2510" s="204" t="s">
        <v>2276</v>
      </c>
      <c r="S2510" s="204" t="s">
        <v>2276</v>
      </c>
      <c r="T2510" s="204" t="s">
        <v>2276</v>
      </c>
      <c r="U2510" s="204" t="s">
        <v>2276</v>
      </c>
      <c r="V2510" s="204" t="s">
        <v>2276</v>
      </c>
      <c r="W2510" s="204" t="s">
        <v>2276</v>
      </c>
      <c r="X2510" s="204" t="s">
        <v>2276</v>
      </c>
      <c r="Y2510" s="204" t="s">
        <v>2276</v>
      </c>
      <c r="Z2510" s="204" t="s">
        <v>2276</v>
      </c>
      <c r="AA2510" s="204" t="s">
        <v>2276</v>
      </c>
      <c r="AB2510" s="204" t="s">
        <v>2276</v>
      </c>
      <c r="AC2510" s="4" t="s">
        <v>7022</v>
      </c>
      <c r="AD2510" s="4" t="s">
        <v>7027</v>
      </c>
    </row>
    <row r="2511" spans="1:30" ht="65.5" customHeight="1">
      <c r="A2511" s="19" t="s">
        <v>7018</v>
      </c>
      <c r="B2511" s="19" t="s">
        <v>7020</v>
      </c>
      <c r="C2511" s="204" t="s">
        <v>24</v>
      </c>
      <c r="D2511" s="204" t="s">
        <v>143</v>
      </c>
      <c r="E2511" s="204" t="s">
        <v>84</v>
      </c>
      <c r="F2511" s="204" t="s">
        <v>74</v>
      </c>
      <c r="G2511" s="204" t="s">
        <v>74</v>
      </c>
      <c r="H2511" s="4" t="s">
        <v>523</v>
      </c>
      <c r="I2511" s="204"/>
      <c r="J2511" s="178" t="s">
        <v>2276</v>
      </c>
      <c r="K2511" s="204" t="s">
        <v>2276</v>
      </c>
      <c r="L2511" s="204" t="s">
        <v>2276</v>
      </c>
      <c r="M2511" s="204" t="s">
        <v>2276</v>
      </c>
      <c r="N2511" s="204" t="s">
        <v>2276</v>
      </c>
      <c r="O2511" s="204" t="s">
        <v>2276</v>
      </c>
      <c r="P2511" s="204" t="s">
        <v>2276</v>
      </c>
      <c r="Q2511" s="204" t="s">
        <v>2276</v>
      </c>
      <c r="R2511" s="204" t="s">
        <v>2276</v>
      </c>
      <c r="S2511" s="204" t="s">
        <v>2276</v>
      </c>
      <c r="T2511" s="204" t="s">
        <v>2276</v>
      </c>
      <c r="U2511" s="204" t="s">
        <v>2276</v>
      </c>
      <c r="V2511" s="204" t="s">
        <v>2276</v>
      </c>
      <c r="W2511" s="204" t="s">
        <v>2276</v>
      </c>
      <c r="X2511" s="204" t="s">
        <v>2276</v>
      </c>
      <c r="Y2511" s="204" t="s">
        <v>2276</v>
      </c>
      <c r="Z2511" s="204" t="s">
        <v>2276</v>
      </c>
      <c r="AA2511" s="204" t="s">
        <v>2276</v>
      </c>
      <c r="AB2511" s="204" t="s">
        <v>2276</v>
      </c>
      <c r="AC2511" s="4" t="s">
        <v>7022</v>
      </c>
      <c r="AD2511" s="4" t="s">
        <v>7021</v>
      </c>
    </row>
    <row r="2512" spans="1:30" ht="44.5" customHeight="1">
      <c r="A2512" s="19" t="s">
        <v>7024</v>
      </c>
      <c r="B2512" s="19" t="s">
        <v>7029</v>
      </c>
      <c r="C2512" s="204" t="s">
        <v>24</v>
      </c>
      <c r="D2512" s="204" t="s">
        <v>144</v>
      </c>
      <c r="E2512" s="204" t="s">
        <v>137</v>
      </c>
      <c r="F2512" s="4" t="s">
        <v>55</v>
      </c>
      <c r="G2512" s="4" t="s">
        <v>55</v>
      </c>
      <c r="H2512" s="4" t="s">
        <v>523</v>
      </c>
      <c r="I2512" s="204"/>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t="s">
        <v>2276</v>
      </c>
      <c r="AB2512" s="204" t="s">
        <v>2276</v>
      </c>
      <c r="AC2512" s="204"/>
      <c r="AD2512" s="204"/>
    </row>
    <row r="2513" spans="1:30" ht="66.5" customHeight="1">
      <c r="A2513" s="19" t="s">
        <v>7024</v>
      </c>
      <c r="B2513" s="19" t="s">
        <v>7030</v>
      </c>
      <c r="C2513" s="204" t="s">
        <v>24</v>
      </c>
      <c r="D2513" s="204" t="s">
        <v>144</v>
      </c>
      <c r="E2513" s="204" t="s">
        <v>2647</v>
      </c>
      <c r="F2513" s="4" t="s">
        <v>55</v>
      </c>
      <c r="G2513" s="4" t="s">
        <v>55</v>
      </c>
      <c r="H2513" s="4" t="s">
        <v>524</v>
      </c>
      <c r="I2513" s="204"/>
      <c r="J2513" s="21">
        <v>0</v>
      </c>
      <c r="K2513" s="21">
        <v>0</v>
      </c>
      <c r="L2513" s="21">
        <v>0</v>
      </c>
      <c r="M2513" s="21">
        <v>0</v>
      </c>
      <c r="N2513" s="21">
        <v>0</v>
      </c>
      <c r="O2513" s="21">
        <v>0</v>
      </c>
      <c r="P2513" s="21">
        <v>0</v>
      </c>
      <c r="Q2513" s="21">
        <v>0</v>
      </c>
      <c r="R2513" s="21">
        <v>0</v>
      </c>
      <c r="S2513" s="21">
        <v>0</v>
      </c>
      <c r="T2513" s="21">
        <v>0</v>
      </c>
      <c r="U2513" s="21">
        <v>0</v>
      </c>
      <c r="V2513" s="21">
        <v>0</v>
      </c>
      <c r="W2513" s="21">
        <v>0</v>
      </c>
      <c r="X2513" s="21">
        <v>0</v>
      </c>
      <c r="Y2513" s="204" t="s">
        <v>2276</v>
      </c>
      <c r="Z2513" s="204" t="s">
        <v>2276</v>
      </c>
      <c r="AA2513" s="204" t="s">
        <v>2276</v>
      </c>
      <c r="AB2513" s="204" t="s">
        <v>2276</v>
      </c>
      <c r="AC2513" s="4" t="s">
        <v>7032</v>
      </c>
      <c r="AD2513" s="204"/>
    </row>
    <row r="2514" spans="1:30" ht="66.5" customHeight="1">
      <c r="A2514" s="19" t="s">
        <v>7024</v>
      </c>
      <c r="B2514" s="19" t="s">
        <v>7031</v>
      </c>
      <c r="C2514" s="204" t="s">
        <v>24</v>
      </c>
      <c r="D2514" s="204" t="s">
        <v>25</v>
      </c>
      <c r="E2514" s="204" t="s">
        <v>2647</v>
      </c>
      <c r="F2514" s="4" t="s">
        <v>55</v>
      </c>
      <c r="G2514" s="4" t="s">
        <v>55</v>
      </c>
      <c r="H2514" s="4" t="s">
        <v>524</v>
      </c>
      <c r="I2514" s="204"/>
      <c r="J2514" s="21">
        <v>0</v>
      </c>
      <c r="K2514" s="21">
        <v>0</v>
      </c>
      <c r="L2514" s="21">
        <v>0</v>
      </c>
      <c r="M2514" s="21">
        <v>0</v>
      </c>
      <c r="N2514" s="21">
        <v>0</v>
      </c>
      <c r="O2514" s="21">
        <v>0</v>
      </c>
      <c r="P2514" s="21">
        <v>0</v>
      </c>
      <c r="Q2514" s="21">
        <v>0</v>
      </c>
      <c r="R2514" s="21">
        <v>0</v>
      </c>
      <c r="S2514" s="21">
        <v>0</v>
      </c>
      <c r="T2514" s="21">
        <v>0</v>
      </c>
      <c r="U2514" s="21">
        <v>0</v>
      </c>
      <c r="V2514" s="21">
        <v>0</v>
      </c>
      <c r="W2514" s="21">
        <v>0</v>
      </c>
      <c r="X2514" s="21">
        <v>0</v>
      </c>
      <c r="Y2514" s="204" t="s">
        <v>2276</v>
      </c>
      <c r="Z2514" s="204" t="s">
        <v>2276</v>
      </c>
      <c r="AA2514" s="204" t="s">
        <v>2276</v>
      </c>
      <c r="AB2514" s="204" t="s">
        <v>2276</v>
      </c>
      <c r="AC2514" s="4" t="s">
        <v>7032</v>
      </c>
      <c r="AD2514" s="204"/>
    </row>
    <row r="2515" spans="1:30" ht="47.5" customHeight="1">
      <c r="A2515" s="19" t="s">
        <v>7034</v>
      </c>
      <c r="B2515" s="19" t="s">
        <v>7036</v>
      </c>
      <c r="C2515" s="204" t="s">
        <v>24</v>
      </c>
      <c r="D2515" s="204" t="s">
        <v>25</v>
      </c>
      <c r="E2515" s="204" t="s">
        <v>45</v>
      </c>
      <c r="F2515" s="4" t="s">
        <v>55</v>
      </c>
      <c r="G2515" s="4" t="s">
        <v>55</v>
      </c>
      <c r="H2515" s="204" t="s">
        <v>523</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1">
        <f>100*42/200</f>
        <v>21</v>
      </c>
      <c r="W2515" s="204" t="s">
        <v>2276</v>
      </c>
      <c r="X2515" s="21">
        <f>100*42/200</f>
        <v>21</v>
      </c>
      <c r="Y2515" s="204" t="s">
        <v>2276</v>
      </c>
      <c r="Z2515" s="204" t="s">
        <v>404</v>
      </c>
      <c r="AA2515" s="204" t="s">
        <v>405</v>
      </c>
      <c r="AB2515" s="204" t="s">
        <v>2276</v>
      </c>
      <c r="AC2515" s="204" t="s">
        <v>7037</v>
      </c>
      <c r="AD2515" s="4" t="s">
        <v>7038</v>
      </c>
    </row>
    <row r="2516" spans="1:30" ht="108.5" customHeight="1">
      <c r="A2516" s="19" t="s">
        <v>7040</v>
      </c>
      <c r="B2516" s="19" t="s">
        <v>7043</v>
      </c>
      <c r="C2516" s="204" t="s">
        <v>24</v>
      </c>
      <c r="D2516" s="204" t="s">
        <v>2804</v>
      </c>
      <c r="E2516" s="204" t="s">
        <v>45</v>
      </c>
      <c r="F2516" s="4" t="s">
        <v>2662</v>
      </c>
      <c r="G2516" s="4" t="s">
        <v>2662</v>
      </c>
      <c r="H2516" s="204" t="s">
        <v>523</v>
      </c>
      <c r="I2516" s="204"/>
      <c r="J2516" s="204" t="s">
        <v>2276</v>
      </c>
      <c r="K2516" s="204" t="s">
        <v>2276</v>
      </c>
      <c r="L2516" s="204" t="s">
        <v>2276</v>
      </c>
      <c r="M2516" s="204" t="s">
        <v>2276</v>
      </c>
      <c r="N2516" s="204" t="s">
        <v>2276</v>
      </c>
      <c r="O2516" s="21">
        <v>131</v>
      </c>
      <c r="P2516" s="21">
        <v>98</v>
      </c>
      <c r="Q2516" s="204" t="s">
        <v>2276</v>
      </c>
      <c r="R2516" s="204" t="s">
        <v>2276</v>
      </c>
      <c r="S2516" s="204" t="s">
        <v>2276</v>
      </c>
      <c r="T2516" s="204" t="s">
        <v>2276</v>
      </c>
      <c r="U2516" s="204" t="s">
        <v>2276</v>
      </c>
      <c r="V2516" s="204" t="s">
        <v>2276</v>
      </c>
      <c r="W2516" s="204" t="s">
        <v>2276</v>
      </c>
      <c r="X2516" s="204" t="s">
        <v>2276</v>
      </c>
      <c r="Y2516" s="204" t="s">
        <v>2276</v>
      </c>
      <c r="Z2516" s="204" t="s">
        <v>2276</v>
      </c>
      <c r="AA2516" s="204" t="s">
        <v>2276</v>
      </c>
      <c r="AB2516" s="204" t="s">
        <v>2276</v>
      </c>
      <c r="AC2516" s="4"/>
      <c r="AD2516" s="4" t="s">
        <v>7044</v>
      </c>
    </row>
    <row r="2517" spans="1:30" ht="58" customHeight="1">
      <c r="A2517" s="19" t="s">
        <v>7047</v>
      </c>
      <c r="B2517" s="19" t="s">
        <v>7050</v>
      </c>
      <c r="C2517" s="204" t="s">
        <v>1105</v>
      </c>
      <c r="D2517" s="204" t="s">
        <v>1105</v>
      </c>
      <c r="E2517" s="204" t="s">
        <v>1105</v>
      </c>
      <c r="F2517" s="204" t="s">
        <v>2276</v>
      </c>
      <c r="G2517" s="4" t="s">
        <v>2662</v>
      </c>
      <c r="H2517" s="204" t="s">
        <v>523</v>
      </c>
      <c r="I2517" s="204"/>
      <c r="J2517" s="204" t="s">
        <v>2276</v>
      </c>
      <c r="K2517" s="204" t="s">
        <v>2276</v>
      </c>
      <c r="L2517" s="204" t="s">
        <v>2276</v>
      </c>
      <c r="M2517" s="204" t="s">
        <v>2276</v>
      </c>
      <c r="N2517" s="204" t="s">
        <v>2276</v>
      </c>
      <c r="O2517" s="204" t="s">
        <v>2276</v>
      </c>
      <c r="P2517" s="204" t="s">
        <v>2276</v>
      </c>
      <c r="Q2517" s="204" t="s">
        <v>2276</v>
      </c>
      <c r="R2517" s="204" t="s">
        <v>2276</v>
      </c>
      <c r="S2517" s="204" t="s">
        <v>2276</v>
      </c>
      <c r="T2517" s="204" t="s">
        <v>2276</v>
      </c>
      <c r="U2517" s="204" t="s">
        <v>2276</v>
      </c>
      <c r="V2517" s="204" t="s">
        <v>2276</v>
      </c>
      <c r="W2517" s="204" t="s">
        <v>2276</v>
      </c>
      <c r="X2517" s="204" t="s">
        <v>2276</v>
      </c>
      <c r="Y2517" s="204" t="s">
        <v>2276</v>
      </c>
      <c r="Z2517" s="204" t="s">
        <v>38</v>
      </c>
      <c r="AA2517" s="204" t="s">
        <v>425</v>
      </c>
      <c r="AB2517" s="204" t="s">
        <v>76</v>
      </c>
      <c r="AC2517" s="4" t="s">
        <v>7053</v>
      </c>
      <c r="AD2517" s="19" t="s">
        <v>7056</v>
      </c>
    </row>
    <row r="2518" spans="1:30" ht="58" customHeight="1">
      <c r="A2518" s="19" t="s">
        <v>7049</v>
      </c>
      <c r="B2518" s="19" t="s">
        <v>7051</v>
      </c>
      <c r="C2518" s="204" t="s">
        <v>24</v>
      </c>
      <c r="D2518" s="204" t="s">
        <v>25</v>
      </c>
      <c r="E2518" s="204" t="s">
        <v>45</v>
      </c>
      <c r="F2518" s="204" t="s">
        <v>29</v>
      </c>
      <c r="G2518" s="204" t="s">
        <v>29</v>
      </c>
      <c r="H2518" s="204" t="s">
        <v>523</v>
      </c>
      <c r="I2518" s="204"/>
      <c r="J2518" s="204" t="s">
        <v>2276</v>
      </c>
      <c r="K2518" s="204" t="s">
        <v>2276</v>
      </c>
      <c r="L2518" s="204" t="s">
        <v>2276</v>
      </c>
      <c r="M2518" s="204" t="s">
        <v>2276</v>
      </c>
      <c r="N2518" s="204" t="s">
        <v>2276</v>
      </c>
      <c r="O2518" s="204" t="s">
        <v>2276</v>
      </c>
      <c r="P2518" s="204" t="s">
        <v>2276</v>
      </c>
      <c r="Q2518" s="204" t="s">
        <v>2276</v>
      </c>
      <c r="R2518" s="204" t="s">
        <v>2276</v>
      </c>
      <c r="S2518" s="204" t="s">
        <v>2276</v>
      </c>
      <c r="T2518" s="204" t="s">
        <v>2276</v>
      </c>
      <c r="U2518" s="204" t="s">
        <v>2276</v>
      </c>
      <c r="V2518" s="204" t="s">
        <v>2276</v>
      </c>
      <c r="W2518" s="204" t="s">
        <v>2276</v>
      </c>
      <c r="X2518" s="204" t="s">
        <v>2276</v>
      </c>
      <c r="Y2518" s="204" t="s">
        <v>2276</v>
      </c>
      <c r="Z2518" s="204" t="s">
        <v>38</v>
      </c>
      <c r="AA2518" s="204" t="s">
        <v>425</v>
      </c>
      <c r="AB2518" s="204" t="s">
        <v>2276</v>
      </c>
      <c r="AC2518" s="4" t="s">
        <v>7054</v>
      </c>
      <c r="AD2518" s="4" t="s">
        <v>7057</v>
      </c>
    </row>
    <row r="2519" spans="1:30" ht="58" customHeight="1">
      <c r="A2519" s="19" t="s">
        <v>7049</v>
      </c>
      <c r="B2519" s="19" t="s">
        <v>7052</v>
      </c>
      <c r="C2519" s="204" t="s">
        <v>24</v>
      </c>
      <c r="D2519" s="204" t="s">
        <v>1242</v>
      </c>
      <c r="E2519" s="204" t="s">
        <v>45</v>
      </c>
      <c r="F2519" s="4" t="s">
        <v>2662</v>
      </c>
      <c r="G2519" s="4" t="s">
        <v>2662</v>
      </c>
      <c r="H2519" s="204" t="s">
        <v>523</v>
      </c>
      <c r="I2519" s="204"/>
      <c r="J2519" s="204" t="s">
        <v>2276</v>
      </c>
      <c r="K2519" s="204" t="s">
        <v>2276</v>
      </c>
      <c r="L2519" s="204" t="s">
        <v>2276</v>
      </c>
      <c r="M2519" s="204" t="s">
        <v>2276</v>
      </c>
      <c r="N2519" s="204" t="s">
        <v>2276</v>
      </c>
      <c r="O2519" s="204" t="s">
        <v>2276</v>
      </c>
      <c r="P2519" s="204" t="s">
        <v>2276</v>
      </c>
      <c r="Q2519" s="204" t="s">
        <v>2276</v>
      </c>
      <c r="R2519" s="204" t="s">
        <v>2276</v>
      </c>
      <c r="S2519" s="204" t="s">
        <v>2276</v>
      </c>
      <c r="T2519" s="204" t="s">
        <v>2276</v>
      </c>
      <c r="U2519" s="204" t="s">
        <v>2276</v>
      </c>
      <c r="V2519" s="204" t="s">
        <v>2276</v>
      </c>
      <c r="W2519" s="204" t="s">
        <v>2276</v>
      </c>
      <c r="X2519" s="204" t="s">
        <v>2276</v>
      </c>
      <c r="Y2519" s="204" t="s">
        <v>2276</v>
      </c>
      <c r="Z2519" s="204" t="s">
        <v>38</v>
      </c>
      <c r="AA2519" s="204" t="s">
        <v>86</v>
      </c>
      <c r="AB2519" s="204" t="s">
        <v>2655</v>
      </c>
      <c r="AC2519" s="4" t="s">
        <v>7055</v>
      </c>
      <c r="AD2519" s="204"/>
    </row>
    <row r="2520" spans="1:30" ht="26.5" customHeight="1">
      <c r="A2520" s="19" t="s">
        <v>7060</v>
      </c>
      <c r="B2520" s="19" t="s">
        <v>7068</v>
      </c>
      <c r="C2520" s="204" t="s">
        <v>24</v>
      </c>
      <c r="D2520" s="204" t="s">
        <v>25</v>
      </c>
      <c r="E2520" s="204" t="s">
        <v>45</v>
      </c>
      <c r="F2520" s="4" t="s">
        <v>55</v>
      </c>
      <c r="G2520" s="4" t="s">
        <v>55</v>
      </c>
      <c r="H2520" s="204" t="s">
        <v>523</v>
      </c>
      <c r="I2520" s="204"/>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204" t="s">
        <v>2276</v>
      </c>
      <c r="AB2520" s="204" t="s">
        <v>2276</v>
      </c>
      <c r="AC2520" s="204"/>
      <c r="AD2520" s="204"/>
    </row>
    <row r="2521" spans="1:30" ht="26.5" customHeight="1">
      <c r="A2521" s="19" t="s">
        <v>7060</v>
      </c>
      <c r="B2521" s="19" t="s">
        <v>7069</v>
      </c>
      <c r="C2521" s="204" t="s">
        <v>2458</v>
      </c>
      <c r="D2521" s="204" t="s">
        <v>25</v>
      </c>
      <c r="E2521" s="204" t="s">
        <v>45</v>
      </c>
      <c r="F2521" s="4" t="s">
        <v>55</v>
      </c>
      <c r="G2521" s="204" t="s">
        <v>2276</v>
      </c>
      <c r="H2521" s="204" t="s">
        <v>523</v>
      </c>
      <c r="I2521" s="204"/>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t="s">
        <v>2276</v>
      </c>
      <c r="AB2521" s="204" t="s">
        <v>2276</v>
      </c>
      <c r="AC2521" s="204"/>
      <c r="AD2521" s="204"/>
    </row>
    <row r="2522" spans="1:30" ht="26.5" customHeight="1">
      <c r="A2522" s="19" t="s">
        <v>7060</v>
      </c>
      <c r="B2522" s="19" t="s">
        <v>7070</v>
      </c>
      <c r="C2522" s="204" t="s">
        <v>24</v>
      </c>
      <c r="D2522" s="204" t="s">
        <v>27</v>
      </c>
      <c r="E2522" s="204" t="s">
        <v>130</v>
      </c>
      <c r="F2522" s="4" t="s">
        <v>160</v>
      </c>
      <c r="G2522" s="204" t="s">
        <v>2276</v>
      </c>
      <c r="H2522" s="204" t="s">
        <v>523</v>
      </c>
      <c r="I2522" s="204"/>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t="s">
        <v>2276</v>
      </c>
      <c r="AB2522" s="204" t="s">
        <v>2276</v>
      </c>
      <c r="AC2522" s="204"/>
      <c r="AD2522" s="204"/>
    </row>
    <row r="2523" spans="1:30" ht="66" customHeight="1">
      <c r="A2523" s="19" t="s">
        <v>7060</v>
      </c>
      <c r="B2523" s="19" t="s">
        <v>7071</v>
      </c>
      <c r="C2523" s="204" t="s">
        <v>24</v>
      </c>
      <c r="D2523" s="204" t="s">
        <v>2231</v>
      </c>
      <c r="E2523" s="204" t="s">
        <v>84</v>
      </c>
      <c r="F2523" s="4" t="s">
        <v>2662</v>
      </c>
      <c r="G2523" s="4" t="s">
        <v>2662</v>
      </c>
      <c r="H2523" s="204" t="s">
        <v>524</v>
      </c>
      <c r="I2523" s="204"/>
      <c r="J2523" s="21">
        <v>0</v>
      </c>
      <c r="K2523" s="21">
        <v>0</v>
      </c>
      <c r="L2523" s="21">
        <v>0</v>
      </c>
      <c r="M2523" s="21">
        <v>0</v>
      </c>
      <c r="N2523" s="21">
        <v>0</v>
      </c>
      <c r="O2523" s="21">
        <v>0</v>
      </c>
      <c r="P2523" s="21">
        <v>0</v>
      </c>
      <c r="Q2523" s="21">
        <v>0</v>
      </c>
      <c r="R2523" s="21">
        <v>0</v>
      </c>
      <c r="S2523" s="21">
        <v>0</v>
      </c>
      <c r="T2523" s="21">
        <v>0</v>
      </c>
      <c r="U2523" s="21">
        <v>0</v>
      </c>
      <c r="V2523" s="21">
        <v>0</v>
      </c>
      <c r="W2523" s="21">
        <v>0</v>
      </c>
      <c r="X2523" s="21">
        <v>0</v>
      </c>
      <c r="Y2523" s="204" t="s">
        <v>2276</v>
      </c>
      <c r="Z2523" s="204" t="s">
        <v>2276</v>
      </c>
      <c r="AA2523" s="204" t="s">
        <v>2276</v>
      </c>
      <c r="AB2523" s="204" t="s">
        <v>2276</v>
      </c>
      <c r="AC2523" s="4" t="s">
        <v>7072</v>
      </c>
      <c r="AD2523" s="204"/>
    </row>
    <row r="2524" spans="1:30" ht="45.5" customHeight="1">
      <c r="A2524" s="19" t="s">
        <v>7060</v>
      </c>
      <c r="B2524" s="19" t="s">
        <v>7073</v>
      </c>
      <c r="C2524" s="4" t="s">
        <v>24</v>
      </c>
      <c r="D2524" s="4" t="s">
        <v>2346</v>
      </c>
      <c r="E2524" s="4" t="s">
        <v>130</v>
      </c>
      <c r="F2524" s="156" t="s">
        <v>2276</v>
      </c>
      <c r="G2524" s="4" t="s">
        <v>2662</v>
      </c>
      <c r="H2524" s="4" t="s">
        <v>523</v>
      </c>
      <c r="I2524" s="4"/>
      <c r="J2524" s="204" t="s">
        <v>2276</v>
      </c>
      <c r="K2524" s="204" t="s">
        <v>2276</v>
      </c>
      <c r="L2524" s="204" t="s">
        <v>2276</v>
      </c>
      <c r="M2524" s="204" t="s">
        <v>2276</v>
      </c>
      <c r="N2524" s="204" t="s">
        <v>2276</v>
      </c>
      <c r="O2524" s="75">
        <v>3.6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204" t="s">
        <v>2276</v>
      </c>
      <c r="AB2524" s="204" t="s">
        <v>2276</v>
      </c>
      <c r="AC2524" s="4" t="s">
        <v>7075</v>
      </c>
      <c r="AD2524" s="4"/>
    </row>
    <row r="2525" spans="1:30" ht="43.5" customHeight="1">
      <c r="A2525" s="19" t="s">
        <v>7060</v>
      </c>
      <c r="B2525" s="19" t="s">
        <v>7074</v>
      </c>
      <c r="C2525" s="204" t="s">
        <v>24</v>
      </c>
      <c r="D2525" s="204" t="s">
        <v>2346</v>
      </c>
      <c r="E2525" s="204" t="s">
        <v>45</v>
      </c>
      <c r="F2525" s="156" t="s">
        <v>2276</v>
      </c>
      <c r="G2525" s="4" t="s">
        <v>2662</v>
      </c>
      <c r="H2525" s="204" t="s">
        <v>523</v>
      </c>
      <c r="I2525" s="204"/>
      <c r="J2525" s="204" t="s">
        <v>2276</v>
      </c>
      <c r="K2525" s="204" t="s">
        <v>2276</v>
      </c>
      <c r="L2525" s="204" t="s">
        <v>2276</v>
      </c>
      <c r="M2525" s="204" t="s">
        <v>2276</v>
      </c>
      <c r="N2525" s="204" t="s">
        <v>2276</v>
      </c>
      <c r="O2525" s="21">
        <v>3.6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204" t="s">
        <v>2276</v>
      </c>
      <c r="AB2525" s="204" t="s">
        <v>2276</v>
      </c>
      <c r="AC2525" s="4" t="s">
        <v>7075</v>
      </c>
      <c r="AD2525" s="204"/>
    </row>
    <row r="2526" spans="1:30" ht="37.5" customHeight="1">
      <c r="A2526" s="19" t="s">
        <v>7080</v>
      </c>
      <c r="B2526" s="19" t="s">
        <v>7084</v>
      </c>
      <c r="C2526" s="204" t="s">
        <v>24</v>
      </c>
      <c r="D2526" s="204" t="s">
        <v>1242</v>
      </c>
      <c r="E2526" s="4" t="s">
        <v>3209</v>
      </c>
      <c r="F2526" s="4" t="s">
        <v>2662</v>
      </c>
      <c r="G2526" s="4" t="s">
        <v>2662</v>
      </c>
      <c r="H2526" s="204" t="s">
        <v>523</v>
      </c>
      <c r="I2526" s="204"/>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2276</v>
      </c>
      <c r="Y2526" s="204" t="s">
        <v>2276</v>
      </c>
      <c r="Z2526" s="204" t="s">
        <v>35</v>
      </c>
      <c r="AA2526" s="204" t="s">
        <v>35</v>
      </c>
      <c r="AB2526" s="204" t="s">
        <v>2276</v>
      </c>
      <c r="AC2526" s="204"/>
      <c r="AD2526" s="204"/>
    </row>
    <row r="2527" spans="1:30" ht="37.5" customHeight="1">
      <c r="A2527" s="19" t="s">
        <v>7080</v>
      </c>
      <c r="B2527" s="19" t="s">
        <v>7085</v>
      </c>
      <c r="C2527" s="204" t="s">
        <v>24</v>
      </c>
      <c r="D2527" s="204" t="s">
        <v>144</v>
      </c>
      <c r="E2527" s="4" t="s">
        <v>3209</v>
      </c>
      <c r="F2527" s="4" t="s">
        <v>2662</v>
      </c>
      <c r="G2527" s="4" t="s">
        <v>2662</v>
      </c>
      <c r="H2527" s="204" t="s">
        <v>523</v>
      </c>
      <c r="I2527" s="204"/>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2276</v>
      </c>
      <c r="Y2527" s="204" t="s">
        <v>2276</v>
      </c>
      <c r="Z2527" s="204" t="s">
        <v>35</v>
      </c>
      <c r="AA2527" s="204" t="s">
        <v>35</v>
      </c>
      <c r="AB2527" s="204" t="s">
        <v>2276</v>
      </c>
      <c r="AC2527" s="204"/>
      <c r="AD2527" s="204"/>
    </row>
    <row r="2528" spans="1:30" ht="40" customHeight="1">
      <c r="A2528" s="19" t="s">
        <v>7080</v>
      </c>
      <c r="B2528" s="19" t="s">
        <v>7086</v>
      </c>
      <c r="C2528" s="204" t="s">
        <v>24</v>
      </c>
      <c r="D2528" s="204" t="s">
        <v>2804</v>
      </c>
      <c r="E2528" s="204" t="s">
        <v>45</v>
      </c>
      <c r="F2528" s="4" t="s">
        <v>2662</v>
      </c>
      <c r="G2528" s="152" t="s">
        <v>2276</v>
      </c>
      <c r="H2528" s="204" t="s">
        <v>524</v>
      </c>
      <c r="I2528" s="204"/>
      <c r="J2528" s="21">
        <v>0</v>
      </c>
      <c r="K2528" s="21">
        <v>0</v>
      </c>
      <c r="L2528" s="21">
        <v>0</v>
      </c>
      <c r="M2528" s="21">
        <v>0</v>
      </c>
      <c r="N2528" s="21">
        <v>0</v>
      </c>
      <c r="O2528" s="21">
        <v>0</v>
      </c>
      <c r="P2528" s="21">
        <v>0</v>
      </c>
      <c r="Q2528" s="21">
        <v>0</v>
      </c>
      <c r="R2528" s="21">
        <v>0</v>
      </c>
      <c r="S2528" s="21">
        <v>0</v>
      </c>
      <c r="T2528" s="21">
        <v>0</v>
      </c>
      <c r="U2528" s="21">
        <v>0</v>
      </c>
      <c r="V2528" s="21">
        <v>0</v>
      </c>
      <c r="W2528" s="21">
        <v>0</v>
      </c>
      <c r="X2528" s="21">
        <v>0</v>
      </c>
      <c r="Y2528" s="204" t="s">
        <v>2276</v>
      </c>
      <c r="Z2528" s="204" t="s">
        <v>2276</v>
      </c>
      <c r="AA2528" s="204" t="s">
        <v>2276</v>
      </c>
      <c r="AB2528" s="204" t="s">
        <v>2276</v>
      </c>
      <c r="AC2528" s="4" t="s">
        <v>7088</v>
      </c>
      <c r="AD2528" s="204"/>
    </row>
    <row r="2529" spans="1:30" ht="40" customHeight="1">
      <c r="A2529" s="19" t="s">
        <v>7080</v>
      </c>
      <c r="B2529" s="19" t="s">
        <v>7087</v>
      </c>
      <c r="C2529" s="204" t="s">
        <v>24</v>
      </c>
      <c r="D2529" s="204" t="s">
        <v>2804</v>
      </c>
      <c r="E2529" s="204" t="s">
        <v>45</v>
      </c>
      <c r="F2529" s="4" t="s">
        <v>2662</v>
      </c>
      <c r="G2529" s="152" t="s">
        <v>2276</v>
      </c>
      <c r="H2529" s="204" t="s">
        <v>523</v>
      </c>
      <c r="I2529" s="204">
        <v>1979</v>
      </c>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t="s">
        <v>2276</v>
      </c>
      <c r="AB2529" s="204" t="s">
        <v>2276</v>
      </c>
      <c r="AC2529" s="204"/>
      <c r="AD2529" s="204"/>
    </row>
    <row r="2530" spans="1:30" ht="35.5" customHeight="1">
      <c r="A2530" s="19" t="s">
        <v>7095</v>
      </c>
      <c r="B2530" s="19" t="s">
        <v>7184</v>
      </c>
      <c r="C2530" s="204" t="s">
        <v>24</v>
      </c>
      <c r="D2530" s="204" t="s">
        <v>2804</v>
      </c>
      <c r="E2530" s="204" t="s">
        <v>45</v>
      </c>
      <c r="F2530" s="4" t="s">
        <v>2662</v>
      </c>
      <c r="G2530" s="152" t="s">
        <v>2276</v>
      </c>
      <c r="H2530" s="204" t="s">
        <v>523</v>
      </c>
      <c r="I2530" s="20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t="s">
        <v>2276</v>
      </c>
      <c r="AB2530" s="204" t="s">
        <v>2276</v>
      </c>
      <c r="AC2530" s="204"/>
      <c r="AD2530" s="204"/>
    </row>
    <row r="2531" spans="1:30" ht="29">
      <c r="A2531" s="19" t="s">
        <v>7120</v>
      </c>
      <c r="B2531" s="19" t="s">
        <v>7189</v>
      </c>
      <c r="C2531" s="204" t="s">
        <v>24</v>
      </c>
      <c r="D2531" s="204" t="s">
        <v>2804</v>
      </c>
      <c r="E2531" s="204" t="s">
        <v>45</v>
      </c>
      <c r="F2531" s="4" t="s">
        <v>2662</v>
      </c>
      <c r="G2531" s="152" t="s">
        <v>2276</v>
      </c>
      <c r="H2531" s="204" t="s">
        <v>523</v>
      </c>
      <c r="I2531" s="204"/>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t="s">
        <v>2276</v>
      </c>
      <c r="AB2531" s="204" t="s">
        <v>2276</v>
      </c>
      <c r="AC2531" s="204"/>
      <c r="AD2531" s="204"/>
    </row>
    <row r="2532" spans="1:30" ht="29">
      <c r="A2532" s="19" t="s">
        <v>7121</v>
      </c>
      <c r="B2532" s="19" t="s">
        <v>7190</v>
      </c>
      <c r="C2532" s="204" t="s">
        <v>24</v>
      </c>
      <c r="D2532" s="204" t="s">
        <v>2804</v>
      </c>
      <c r="E2532" s="204" t="s">
        <v>45</v>
      </c>
      <c r="F2532" s="4" t="s">
        <v>2662</v>
      </c>
      <c r="G2532" s="152" t="s">
        <v>2276</v>
      </c>
      <c r="H2532" s="204" t="s">
        <v>523</v>
      </c>
      <c r="I2532" s="204"/>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t="s">
        <v>2276</v>
      </c>
      <c r="AB2532" s="204" t="s">
        <v>2276</v>
      </c>
      <c r="AC2532" s="204"/>
      <c r="AD2532" s="204"/>
    </row>
    <row r="2533" spans="1:30" ht="29">
      <c r="A2533" s="19" t="s">
        <v>7122</v>
      </c>
      <c r="B2533" s="19" t="s">
        <v>7191</v>
      </c>
      <c r="C2533" s="204" t="s">
        <v>24</v>
      </c>
      <c r="D2533" s="204" t="s">
        <v>2804</v>
      </c>
      <c r="E2533" s="204" t="s">
        <v>45</v>
      </c>
      <c r="F2533" s="4" t="s">
        <v>2662</v>
      </c>
      <c r="G2533" s="152" t="s">
        <v>2276</v>
      </c>
      <c r="H2533" s="20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t="s">
        <v>2276</v>
      </c>
      <c r="AB2533" s="204" t="s">
        <v>2276</v>
      </c>
      <c r="AC2533" s="204"/>
      <c r="AD2533" s="204"/>
    </row>
    <row r="2534" spans="1:30" ht="29">
      <c r="A2534" s="19" t="s">
        <v>7123</v>
      </c>
      <c r="B2534" s="19" t="s">
        <v>7192</v>
      </c>
      <c r="C2534" s="204" t="s">
        <v>24</v>
      </c>
      <c r="D2534" s="204" t="s">
        <v>2804</v>
      </c>
      <c r="E2534" s="204" t="s">
        <v>45</v>
      </c>
      <c r="F2534" s="4" t="s">
        <v>2662</v>
      </c>
      <c r="G2534" s="152" t="s">
        <v>2276</v>
      </c>
      <c r="H2534" s="204" t="s">
        <v>523</v>
      </c>
      <c r="I2534" s="204"/>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t="s">
        <v>2276</v>
      </c>
      <c r="AB2534" s="204" t="s">
        <v>2276</v>
      </c>
      <c r="AC2534" s="204"/>
      <c r="AD2534" s="204"/>
    </row>
    <row r="2535" spans="1:30" ht="29">
      <c r="A2535" s="19" t="s">
        <v>7124</v>
      </c>
      <c r="B2535" s="19" t="s">
        <v>7193</v>
      </c>
      <c r="C2535" s="204" t="s">
        <v>24</v>
      </c>
      <c r="D2535" s="204" t="s">
        <v>2804</v>
      </c>
      <c r="E2535" s="204" t="s">
        <v>45</v>
      </c>
      <c r="F2535" s="4" t="s">
        <v>2662</v>
      </c>
      <c r="G2535" s="152" t="s">
        <v>2276</v>
      </c>
      <c r="H2535" s="204" t="s">
        <v>523</v>
      </c>
      <c r="I2535" s="204"/>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t="s">
        <v>2276</v>
      </c>
      <c r="AB2535" s="204" t="s">
        <v>2276</v>
      </c>
      <c r="AC2535" s="204"/>
      <c r="AD2535" s="204"/>
    </row>
    <row r="2536" spans="1:30" ht="29">
      <c r="A2536" s="19" t="s">
        <v>7125</v>
      </c>
      <c r="B2536" s="19" t="s">
        <v>7201</v>
      </c>
      <c r="C2536" s="204" t="s">
        <v>24</v>
      </c>
      <c r="D2536" s="204" t="s">
        <v>2804</v>
      </c>
      <c r="E2536" s="204" t="s">
        <v>45</v>
      </c>
      <c r="F2536" s="4" t="s">
        <v>2662</v>
      </c>
      <c r="G2536" s="152" t="s">
        <v>2276</v>
      </c>
      <c r="H2536" s="204" t="s">
        <v>523</v>
      </c>
      <c r="I2536" s="204"/>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t="s">
        <v>2276</v>
      </c>
      <c r="AB2536" s="204" t="s">
        <v>2276</v>
      </c>
      <c r="AC2536" s="204"/>
      <c r="AD2536" s="204"/>
    </row>
    <row r="2537" spans="1:30" ht="37" customHeight="1">
      <c r="A2537" s="19" t="s">
        <v>7169</v>
      </c>
      <c r="B2537" s="19" t="s">
        <v>7221</v>
      </c>
      <c r="C2537" s="204" t="s">
        <v>24</v>
      </c>
      <c r="D2537" s="204" t="s">
        <v>2804</v>
      </c>
      <c r="E2537" s="204" t="s">
        <v>45</v>
      </c>
      <c r="F2537" s="4" t="s">
        <v>2662</v>
      </c>
      <c r="G2537" s="152" t="s">
        <v>2276</v>
      </c>
      <c r="H2537" s="204" t="s">
        <v>523</v>
      </c>
      <c r="I2537" s="204"/>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04" t="s">
        <v>2276</v>
      </c>
      <c r="X2537" s="204" t="s">
        <v>2276</v>
      </c>
      <c r="Y2537" s="204" t="s">
        <v>2276</v>
      </c>
      <c r="Z2537" s="204" t="s">
        <v>34</v>
      </c>
      <c r="AA2537" s="204" t="s">
        <v>405</v>
      </c>
      <c r="AB2537" s="204" t="s">
        <v>2276</v>
      </c>
      <c r="AC2537" s="11" t="s">
        <v>7222</v>
      </c>
      <c r="AD2537" s="204"/>
    </row>
    <row r="2538" spans="1:30" s="203" customFormat="1" ht="37" customHeight="1">
      <c r="A2538" s="19" t="s">
        <v>7169</v>
      </c>
      <c r="B2538" s="19" t="s">
        <v>7223</v>
      </c>
      <c r="C2538" s="204" t="s">
        <v>2458</v>
      </c>
      <c r="D2538" s="204" t="s">
        <v>2804</v>
      </c>
      <c r="E2538" s="204" t="s">
        <v>45</v>
      </c>
      <c r="F2538" s="4" t="s">
        <v>2662</v>
      </c>
      <c r="G2538" s="152" t="s">
        <v>2276</v>
      </c>
      <c r="H2538" s="204" t="s">
        <v>523</v>
      </c>
      <c r="I2538" s="204"/>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204" t="s">
        <v>2276</v>
      </c>
      <c r="AB2538" s="204" t="s">
        <v>2276</v>
      </c>
      <c r="AC2538" s="11" t="s">
        <v>7225</v>
      </c>
      <c r="AD2538" s="204"/>
    </row>
    <row r="2539" spans="1:30" ht="32.5" customHeight="1">
      <c r="A2539" s="19" t="s">
        <v>7170</v>
      </c>
      <c r="B2539" s="19" t="s">
        <v>7224</v>
      </c>
      <c r="C2539" s="204" t="s">
        <v>24</v>
      </c>
      <c r="D2539" s="204" t="s">
        <v>2804</v>
      </c>
      <c r="E2539" s="204" t="s">
        <v>45</v>
      </c>
      <c r="F2539" s="4" t="s">
        <v>2662</v>
      </c>
      <c r="G2539" s="152" t="s">
        <v>2276</v>
      </c>
      <c r="H2539" s="204" t="s">
        <v>523</v>
      </c>
      <c r="I2539" s="204"/>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04" t="s">
        <v>2276</v>
      </c>
      <c r="X2539" s="204" t="s">
        <v>2276</v>
      </c>
      <c r="Y2539" s="204" t="s">
        <v>2276</v>
      </c>
      <c r="Z2539" s="204" t="s">
        <v>34</v>
      </c>
      <c r="AA2539" s="204" t="s">
        <v>405</v>
      </c>
      <c r="AB2539" s="204" t="s">
        <v>2276</v>
      </c>
      <c r="AC2539" s="11" t="s">
        <v>7222</v>
      </c>
      <c r="AD2539" s="204"/>
    </row>
    <row r="2540" spans="1:30" ht="35.5" customHeight="1">
      <c r="A2540" s="19" t="s">
        <v>7171</v>
      </c>
      <c r="B2540" s="19" t="s">
        <v>7226</v>
      </c>
      <c r="C2540" s="204" t="s">
        <v>24</v>
      </c>
      <c r="D2540" s="204" t="s">
        <v>2804</v>
      </c>
      <c r="E2540" s="204" t="s">
        <v>45</v>
      </c>
      <c r="F2540" s="4" t="s">
        <v>2662</v>
      </c>
      <c r="G2540" s="152" t="s">
        <v>2276</v>
      </c>
      <c r="H2540" s="20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34</v>
      </c>
      <c r="AA2540" s="204" t="s">
        <v>405</v>
      </c>
      <c r="AB2540" s="204" t="s">
        <v>2276</v>
      </c>
      <c r="AC2540" s="11" t="s">
        <v>7222</v>
      </c>
      <c r="AD2540" s="204"/>
    </row>
    <row r="2541" spans="1:30" ht="29">
      <c r="A2541" s="19" t="s">
        <v>7172</v>
      </c>
      <c r="B2541" s="19" t="s">
        <v>7228</v>
      </c>
      <c r="C2541" s="204" t="s">
        <v>24</v>
      </c>
      <c r="D2541" s="204" t="s">
        <v>2804</v>
      </c>
      <c r="E2541" s="204" t="s">
        <v>45</v>
      </c>
      <c r="F2541" s="4" t="s">
        <v>2662</v>
      </c>
      <c r="G2541" s="152" t="s">
        <v>2276</v>
      </c>
      <c r="H2541" s="20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204" t="s">
        <v>2276</v>
      </c>
      <c r="AB2541" s="204" t="s">
        <v>2276</v>
      </c>
      <c r="AC2541" s="204"/>
      <c r="AD2541" s="204"/>
    </row>
    <row r="2542" spans="1:30" ht="29">
      <c r="A2542" s="19" t="s">
        <v>7172</v>
      </c>
      <c r="B2542" s="19" t="s">
        <v>7229</v>
      </c>
      <c r="C2542" s="204" t="s">
        <v>24</v>
      </c>
      <c r="D2542" s="204" t="s">
        <v>2804</v>
      </c>
      <c r="E2542" s="204" t="s">
        <v>5005</v>
      </c>
      <c r="F2542" s="4" t="s">
        <v>2662</v>
      </c>
      <c r="G2542" s="152" t="s">
        <v>2276</v>
      </c>
      <c r="H2542" s="20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t="s">
        <v>2276</v>
      </c>
      <c r="AB2542" s="204" t="s">
        <v>2276</v>
      </c>
      <c r="AC2542" s="204"/>
      <c r="AD2542" s="204"/>
    </row>
    <row r="2543" spans="1:30" ht="29">
      <c r="A2543" s="19" t="s">
        <v>7230</v>
      </c>
      <c r="B2543" s="19" t="s">
        <v>7231</v>
      </c>
      <c r="C2543" s="204" t="s">
        <v>24</v>
      </c>
      <c r="D2543" s="204" t="s">
        <v>2804</v>
      </c>
      <c r="E2543" s="204" t="s">
        <v>45</v>
      </c>
      <c r="F2543" s="4" t="s">
        <v>2662</v>
      </c>
      <c r="G2543" s="152" t="s">
        <v>2276</v>
      </c>
      <c r="H2543" s="20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t="s">
        <v>2276</v>
      </c>
      <c r="AB2543" s="204" t="s">
        <v>2276</v>
      </c>
      <c r="AC2543" s="204"/>
      <c r="AD2543" s="204"/>
    </row>
    <row r="2544" spans="1:30" ht="29">
      <c r="A2544" s="19" t="s">
        <v>7230</v>
      </c>
      <c r="B2544" s="19" t="s">
        <v>7232</v>
      </c>
      <c r="C2544" s="204" t="s">
        <v>24</v>
      </c>
      <c r="D2544" s="204" t="s">
        <v>2804</v>
      </c>
      <c r="E2544" s="204" t="s">
        <v>5005</v>
      </c>
      <c r="F2544" s="4" t="s">
        <v>2662</v>
      </c>
      <c r="G2544" s="152" t="s">
        <v>2276</v>
      </c>
      <c r="H2544" s="20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t="s">
        <v>2276</v>
      </c>
      <c r="AB2544" s="204" t="s">
        <v>2276</v>
      </c>
      <c r="AC2544" s="204"/>
      <c r="AD2544" s="204"/>
    </row>
    <row r="2545" spans="1:30" ht="31.5" customHeight="1">
      <c r="A2545" s="19" t="s">
        <v>7234</v>
      </c>
      <c r="B2545" s="19" t="s">
        <v>7241</v>
      </c>
      <c r="C2545" s="204" t="s">
        <v>24</v>
      </c>
      <c r="D2545" s="204" t="s">
        <v>1242</v>
      </c>
      <c r="E2545" s="204" t="s">
        <v>3209</v>
      </c>
      <c r="F2545" s="4" t="s">
        <v>2662</v>
      </c>
      <c r="G2545" s="152" t="s">
        <v>2276</v>
      </c>
      <c r="H2545" s="20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14">
        <v>10000</v>
      </c>
      <c r="U2545" s="204" t="s">
        <v>2276</v>
      </c>
      <c r="V2545" s="204" t="s">
        <v>2276</v>
      </c>
      <c r="W2545" s="204" t="s">
        <v>2276</v>
      </c>
      <c r="X2545" s="14">
        <f>10000/'Record info'!K1110</f>
        <v>6.4794494541387804E-3</v>
      </c>
      <c r="Y2545" s="204" t="s">
        <v>2276</v>
      </c>
      <c r="Z2545" s="204" t="s">
        <v>2276</v>
      </c>
      <c r="AA2545" s="204" t="s">
        <v>2276</v>
      </c>
      <c r="AB2545" s="204" t="s">
        <v>2276</v>
      </c>
      <c r="AC2545" s="4" t="s">
        <v>7250</v>
      </c>
      <c r="AD2545" s="204"/>
    </row>
    <row r="2546" spans="1:30" ht="39" customHeight="1">
      <c r="A2546" s="19" t="s">
        <v>7235</v>
      </c>
      <c r="B2546" s="19" t="s">
        <v>7242</v>
      </c>
      <c r="C2546" s="204" t="s">
        <v>24</v>
      </c>
      <c r="D2546" s="204" t="s">
        <v>1242</v>
      </c>
      <c r="E2546" s="204" t="s">
        <v>3209</v>
      </c>
      <c r="F2546" s="4" t="s">
        <v>2662</v>
      </c>
      <c r="G2546" s="152" t="s">
        <v>2276</v>
      </c>
      <c r="H2546" s="204" t="s">
        <v>524</v>
      </c>
      <c r="I2546" s="204"/>
      <c r="J2546" s="21">
        <v>0</v>
      </c>
      <c r="K2546" s="21">
        <v>0</v>
      </c>
      <c r="L2546" s="21">
        <v>0</v>
      </c>
      <c r="M2546" s="21">
        <v>0</v>
      </c>
      <c r="N2546" s="21">
        <v>0</v>
      </c>
      <c r="O2546" s="21">
        <v>0</v>
      </c>
      <c r="P2546" s="21">
        <v>0</v>
      </c>
      <c r="Q2546" s="21">
        <v>0</v>
      </c>
      <c r="R2546" s="21">
        <v>0</v>
      </c>
      <c r="S2546" s="21">
        <v>0</v>
      </c>
      <c r="T2546" s="21">
        <v>0</v>
      </c>
      <c r="U2546" s="21">
        <v>0</v>
      </c>
      <c r="V2546" s="21">
        <v>0</v>
      </c>
      <c r="W2546" s="21">
        <v>0</v>
      </c>
      <c r="X2546" s="21">
        <v>0</v>
      </c>
      <c r="Y2546" s="204" t="s">
        <v>2276</v>
      </c>
      <c r="Z2546" s="204" t="s">
        <v>2276</v>
      </c>
      <c r="AA2546" s="204" t="s">
        <v>2276</v>
      </c>
      <c r="AB2546" s="204" t="s">
        <v>2276</v>
      </c>
      <c r="AC2546" s="4" t="s">
        <v>7250</v>
      </c>
      <c r="AD2546" s="204"/>
    </row>
    <row r="2547" spans="1:30" ht="31.5" customHeight="1">
      <c r="A2547" s="19" t="s">
        <v>7235</v>
      </c>
      <c r="B2547" s="19" t="s">
        <v>7243</v>
      </c>
      <c r="C2547" s="204" t="s">
        <v>24</v>
      </c>
      <c r="D2547" s="204" t="s">
        <v>1242</v>
      </c>
      <c r="E2547" s="204" t="s">
        <v>3209</v>
      </c>
      <c r="F2547" s="4" t="s">
        <v>2662</v>
      </c>
      <c r="G2547" s="152" t="s">
        <v>2276</v>
      </c>
      <c r="H2547" s="204" t="s">
        <v>524</v>
      </c>
      <c r="I2547" s="204"/>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04" t="s">
        <v>2276</v>
      </c>
      <c r="Z2547" s="204" t="s">
        <v>2276</v>
      </c>
      <c r="AA2547" s="204" t="s">
        <v>2276</v>
      </c>
      <c r="AB2547" s="204" t="s">
        <v>2276</v>
      </c>
      <c r="AC2547" s="204"/>
      <c r="AD2547" s="204"/>
    </row>
    <row r="2548" spans="1:30" ht="32.5" customHeight="1">
      <c r="A2548" s="19" t="s">
        <v>7236</v>
      </c>
      <c r="B2548" s="19" t="s">
        <v>7249</v>
      </c>
      <c r="C2548" s="204" t="s">
        <v>24</v>
      </c>
      <c r="D2548" s="204" t="s">
        <v>1242</v>
      </c>
      <c r="E2548" s="204" t="s">
        <v>3209</v>
      </c>
      <c r="F2548" s="4" t="s">
        <v>2662</v>
      </c>
      <c r="G2548" s="152" t="s">
        <v>2276</v>
      </c>
      <c r="H2548" s="204" t="s">
        <v>523</v>
      </c>
      <c r="I2548" s="204"/>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1">
        <v>0.6</v>
      </c>
      <c r="Y2548" s="204" t="s">
        <v>2276</v>
      </c>
      <c r="Z2548" s="204" t="s">
        <v>2276</v>
      </c>
      <c r="AA2548" s="204" t="s">
        <v>2276</v>
      </c>
      <c r="AB2548" s="204" t="s">
        <v>2276</v>
      </c>
      <c r="AC2548" s="204"/>
      <c r="AD2548" s="204"/>
    </row>
    <row r="2549" spans="1:30" ht="29" customHeight="1">
      <c r="A2549" s="19" t="s">
        <v>7237</v>
      </c>
      <c r="B2549" s="19" t="s">
        <v>7251</v>
      </c>
      <c r="C2549" s="204" t="s">
        <v>24</v>
      </c>
      <c r="D2549" s="204" t="s">
        <v>1242</v>
      </c>
      <c r="E2549" s="204" t="s">
        <v>3209</v>
      </c>
      <c r="F2549" s="4" t="s">
        <v>2662</v>
      </c>
      <c r="G2549" s="152" t="s">
        <v>2276</v>
      </c>
      <c r="H2549" s="20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30" customHeight="1">
      <c r="A2550" s="19" t="s">
        <v>7237</v>
      </c>
      <c r="B2550" s="204" t="s">
        <v>7253</v>
      </c>
      <c r="C2550" s="204" t="s">
        <v>24</v>
      </c>
      <c r="D2550" s="204" t="s">
        <v>2804</v>
      </c>
      <c r="E2550" s="204" t="s">
        <v>45</v>
      </c>
      <c r="F2550" s="4" t="s">
        <v>2662</v>
      </c>
      <c r="G2550" s="152" t="s">
        <v>2276</v>
      </c>
      <c r="H2550" s="204" t="s">
        <v>523</v>
      </c>
      <c r="I2550" s="204"/>
      <c r="J2550" s="204" t="s">
        <v>2276</v>
      </c>
      <c r="K2550" s="204" t="s">
        <v>2276</v>
      </c>
      <c r="L2550" s="204" t="s">
        <v>2276</v>
      </c>
      <c r="M2550" s="204" t="s">
        <v>2276</v>
      </c>
      <c r="N2550" s="204" t="s">
        <v>2276</v>
      </c>
      <c r="O2550" s="204" t="s">
        <v>2276</v>
      </c>
      <c r="P2550" s="204" t="s">
        <v>2276</v>
      </c>
      <c r="Q2550" s="204" t="s">
        <v>2276</v>
      </c>
      <c r="R2550" s="204" t="s">
        <v>2276</v>
      </c>
      <c r="S2550" s="21">
        <v>10000</v>
      </c>
      <c r="T2550" s="204" t="s">
        <v>2276</v>
      </c>
      <c r="U2550" s="204" t="s">
        <v>2276</v>
      </c>
      <c r="V2550" s="204" t="s">
        <v>2276</v>
      </c>
      <c r="W2550" s="21">
        <f>S2550/'Record info'!K1113</f>
        <v>1.3080444735120995</v>
      </c>
      <c r="X2550" s="204" t="s">
        <v>2276</v>
      </c>
      <c r="Y2550" s="204" t="s">
        <v>2276</v>
      </c>
      <c r="Z2550" s="204" t="s">
        <v>2276</v>
      </c>
      <c r="AA2550" s="204" t="s">
        <v>2276</v>
      </c>
      <c r="AB2550" s="204" t="s">
        <v>2276</v>
      </c>
      <c r="AC2550" s="204"/>
      <c r="AD2550" s="204"/>
    </row>
    <row r="2551" spans="1:30" ht="34.5" customHeight="1">
      <c r="A2551" s="19" t="s">
        <v>7237</v>
      </c>
      <c r="B2551" s="19" t="s">
        <v>7254</v>
      </c>
      <c r="C2551" s="204" t="s">
        <v>2458</v>
      </c>
      <c r="D2551" s="204" t="s">
        <v>2804</v>
      </c>
      <c r="E2551" s="204" t="s">
        <v>45</v>
      </c>
      <c r="F2551" s="4" t="s">
        <v>2662</v>
      </c>
      <c r="G2551" s="152" t="s">
        <v>2276</v>
      </c>
      <c r="H2551" s="204" t="s">
        <v>523</v>
      </c>
      <c r="I2551" s="204"/>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t="s">
        <v>2276</v>
      </c>
      <c r="AB2551" s="204" t="s">
        <v>2276</v>
      </c>
      <c r="AC2551" s="204"/>
      <c r="AD2551" s="204"/>
    </row>
    <row r="2552" spans="1:30" ht="28" customHeight="1">
      <c r="A2552" s="19" t="s">
        <v>7238</v>
      </c>
      <c r="B2552" s="19" t="s">
        <v>7252</v>
      </c>
      <c r="C2552" s="204" t="s">
        <v>24</v>
      </c>
      <c r="D2552" s="204" t="s">
        <v>2804</v>
      </c>
      <c r="E2552" s="204" t="s">
        <v>45</v>
      </c>
      <c r="F2552" s="4" t="s">
        <v>2662</v>
      </c>
      <c r="G2552" s="152" t="s">
        <v>2276</v>
      </c>
      <c r="H2552" s="204" t="s">
        <v>523</v>
      </c>
      <c r="I2552" s="204">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t="s">
        <v>2276</v>
      </c>
      <c r="AB2552" s="204" t="s">
        <v>2276</v>
      </c>
      <c r="AC2552" s="204"/>
      <c r="AD2552" s="204"/>
    </row>
    <row r="2553" spans="1:30" ht="28" customHeight="1">
      <c r="A2553" s="19" t="s">
        <v>7238</v>
      </c>
      <c r="B2553" s="19" t="s">
        <v>7259</v>
      </c>
      <c r="C2553" s="204" t="s">
        <v>24</v>
      </c>
      <c r="D2553" s="204" t="s">
        <v>2804</v>
      </c>
      <c r="E2553" s="204" t="s">
        <v>45</v>
      </c>
      <c r="F2553" s="4" t="s">
        <v>2662</v>
      </c>
      <c r="G2553" s="152" t="s">
        <v>2276</v>
      </c>
      <c r="H2553" s="204" t="s">
        <v>523</v>
      </c>
      <c r="I2553" s="204">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204"/>
      <c r="AD2553" s="204"/>
    </row>
    <row r="2554" spans="1:30" ht="28" customHeight="1">
      <c r="A2554" s="19" t="s">
        <v>7238</v>
      </c>
      <c r="B2554" s="19" t="s">
        <v>7260</v>
      </c>
      <c r="C2554" s="204" t="s">
        <v>24</v>
      </c>
      <c r="D2554" s="204" t="s">
        <v>1242</v>
      </c>
      <c r="E2554" s="204" t="s">
        <v>3209</v>
      </c>
      <c r="F2554" s="4" t="s">
        <v>2662</v>
      </c>
      <c r="G2554" s="152" t="s">
        <v>2276</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t="s">
        <v>2276</v>
      </c>
      <c r="AB2554" s="204" t="s">
        <v>2276</v>
      </c>
      <c r="AC2554" s="204"/>
      <c r="AD2554" s="204"/>
    </row>
    <row r="2555" spans="1:30" ht="36" customHeight="1">
      <c r="A2555" s="19" t="s">
        <v>7268</v>
      </c>
      <c r="B2555" s="19" t="s">
        <v>7295</v>
      </c>
      <c r="C2555" s="204" t="s">
        <v>24</v>
      </c>
      <c r="D2555" s="204" t="s">
        <v>1242</v>
      </c>
      <c r="E2555" s="204" t="s">
        <v>3209</v>
      </c>
      <c r="F2555" s="152" t="s">
        <v>2276</v>
      </c>
      <c r="G2555" s="152" t="s">
        <v>2276</v>
      </c>
      <c r="H2555" s="204" t="s">
        <v>524</v>
      </c>
      <c r="I2555" s="204"/>
      <c r="J2555" s="177">
        <v>0</v>
      </c>
      <c r="K2555" s="21">
        <v>0</v>
      </c>
      <c r="L2555" s="21">
        <v>0</v>
      </c>
      <c r="M2555" s="21">
        <v>0</v>
      </c>
      <c r="N2555" s="21">
        <v>0</v>
      </c>
      <c r="O2555" s="21">
        <v>0</v>
      </c>
      <c r="P2555" s="21">
        <v>0</v>
      </c>
      <c r="Q2555" s="21">
        <v>0</v>
      </c>
      <c r="R2555" s="21">
        <v>0</v>
      </c>
      <c r="S2555" s="21">
        <v>0</v>
      </c>
      <c r="T2555" s="21">
        <v>0</v>
      </c>
      <c r="U2555" s="21">
        <v>0</v>
      </c>
      <c r="V2555" s="21">
        <v>0</v>
      </c>
      <c r="W2555" s="21">
        <v>0</v>
      </c>
      <c r="X2555" s="21">
        <v>0</v>
      </c>
      <c r="Y2555" s="204" t="s">
        <v>2276</v>
      </c>
      <c r="Z2555" s="204" t="s">
        <v>2276</v>
      </c>
      <c r="AA2555" s="204" t="s">
        <v>2276</v>
      </c>
      <c r="AB2555" s="204" t="s">
        <v>2276</v>
      </c>
      <c r="AC2555" s="204"/>
      <c r="AD2555" s="204"/>
    </row>
    <row r="2556" spans="1:30" ht="36" customHeight="1">
      <c r="A2556" s="19" t="s">
        <v>7281</v>
      </c>
      <c r="B2556" s="19" t="s">
        <v>7296</v>
      </c>
      <c r="C2556" s="204" t="s">
        <v>24</v>
      </c>
      <c r="D2556" s="204" t="s">
        <v>1242</v>
      </c>
      <c r="E2556" s="204" t="s">
        <v>3209</v>
      </c>
      <c r="F2556" s="152" t="s">
        <v>2276</v>
      </c>
      <c r="G2556" s="152" t="s">
        <v>2276</v>
      </c>
      <c r="H2556" s="204" t="s">
        <v>524</v>
      </c>
      <c r="I2556" s="204"/>
      <c r="J2556" s="177">
        <v>0</v>
      </c>
      <c r="K2556" s="21">
        <v>0</v>
      </c>
      <c r="L2556" s="21">
        <v>0</v>
      </c>
      <c r="M2556" s="21">
        <v>0</v>
      </c>
      <c r="N2556" s="21">
        <v>0</v>
      </c>
      <c r="O2556" s="21">
        <v>0</v>
      </c>
      <c r="P2556" s="21">
        <v>0</v>
      </c>
      <c r="Q2556" s="21">
        <v>0</v>
      </c>
      <c r="R2556" s="21">
        <v>0</v>
      </c>
      <c r="S2556" s="21">
        <v>0</v>
      </c>
      <c r="T2556" s="21">
        <v>0</v>
      </c>
      <c r="U2556" s="21">
        <v>0</v>
      </c>
      <c r="V2556" s="21">
        <v>0</v>
      </c>
      <c r="W2556" s="21">
        <v>0</v>
      </c>
      <c r="X2556" s="21">
        <v>0</v>
      </c>
      <c r="Y2556" s="204" t="s">
        <v>2276</v>
      </c>
      <c r="Z2556" s="204" t="s">
        <v>2276</v>
      </c>
      <c r="AA2556" s="204" t="s">
        <v>2276</v>
      </c>
      <c r="AB2556" s="204" t="s">
        <v>2276</v>
      </c>
      <c r="AC2556" s="204"/>
      <c r="AD2556" s="204"/>
    </row>
    <row r="2557" spans="1:30" ht="36" customHeight="1">
      <c r="A2557" s="19" t="s">
        <v>7282</v>
      </c>
      <c r="B2557" s="19" t="s">
        <v>7297</v>
      </c>
      <c r="C2557" s="204" t="s">
        <v>24</v>
      </c>
      <c r="D2557" s="204" t="s">
        <v>1242</v>
      </c>
      <c r="E2557" s="204" t="s">
        <v>3209</v>
      </c>
      <c r="F2557" s="152" t="s">
        <v>2276</v>
      </c>
      <c r="G2557" s="152" t="s">
        <v>2276</v>
      </c>
      <c r="H2557" s="204" t="s">
        <v>524</v>
      </c>
      <c r="I2557" s="204"/>
      <c r="J2557" s="177">
        <v>0</v>
      </c>
      <c r="K2557" s="21">
        <v>0</v>
      </c>
      <c r="L2557" s="21">
        <v>0</v>
      </c>
      <c r="M2557" s="21">
        <v>0</v>
      </c>
      <c r="N2557" s="21">
        <v>0</v>
      </c>
      <c r="O2557" s="21">
        <v>0</v>
      </c>
      <c r="P2557" s="21">
        <v>0</v>
      </c>
      <c r="Q2557" s="21">
        <v>0</v>
      </c>
      <c r="R2557" s="21">
        <v>0</v>
      </c>
      <c r="S2557" s="21">
        <v>0</v>
      </c>
      <c r="T2557" s="21">
        <v>0</v>
      </c>
      <c r="U2557" s="21">
        <v>0</v>
      </c>
      <c r="V2557" s="21">
        <v>0</v>
      </c>
      <c r="W2557" s="21">
        <v>0</v>
      </c>
      <c r="X2557" s="21">
        <v>0</v>
      </c>
      <c r="Y2557" s="204" t="s">
        <v>2276</v>
      </c>
      <c r="Z2557" s="204" t="s">
        <v>2276</v>
      </c>
      <c r="AA2557" s="204" t="s">
        <v>2276</v>
      </c>
      <c r="AB2557" s="204" t="s">
        <v>2276</v>
      </c>
      <c r="AC2557" s="204"/>
      <c r="AD2557" s="204"/>
    </row>
    <row r="2558" spans="1:30" ht="36" customHeight="1">
      <c r="A2558" s="19" t="s">
        <v>7283</v>
      </c>
      <c r="B2558" s="19" t="s">
        <v>7298</v>
      </c>
      <c r="C2558" s="204" t="s">
        <v>24</v>
      </c>
      <c r="D2558" s="204" t="s">
        <v>1242</v>
      </c>
      <c r="E2558" s="204" t="s">
        <v>3209</v>
      </c>
      <c r="F2558" s="152" t="s">
        <v>2276</v>
      </c>
      <c r="G2558" s="152" t="s">
        <v>2276</v>
      </c>
      <c r="H2558" s="204" t="s">
        <v>524</v>
      </c>
      <c r="I2558" s="204"/>
      <c r="J2558" s="177">
        <v>0</v>
      </c>
      <c r="K2558" s="21">
        <v>0</v>
      </c>
      <c r="L2558" s="21">
        <v>0</v>
      </c>
      <c r="M2558" s="21">
        <v>0</v>
      </c>
      <c r="N2558" s="21">
        <v>0</v>
      </c>
      <c r="O2558" s="21">
        <v>0</v>
      </c>
      <c r="P2558" s="21">
        <v>0</v>
      </c>
      <c r="Q2558" s="21">
        <v>0</v>
      </c>
      <c r="R2558" s="21">
        <v>0</v>
      </c>
      <c r="S2558" s="21">
        <v>0</v>
      </c>
      <c r="T2558" s="21">
        <v>0</v>
      </c>
      <c r="U2558" s="21">
        <v>0</v>
      </c>
      <c r="V2558" s="21">
        <v>0</v>
      </c>
      <c r="W2558" s="21">
        <v>0</v>
      </c>
      <c r="X2558" s="21">
        <v>0</v>
      </c>
      <c r="Y2558" s="204" t="s">
        <v>2276</v>
      </c>
      <c r="Z2558" s="204" t="s">
        <v>2276</v>
      </c>
      <c r="AA2558" s="204" t="s">
        <v>2276</v>
      </c>
      <c r="AB2558" s="204" t="s">
        <v>2276</v>
      </c>
      <c r="AC2558" s="204"/>
      <c r="AD2558" s="204"/>
    </row>
    <row r="2559" spans="1:30" ht="36" customHeight="1">
      <c r="A2559" s="19" t="s">
        <v>7284</v>
      </c>
      <c r="B2559" s="19" t="s">
        <v>7299</v>
      </c>
      <c r="C2559" s="204" t="s">
        <v>24</v>
      </c>
      <c r="D2559" s="204" t="s">
        <v>1242</v>
      </c>
      <c r="E2559" s="204" t="s">
        <v>3209</v>
      </c>
      <c r="F2559" s="152" t="s">
        <v>2276</v>
      </c>
      <c r="G2559" s="152" t="s">
        <v>2276</v>
      </c>
      <c r="H2559" s="204" t="s">
        <v>524</v>
      </c>
      <c r="I2559" s="204"/>
      <c r="J2559" s="177">
        <v>0</v>
      </c>
      <c r="K2559" s="21">
        <v>0</v>
      </c>
      <c r="L2559" s="21">
        <v>0</v>
      </c>
      <c r="M2559" s="21">
        <v>0</v>
      </c>
      <c r="N2559" s="21">
        <v>0</v>
      </c>
      <c r="O2559" s="21">
        <v>0</v>
      </c>
      <c r="P2559" s="21">
        <v>0</v>
      </c>
      <c r="Q2559" s="21">
        <v>0</v>
      </c>
      <c r="R2559" s="21">
        <v>0</v>
      </c>
      <c r="S2559" s="21">
        <v>0</v>
      </c>
      <c r="T2559" s="21">
        <v>0</v>
      </c>
      <c r="U2559" s="21">
        <v>0</v>
      </c>
      <c r="V2559" s="21">
        <v>0</v>
      </c>
      <c r="W2559" s="21">
        <v>0</v>
      </c>
      <c r="X2559" s="21">
        <v>0</v>
      </c>
      <c r="Y2559" s="204" t="s">
        <v>2276</v>
      </c>
      <c r="Z2559" s="204" t="s">
        <v>2276</v>
      </c>
      <c r="AA2559" s="204" t="s">
        <v>2276</v>
      </c>
      <c r="AB2559" s="204" t="s">
        <v>2276</v>
      </c>
      <c r="AC2559" s="204"/>
      <c r="AD2559" s="204"/>
    </row>
    <row r="2560" spans="1:30" ht="36" customHeight="1">
      <c r="A2560" s="19" t="s">
        <v>7285</v>
      </c>
      <c r="B2560" s="19" t="s">
        <v>7300</v>
      </c>
      <c r="C2560" s="204" t="s">
        <v>24</v>
      </c>
      <c r="D2560" s="204" t="s">
        <v>1242</v>
      </c>
      <c r="E2560" s="204" t="s">
        <v>3209</v>
      </c>
      <c r="F2560" s="152" t="s">
        <v>2276</v>
      </c>
      <c r="G2560" s="152" t="s">
        <v>2276</v>
      </c>
      <c r="H2560" s="204" t="s">
        <v>524</v>
      </c>
      <c r="I2560" s="204"/>
      <c r="J2560" s="177">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204"/>
      <c r="AD2560" s="204"/>
    </row>
    <row r="2561" spans="1:30" ht="36" customHeight="1">
      <c r="A2561" s="19" t="s">
        <v>7286</v>
      </c>
      <c r="B2561" s="19" t="s">
        <v>7301</v>
      </c>
      <c r="C2561" s="204" t="s">
        <v>24</v>
      </c>
      <c r="D2561" s="204" t="s">
        <v>1242</v>
      </c>
      <c r="E2561" s="204" t="s">
        <v>3209</v>
      </c>
      <c r="F2561" s="152" t="s">
        <v>2276</v>
      </c>
      <c r="G2561" s="152" t="s">
        <v>2276</v>
      </c>
      <c r="H2561" s="204" t="s">
        <v>524</v>
      </c>
      <c r="I2561" s="204"/>
      <c r="J2561" s="177">
        <v>0</v>
      </c>
      <c r="K2561" s="21">
        <v>0</v>
      </c>
      <c r="L2561" s="21">
        <v>0</v>
      </c>
      <c r="M2561" s="21">
        <v>0</v>
      </c>
      <c r="N2561" s="21">
        <v>0</v>
      </c>
      <c r="O2561" s="21">
        <v>0</v>
      </c>
      <c r="P2561" s="21">
        <v>0</v>
      </c>
      <c r="Q2561" s="21">
        <v>0</v>
      </c>
      <c r="R2561" s="21">
        <v>0</v>
      </c>
      <c r="S2561" s="21">
        <v>0</v>
      </c>
      <c r="T2561" s="21">
        <v>0</v>
      </c>
      <c r="U2561" s="21">
        <v>0</v>
      </c>
      <c r="V2561" s="21">
        <v>0</v>
      </c>
      <c r="W2561" s="21">
        <v>0</v>
      </c>
      <c r="X2561" s="21">
        <v>0</v>
      </c>
      <c r="Y2561" s="204" t="s">
        <v>2276</v>
      </c>
      <c r="Z2561" s="204" t="s">
        <v>2276</v>
      </c>
      <c r="AA2561" s="204" t="s">
        <v>2276</v>
      </c>
      <c r="AB2561" s="204" t="s">
        <v>2276</v>
      </c>
      <c r="AC2561" s="11" t="s">
        <v>7308</v>
      </c>
      <c r="AD2561" s="204"/>
    </row>
    <row r="2562" spans="1:30" ht="36" customHeight="1">
      <c r="A2562" s="19" t="s">
        <v>7287</v>
      </c>
      <c r="B2562" s="19" t="s">
        <v>7302</v>
      </c>
      <c r="C2562" s="204" t="s">
        <v>24</v>
      </c>
      <c r="D2562" s="204" t="s">
        <v>1242</v>
      </c>
      <c r="E2562" s="204" t="s">
        <v>3209</v>
      </c>
      <c r="F2562" s="152" t="s">
        <v>2276</v>
      </c>
      <c r="G2562" s="152" t="s">
        <v>2276</v>
      </c>
      <c r="H2562" s="204" t="s">
        <v>524</v>
      </c>
      <c r="I2562" s="204"/>
      <c r="J2562" s="177">
        <v>0</v>
      </c>
      <c r="K2562" s="177">
        <v>0</v>
      </c>
      <c r="L2562" s="177">
        <v>0</v>
      </c>
      <c r="M2562" s="177">
        <v>0</v>
      </c>
      <c r="N2562" s="177">
        <v>0</v>
      </c>
      <c r="O2562" s="177">
        <v>0</v>
      </c>
      <c r="P2562" s="177">
        <v>0</v>
      </c>
      <c r="Q2562" s="177">
        <v>0</v>
      </c>
      <c r="R2562" s="177">
        <v>0</v>
      </c>
      <c r="S2562" s="177">
        <v>0</v>
      </c>
      <c r="T2562" s="177">
        <v>0</v>
      </c>
      <c r="U2562" s="177">
        <v>0</v>
      </c>
      <c r="V2562" s="177">
        <v>0</v>
      </c>
      <c r="W2562" s="177">
        <v>0</v>
      </c>
      <c r="X2562" s="177">
        <v>0</v>
      </c>
      <c r="Y2562" s="204" t="s">
        <v>2276</v>
      </c>
      <c r="Z2562" s="204" t="s">
        <v>2276</v>
      </c>
      <c r="AA2562" s="204" t="s">
        <v>2276</v>
      </c>
      <c r="AB2562" s="204" t="s">
        <v>2276</v>
      </c>
      <c r="AC2562" s="204"/>
      <c r="AD2562" s="204"/>
    </row>
    <row r="2563" spans="1:30" ht="35" customHeight="1">
      <c r="A2563" s="19" t="s">
        <v>7288</v>
      </c>
      <c r="B2563" s="19" t="s">
        <v>7303</v>
      </c>
      <c r="C2563" s="204" t="s">
        <v>24</v>
      </c>
      <c r="D2563" s="204" t="s">
        <v>1242</v>
      </c>
      <c r="E2563" s="204" t="s">
        <v>3209</v>
      </c>
      <c r="F2563" s="152" t="s">
        <v>2276</v>
      </c>
      <c r="G2563" s="152" t="s">
        <v>2276</v>
      </c>
      <c r="H2563" s="204" t="s">
        <v>523</v>
      </c>
      <c r="I2563" s="204">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f>3000*0.068</f>
        <v>204.00000000000003</v>
      </c>
      <c r="U2563" s="204" t="s">
        <v>2276</v>
      </c>
      <c r="V2563" s="204" t="s">
        <v>2276</v>
      </c>
      <c r="W2563" s="204" t="s">
        <v>2276</v>
      </c>
      <c r="X2563" s="21">
        <f>T2563/'Record info'!K$1115</f>
        <v>7.497794766245223E-3</v>
      </c>
      <c r="Y2563" s="204" t="s">
        <v>2276</v>
      </c>
      <c r="Z2563" s="204" t="s">
        <v>35</v>
      </c>
      <c r="AA2563" s="204" t="s">
        <v>38</v>
      </c>
      <c r="AB2563" s="204" t="s">
        <v>64</v>
      </c>
      <c r="AC2563" s="204" t="s">
        <v>7627</v>
      </c>
      <c r="AD2563" s="204"/>
    </row>
    <row r="2564" spans="1:30" ht="35" customHeight="1">
      <c r="A2564" s="19" t="s">
        <v>7289</v>
      </c>
      <c r="B2564" s="19" t="s">
        <v>7304</v>
      </c>
      <c r="C2564" s="204" t="s">
        <v>24</v>
      </c>
      <c r="D2564" s="204" t="s">
        <v>1242</v>
      </c>
      <c r="E2564" s="204" t="s">
        <v>3209</v>
      </c>
      <c r="F2564" s="152" t="s">
        <v>2276</v>
      </c>
      <c r="G2564" s="152" t="s">
        <v>2276</v>
      </c>
      <c r="H2564" s="204" t="s">
        <v>523</v>
      </c>
      <c r="I2564" s="204">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1">
        <f>3000*0.05</f>
        <v>150</v>
      </c>
      <c r="U2564" s="204" t="s">
        <v>2276</v>
      </c>
      <c r="V2564" s="204" t="s">
        <v>2276</v>
      </c>
      <c r="W2564" s="204" t="s">
        <v>2276</v>
      </c>
      <c r="X2564" s="21">
        <f>T2564/'Record info'!K$1116</f>
        <v>5.0157159098508661E-3</v>
      </c>
      <c r="Y2564" s="204" t="s">
        <v>2276</v>
      </c>
      <c r="Z2564" s="204" t="s">
        <v>35</v>
      </c>
      <c r="AA2564" s="204" t="s">
        <v>38</v>
      </c>
      <c r="AB2564" s="204" t="s">
        <v>64</v>
      </c>
      <c r="AC2564" s="204" t="s">
        <v>7627</v>
      </c>
      <c r="AD2564" s="204"/>
    </row>
    <row r="2565" spans="1:30" ht="35" customHeight="1">
      <c r="A2565" s="19" t="s">
        <v>7290</v>
      </c>
      <c r="B2565" s="19" t="s">
        <v>7305</v>
      </c>
      <c r="C2565" s="204" t="s">
        <v>24</v>
      </c>
      <c r="D2565" s="204" t="s">
        <v>1242</v>
      </c>
      <c r="E2565" s="204" t="s">
        <v>3209</v>
      </c>
      <c r="F2565" s="152" t="s">
        <v>2276</v>
      </c>
      <c r="G2565" s="152" t="s">
        <v>2276</v>
      </c>
      <c r="H2565" s="204" t="s">
        <v>523</v>
      </c>
      <c r="I2565" s="204">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1">
        <f>3000*0.493</f>
        <v>1479</v>
      </c>
      <c r="U2565" s="204" t="s">
        <v>2276</v>
      </c>
      <c r="V2565" s="204" t="s">
        <v>2276</v>
      </c>
      <c r="W2565" s="204" t="s">
        <v>2276</v>
      </c>
      <c r="X2565" s="21">
        <f>T2565/'Record info'!K$1117</f>
        <v>4.6490428441203283E-2</v>
      </c>
      <c r="Y2565" s="204" t="s">
        <v>2276</v>
      </c>
      <c r="Z2565" s="204" t="s">
        <v>35</v>
      </c>
      <c r="AA2565" s="204" t="s">
        <v>38</v>
      </c>
      <c r="AB2565" s="204" t="s">
        <v>64</v>
      </c>
      <c r="AC2565" s="204" t="s">
        <v>7627</v>
      </c>
      <c r="AD2565" s="204"/>
    </row>
    <row r="2566" spans="1:30" ht="35" customHeight="1">
      <c r="A2566" s="19" t="s">
        <v>7291</v>
      </c>
      <c r="B2566" s="19" t="s">
        <v>7306</v>
      </c>
      <c r="C2566" s="204" t="s">
        <v>24</v>
      </c>
      <c r="D2566" s="204" t="s">
        <v>1242</v>
      </c>
      <c r="E2566" s="204" t="s">
        <v>3209</v>
      </c>
      <c r="F2566" s="152" t="s">
        <v>2276</v>
      </c>
      <c r="G2566" s="152" t="s">
        <v>2276</v>
      </c>
      <c r="H2566" s="204" t="s">
        <v>523</v>
      </c>
      <c r="I2566" s="204">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1">
        <f>3000*0.375</f>
        <v>1125</v>
      </c>
      <c r="U2566" s="204" t="s">
        <v>2276</v>
      </c>
      <c r="V2566" s="204" t="s">
        <v>2276</v>
      </c>
      <c r="W2566" s="204" t="s">
        <v>2276</v>
      </c>
      <c r="X2566" s="21">
        <f>T2566/'Record info'!K$1118</f>
        <v>9.3656343656343663E-2</v>
      </c>
      <c r="Y2566" s="204" t="s">
        <v>2276</v>
      </c>
      <c r="Z2566" s="204" t="s">
        <v>35</v>
      </c>
      <c r="AA2566" s="204" t="s">
        <v>38</v>
      </c>
      <c r="AB2566" s="204" t="s">
        <v>64</v>
      </c>
      <c r="AC2566" s="204" t="s">
        <v>7627</v>
      </c>
      <c r="AD2566" s="204"/>
    </row>
    <row r="2567" spans="1:30" ht="35" customHeight="1">
      <c r="A2567" s="19" t="s">
        <v>7292</v>
      </c>
      <c r="B2567" s="19" t="s">
        <v>7307</v>
      </c>
      <c r="C2567" s="204" t="s">
        <v>24</v>
      </c>
      <c r="D2567" s="204" t="s">
        <v>1242</v>
      </c>
      <c r="E2567" s="204" t="s">
        <v>3209</v>
      </c>
      <c r="F2567" s="152" t="s">
        <v>2276</v>
      </c>
      <c r="G2567" s="152" t="s">
        <v>2276</v>
      </c>
      <c r="H2567" s="204" t="s">
        <v>523</v>
      </c>
      <c r="I2567" s="204">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1">
        <f>3000*0.058</f>
        <v>174</v>
      </c>
      <c r="U2567" s="204" t="s">
        <v>2276</v>
      </c>
      <c r="V2567" s="204" t="s">
        <v>2276</v>
      </c>
      <c r="W2567" s="204" t="s">
        <v>2276</v>
      </c>
      <c r="X2567" s="21">
        <f>T2567/'Record info'!K$1119</f>
        <v>3.0296171190778822E-3</v>
      </c>
      <c r="Y2567" s="204" t="s">
        <v>2276</v>
      </c>
      <c r="Z2567" s="204" t="s">
        <v>35</v>
      </c>
      <c r="AA2567" s="204" t="s">
        <v>38</v>
      </c>
      <c r="AB2567" s="204" t="s">
        <v>64</v>
      </c>
      <c r="AC2567" s="204" t="s">
        <v>7627</v>
      </c>
      <c r="AD2567" s="204"/>
    </row>
    <row r="2568" spans="1:30" ht="36.5" customHeight="1">
      <c r="A2568" s="19" t="s">
        <v>7288</v>
      </c>
      <c r="B2568" s="19" t="s">
        <v>7309</v>
      </c>
      <c r="C2568" s="204" t="s">
        <v>24</v>
      </c>
      <c r="D2568" s="204" t="s">
        <v>1242</v>
      </c>
      <c r="E2568" s="204" t="s">
        <v>3209</v>
      </c>
      <c r="F2568" s="152" t="s">
        <v>2276</v>
      </c>
      <c r="G2568" s="152" t="s">
        <v>2276</v>
      </c>
      <c r="H2568" s="204" t="s">
        <v>523</v>
      </c>
      <c r="I2568" s="204">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1">
        <f>5000*0.068</f>
        <v>340</v>
      </c>
      <c r="U2568" s="204" t="s">
        <v>2276</v>
      </c>
      <c r="V2568" s="204" t="s">
        <v>2276</v>
      </c>
      <c r="W2568" s="204" t="s">
        <v>2276</v>
      </c>
      <c r="X2568" s="21">
        <f>T2568/'Record info'!K$1115</f>
        <v>1.2496324610408704E-2</v>
      </c>
      <c r="Y2568" s="204" t="s">
        <v>2276</v>
      </c>
      <c r="Z2568" s="204" t="s">
        <v>35</v>
      </c>
      <c r="AA2568" s="204" t="s">
        <v>38</v>
      </c>
      <c r="AB2568" s="204" t="s">
        <v>64</v>
      </c>
      <c r="AC2568" s="204" t="s">
        <v>7627</v>
      </c>
      <c r="AD2568" s="204"/>
    </row>
    <row r="2569" spans="1:30" ht="36.5" customHeight="1">
      <c r="A2569" s="19" t="s">
        <v>7289</v>
      </c>
      <c r="B2569" s="19" t="s">
        <v>7310</v>
      </c>
      <c r="C2569" s="204" t="s">
        <v>24</v>
      </c>
      <c r="D2569" s="204" t="s">
        <v>1242</v>
      </c>
      <c r="E2569" s="204" t="s">
        <v>3209</v>
      </c>
      <c r="F2569" s="152" t="s">
        <v>2276</v>
      </c>
      <c r="G2569" s="152" t="s">
        <v>2276</v>
      </c>
      <c r="H2569" s="204" t="s">
        <v>523</v>
      </c>
      <c r="I2569" s="204">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1">
        <f>5000*0.05</f>
        <v>250</v>
      </c>
      <c r="U2569" s="204" t="s">
        <v>2276</v>
      </c>
      <c r="V2569" s="204" t="s">
        <v>2276</v>
      </c>
      <c r="W2569" s="204" t="s">
        <v>2276</v>
      </c>
      <c r="X2569" s="21">
        <f>T2569/'Record info'!K$1116</f>
        <v>8.3595265164181105E-3</v>
      </c>
      <c r="Y2569" s="204" t="s">
        <v>2276</v>
      </c>
      <c r="Z2569" s="204" t="s">
        <v>35</v>
      </c>
      <c r="AA2569" s="204" t="s">
        <v>38</v>
      </c>
      <c r="AB2569" s="204" t="s">
        <v>64</v>
      </c>
      <c r="AC2569" s="204" t="s">
        <v>7627</v>
      </c>
      <c r="AD2569" s="204"/>
    </row>
    <row r="2570" spans="1:30" ht="36.5" customHeight="1">
      <c r="A2570" s="19" t="s">
        <v>7290</v>
      </c>
      <c r="B2570" s="19" t="s">
        <v>7311</v>
      </c>
      <c r="C2570" s="204" t="s">
        <v>24</v>
      </c>
      <c r="D2570" s="204" t="s">
        <v>1242</v>
      </c>
      <c r="E2570" s="204" t="s">
        <v>3209</v>
      </c>
      <c r="F2570" s="152" t="s">
        <v>2276</v>
      </c>
      <c r="G2570" s="152" t="s">
        <v>2276</v>
      </c>
      <c r="H2570" s="204" t="s">
        <v>523</v>
      </c>
      <c r="I2570" s="204">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1">
        <f>5000*0.493</f>
        <v>2465</v>
      </c>
      <c r="U2570" s="204" t="s">
        <v>2276</v>
      </c>
      <c r="V2570" s="204" t="s">
        <v>2276</v>
      </c>
      <c r="W2570" s="204" t="s">
        <v>2276</v>
      </c>
      <c r="X2570" s="21">
        <f>T2570/'Record info'!K$1117</f>
        <v>7.7484047402005471E-2</v>
      </c>
      <c r="Y2570" s="204" t="s">
        <v>2276</v>
      </c>
      <c r="Z2570" s="204" t="s">
        <v>35</v>
      </c>
      <c r="AA2570" s="204" t="s">
        <v>38</v>
      </c>
      <c r="AB2570" s="204" t="s">
        <v>64</v>
      </c>
      <c r="AC2570" s="204" t="s">
        <v>7627</v>
      </c>
      <c r="AD2570" s="204"/>
    </row>
    <row r="2571" spans="1:30" ht="36.5" customHeight="1">
      <c r="A2571" s="19" t="s">
        <v>7291</v>
      </c>
      <c r="B2571" s="19" t="s">
        <v>7312</v>
      </c>
      <c r="C2571" s="204" t="s">
        <v>24</v>
      </c>
      <c r="D2571" s="204" t="s">
        <v>1242</v>
      </c>
      <c r="E2571" s="204" t="s">
        <v>3209</v>
      </c>
      <c r="F2571" s="152" t="s">
        <v>2276</v>
      </c>
      <c r="G2571" s="152" t="s">
        <v>2276</v>
      </c>
      <c r="H2571" s="204" t="s">
        <v>523</v>
      </c>
      <c r="I2571" s="204">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1">
        <f>5000*0.375</f>
        <v>1875</v>
      </c>
      <c r="U2571" s="204" t="s">
        <v>2276</v>
      </c>
      <c r="V2571" s="204" t="s">
        <v>2276</v>
      </c>
      <c r="W2571" s="204" t="s">
        <v>2276</v>
      </c>
      <c r="X2571" s="21">
        <f>T2571/'Record info'!K$1118</f>
        <v>0.15609390609390608</v>
      </c>
      <c r="Y2571" s="204" t="s">
        <v>2276</v>
      </c>
      <c r="Z2571" s="204" t="s">
        <v>35</v>
      </c>
      <c r="AA2571" s="204" t="s">
        <v>38</v>
      </c>
      <c r="AB2571" s="204" t="s">
        <v>64</v>
      </c>
      <c r="AC2571" s="204" t="s">
        <v>7627</v>
      </c>
      <c r="AD2571" s="204"/>
    </row>
    <row r="2572" spans="1:30" ht="36.5" customHeight="1">
      <c r="A2572" s="19" t="s">
        <v>7292</v>
      </c>
      <c r="B2572" s="19" t="s">
        <v>7313</v>
      </c>
      <c r="C2572" s="204" t="s">
        <v>24</v>
      </c>
      <c r="D2572" s="204" t="s">
        <v>1242</v>
      </c>
      <c r="E2572" s="204" t="s">
        <v>3209</v>
      </c>
      <c r="F2572" s="152" t="s">
        <v>2276</v>
      </c>
      <c r="G2572" s="152" t="s">
        <v>2276</v>
      </c>
      <c r="H2572" s="204" t="s">
        <v>523</v>
      </c>
      <c r="I2572" s="204">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1">
        <f>5000*0.058</f>
        <v>290</v>
      </c>
      <c r="U2572" s="204" t="s">
        <v>2276</v>
      </c>
      <c r="V2572" s="204" t="s">
        <v>2276</v>
      </c>
      <c r="W2572" s="204" t="s">
        <v>2276</v>
      </c>
      <c r="X2572" s="21">
        <f>T2572/'Record info'!K$1119</f>
        <v>5.0493618651298033E-3</v>
      </c>
      <c r="Y2572" s="204" t="s">
        <v>2276</v>
      </c>
      <c r="Z2572" s="204" t="s">
        <v>35</v>
      </c>
      <c r="AA2572" s="204" t="s">
        <v>38</v>
      </c>
      <c r="AB2572" s="204" t="s">
        <v>64</v>
      </c>
      <c r="AC2572" s="204" t="s">
        <v>7627</v>
      </c>
      <c r="AD2572" s="204"/>
    </row>
    <row r="2573" spans="1:30" ht="36.5" customHeight="1">
      <c r="A2573" s="19" t="s">
        <v>7288</v>
      </c>
      <c r="B2573" s="19" t="s">
        <v>7314</v>
      </c>
      <c r="C2573" s="204" t="s">
        <v>24</v>
      </c>
      <c r="D2573" s="204" t="s">
        <v>1242</v>
      </c>
      <c r="E2573" s="204" t="s">
        <v>3209</v>
      </c>
      <c r="F2573" s="152" t="s">
        <v>2276</v>
      </c>
      <c r="G2573" s="152" t="s">
        <v>2276</v>
      </c>
      <c r="H2573" s="204" t="s">
        <v>523</v>
      </c>
      <c r="I2573" s="11">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1">
        <f>4500*0.068</f>
        <v>306</v>
      </c>
      <c r="U2573" s="204" t="s">
        <v>2276</v>
      </c>
      <c r="V2573" s="204" t="s">
        <v>2276</v>
      </c>
      <c r="W2573" s="204" t="s">
        <v>2276</v>
      </c>
      <c r="X2573" s="21">
        <f>T2573/'Record info'!K$1115</f>
        <v>1.1246692149367833E-2</v>
      </c>
      <c r="Y2573" s="204" t="s">
        <v>2276</v>
      </c>
      <c r="Z2573" s="204" t="s">
        <v>35</v>
      </c>
      <c r="AA2573" s="204" t="s">
        <v>38</v>
      </c>
      <c r="AB2573" s="204" t="s">
        <v>64</v>
      </c>
      <c r="AC2573" s="204" t="s">
        <v>7627</v>
      </c>
      <c r="AD2573" s="204"/>
    </row>
    <row r="2574" spans="1:30" ht="36.5" customHeight="1">
      <c r="A2574" s="19" t="s">
        <v>7289</v>
      </c>
      <c r="B2574" s="19" t="s">
        <v>7315</v>
      </c>
      <c r="C2574" s="204" t="s">
        <v>24</v>
      </c>
      <c r="D2574" s="204" t="s">
        <v>1242</v>
      </c>
      <c r="E2574" s="204" t="s">
        <v>3209</v>
      </c>
      <c r="F2574" s="152" t="s">
        <v>2276</v>
      </c>
      <c r="G2574" s="152" t="s">
        <v>2276</v>
      </c>
      <c r="H2574" s="204" t="s">
        <v>523</v>
      </c>
      <c r="I2574" s="11">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1">
        <f>4500*0.05</f>
        <v>225</v>
      </c>
      <c r="U2574" s="204" t="s">
        <v>2276</v>
      </c>
      <c r="V2574" s="204" t="s">
        <v>2276</v>
      </c>
      <c r="W2574" s="204" t="s">
        <v>2276</v>
      </c>
      <c r="X2574" s="21">
        <f>T2574/'Record info'!K$1116</f>
        <v>7.5235738647762987E-3</v>
      </c>
      <c r="Y2574" s="204" t="s">
        <v>2276</v>
      </c>
      <c r="Z2574" s="204" t="s">
        <v>35</v>
      </c>
      <c r="AA2574" s="204" t="s">
        <v>38</v>
      </c>
      <c r="AB2574" s="204" t="s">
        <v>64</v>
      </c>
      <c r="AC2574" s="204" t="s">
        <v>7627</v>
      </c>
      <c r="AD2574" s="204"/>
    </row>
    <row r="2575" spans="1:30" ht="36.5" customHeight="1">
      <c r="A2575" s="19" t="s">
        <v>7290</v>
      </c>
      <c r="B2575" s="19" t="s">
        <v>7316</v>
      </c>
      <c r="C2575" s="204" t="s">
        <v>24</v>
      </c>
      <c r="D2575" s="204" t="s">
        <v>1242</v>
      </c>
      <c r="E2575" s="204" t="s">
        <v>3209</v>
      </c>
      <c r="F2575" s="152" t="s">
        <v>2276</v>
      </c>
      <c r="G2575" s="152" t="s">
        <v>2276</v>
      </c>
      <c r="H2575" s="204" t="s">
        <v>523</v>
      </c>
      <c r="I2575" s="11">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1">
        <f>4500*0.493</f>
        <v>2218.5</v>
      </c>
      <c r="U2575" s="204" t="s">
        <v>2276</v>
      </c>
      <c r="V2575" s="204" t="s">
        <v>2276</v>
      </c>
      <c r="W2575" s="204" t="s">
        <v>2276</v>
      </c>
      <c r="X2575" s="21">
        <f>T2575/'Record info'!K$1117</f>
        <v>6.9735642661804917E-2</v>
      </c>
      <c r="Y2575" s="204" t="s">
        <v>2276</v>
      </c>
      <c r="Z2575" s="204" t="s">
        <v>35</v>
      </c>
      <c r="AA2575" s="204" t="s">
        <v>38</v>
      </c>
      <c r="AB2575" s="204" t="s">
        <v>64</v>
      </c>
      <c r="AC2575" s="204" t="s">
        <v>7627</v>
      </c>
      <c r="AD2575" s="204"/>
    </row>
    <row r="2576" spans="1:30" ht="36.5" customHeight="1">
      <c r="A2576" s="19" t="s">
        <v>7291</v>
      </c>
      <c r="B2576" s="19" t="s">
        <v>7317</v>
      </c>
      <c r="C2576" s="204" t="s">
        <v>24</v>
      </c>
      <c r="D2576" s="204" t="s">
        <v>1242</v>
      </c>
      <c r="E2576" s="204" t="s">
        <v>3209</v>
      </c>
      <c r="F2576" s="152" t="s">
        <v>2276</v>
      </c>
      <c r="G2576" s="152" t="s">
        <v>2276</v>
      </c>
      <c r="H2576" s="204" t="s">
        <v>523</v>
      </c>
      <c r="I2576" s="11">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1">
        <f>4500*0.375</f>
        <v>1687.5</v>
      </c>
      <c r="U2576" s="204" t="s">
        <v>2276</v>
      </c>
      <c r="V2576" s="204" t="s">
        <v>2276</v>
      </c>
      <c r="W2576" s="204" t="s">
        <v>2276</v>
      </c>
      <c r="X2576" s="21">
        <f>T2576/'Record info'!K$1118</f>
        <v>0.14048451548451549</v>
      </c>
      <c r="Y2576" s="204" t="s">
        <v>2276</v>
      </c>
      <c r="Z2576" s="204" t="s">
        <v>35</v>
      </c>
      <c r="AA2576" s="204" t="s">
        <v>38</v>
      </c>
      <c r="AB2576" s="204" t="s">
        <v>64</v>
      </c>
      <c r="AC2576" s="204" t="s">
        <v>7627</v>
      </c>
      <c r="AD2576" s="204"/>
    </row>
    <row r="2577" spans="1:30" ht="36.5" customHeight="1">
      <c r="A2577" s="19" t="s">
        <v>7292</v>
      </c>
      <c r="B2577" s="19" t="s">
        <v>7318</v>
      </c>
      <c r="C2577" s="204" t="s">
        <v>24</v>
      </c>
      <c r="D2577" s="204" t="s">
        <v>1242</v>
      </c>
      <c r="E2577" s="204" t="s">
        <v>3209</v>
      </c>
      <c r="F2577" s="152" t="s">
        <v>2276</v>
      </c>
      <c r="G2577" s="152" t="s">
        <v>2276</v>
      </c>
      <c r="H2577" s="204" t="s">
        <v>523</v>
      </c>
      <c r="I2577" s="11">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1">
        <f>4500*0.058</f>
        <v>261</v>
      </c>
      <c r="U2577" s="204" t="s">
        <v>2276</v>
      </c>
      <c r="V2577" s="204" t="s">
        <v>2276</v>
      </c>
      <c r="W2577" s="204" t="s">
        <v>2276</v>
      </c>
      <c r="X2577" s="21">
        <f>T2577/'Record info'!K$1119</f>
        <v>4.5444256786168228E-3</v>
      </c>
      <c r="Y2577" s="204" t="s">
        <v>2276</v>
      </c>
      <c r="Z2577" s="204" t="s">
        <v>35</v>
      </c>
      <c r="AA2577" s="204" t="s">
        <v>38</v>
      </c>
      <c r="AB2577" s="204" t="s">
        <v>64</v>
      </c>
      <c r="AC2577" s="204" t="s">
        <v>7627</v>
      </c>
      <c r="AD2577" s="204"/>
    </row>
    <row r="2578" spans="1:30" ht="32.5" customHeight="1">
      <c r="A2578" s="19" t="s">
        <v>7288</v>
      </c>
      <c r="B2578" s="19" t="s">
        <v>7319</v>
      </c>
      <c r="C2578" s="204" t="s">
        <v>24</v>
      </c>
      <c r="D2578" s="204" t="s">
        <v>1242</v>
      </c>
      <c r="E2578" s="204" t="s">
        <v>3209</v>
      </c>
      <c r="F2578" s="152" t="s">
        <v>2276</v>
      </c>
      <c r="G2578" s="152" t="s">
        <v>2276</v>
      </c>
      <c r="H2578" s="204" t="s">
        <v>523</v>
      </c>
      <c r="I2578" s="11">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1">
        <f>3800*0.068</f>
        <v>258.40000000000003</v>
      </c>
      <c r="U2578" s="204" t="s">
        <v>2276</v>
      </c>
      <c r="V2578" s="204" t="s">
        <v>2276</v>
      </c>
      <c r="W2578" s="204" t="s">
        <v>2276</v>
      </c>
      <c r="X2578" s="21">
        <f>T2578/'Record info'!K$1115</f>
        <v>9.4972067039106149E-3</v>
      </c>
      <c r="Y2578" s="204" t="s">
        <v>2276</v>
      </c>
      <c r="Z2578" s="204" t="s">
        <v>35</v>
      </c>
      <c r="AA2578" s="204" t="s">
        <v>38</v>
      </c>
      <c r="AB2578" s="204" t="s">
        <v>64</v>
      </c>
      <c r="AC2578" s="204" t="s">
        <v>7627</v>
      </c>
      <c r="AD2578" s="204"/>
    </row>
    <row r="2579" spans="1:30" ht="32.5" customHeight="1">
      <c r="A2579" s="19" t="s">
        <v>7289</v>
      </c>
      <c r="B2579" s="19" t="s">
        <v>7320</v>
      </c>
      <c r="C2579" s="204" t="s">
        <v>24</v>
      </c>
      <c r="D2579" s="204" t="s">
        <v>1242</v>
      </c>
      <c r="E2579" s="204" t="s">
        <v>3209</v>
      </c>
      <c r="F2579" s="152" t="s">
        <v>2276</v>
      </c>
      <c r="G2579" s="152" t="s">
        <v>2276</v>
      </c>
      <c r="H2579" s="204" t="s">
        <v>523</v>
      </c>
      <c r="I2579" s="11">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1">
        <f>3800*0.05</f>
        <v>190</v>
      </c>
      <c r="U2579" s="204" t="s">
        <v>2276</v>
      </c>
      <c r="V2579" s="204" t="s">
        <v>2276</v>
      </c>
      <c r="W2579" s="204" t="s">
        <v>2276</v>
      </c>
      <c r="X2579" s="21">
        <f>T2579/'Record info'!K$1116</f>
        <v>6.3532401524777635E-3</v>
      </c>
      <c r="Y2579" s="204" t="s">
        <v>2276</v>
      </c>
      <c r="Z2579" s="204" t="s">
        <v>35</v>
      </c>
      <c r="AA2579" s="204" t="s">
        <v>38</v>
      </c>
      <c r="AB2579" s="204" t="s">
        <v>64</v>
      </c>
      <c r="AC2579" s="204" t="s">
        <v>7627</v>
      </c>
      <c r="AD2579" s="204"/>
    </row>
    <row r="2580" spans="1:30" ht="32.5" customHeight="1">
      <c r="A2580" s="19" t="s">
        <v>7290</v>
      </c>
      <c r="B2580" s="19" t="s">
        <v>7321</v>
      </c>
      <c r="C2580" s="204" t="s">
        <v>24</v>
      </c>
      <c r="D2580" s="204" t="s">
        <v>1242</v>
      </c>
      <c r="E2580" s="204" t="s">
        <v>3209</v>
      </c>
      <c r="F2580" s="152" t="s">
        <v>2276</v>
      </c>
      <c r="G2580" s="152" t="s">
        <v>2276</v>
      </c>
      <c r="H2580" s="204" t="s">
        <v>523</v>
      </c>
      <c r="I2580" s="11">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1">
        <f>3800*0.493</f>
        <v>1873.3999999999999</v>
      </c>
      <c r="U2580" s="204" t="s">
        <v>2276</v>
      </c>
      <c r="V2580" s="204" t="s">
        <v>2276</v>
      </c>
      <c r="W2580" s="204" t="s">
        <v>2276</v>
      </c>
      <c r="X2580" s="21">
        <f>T2580/'Record info'!K$1117</f>
        <v>5.8887876025524151E-2</v>
      </c>
      <c r="Y2580" s="204" t="s">
        <v>2276</v>
      </c>
      <c r="Z2580" s="204" t="s">
        <v>35</v>
      </c>
      <c r="AA2580" s="204" t="s">
        <v>38</v>
      </c>
      <c r="AB2580" s="204" t="s">
        <v>64</v>
      </c>
      <c r="AC2580" s="204" t="s">
        <v>7627</v>
      </c>
      <c r="AD2580" s="204"/>
    </row>
    <row r="2581" spans="1:30" ht="32.5" customHeight="1">
      <c r="A2581" s="19" t="s">
        <v>7291</v>
      </c>
      <c r="B2581" s="19" t="s">
        <v>7322</v>
      </c>
      <c r="C2581" s="204" t="s">
        <v>24</v>
      </c>
      <c r="D2581" s="204" t="s">
        <v>1242</v>
      </c>
      <c r="E2581" s="204" t="s">
        <v>3209</v>
      </c>
      <c r="F2581" s="152" t="s">
        <v>2276</v>
      </c>
      <c r="G2581" s="152" t="s">
        <v>2276</v>
      </c>
      <c r="H2581" s="204" t="s">
        <v>523</v>
      </c>
      <c r="I2581" s="11">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1">
        <f>3800*0.375</f>
        <v>1425</v>
      </c>
      <c r="U2581" s="204" t="s">
        <v>2276</v>
      </c>
      <c r="V2581" s="204" t="s">
        <v>2276</v>
      </c>
      <c r="W2581" s="204" t="s">
        <v>2276</v>
      </c>
      <c r="X2581" s="21">
        <f>T2581/'Record info'!K$1118</f>
        <v>0.11863136863136862</v>
      </c>
      <c r="Y2581" s="204" t="s">
        <v>2276</v>
      </c>
      <c r="Z2581" s="204" t="s">
        <v>35</v>
      </c>
      <c r="AA2581" s="204" t="s">
        <v>38</v>
      </c>
      <c r="AB2581" s="204" t="s">
        <v>64</v>
      </c>
      <c r="AC2581" s="204" t="s">
        <v>7627</v>
      </c>
      <c r="AD2581" s="204"/>
    </row>
    <row r="2582" spans="1:30" ht="32.5" customHeight="1">
      <c r="A2582" s="19" t="s">
        <v>7292</v>
      </c>
      <c r="B2582" s="19" t="s">
        <v>7323</v>
      </c>
      <c r="C2582" s="204" t="s">
        <v>24</v>
      </c>
      <c r="D2582" s="204" t="s">
        <v>1242</v>
      </c>
      <c r="E2582" s="204" t="s">
        <v>3209</v>
      </c>
      <c r="F2582" s="152" t="s">
        <v>2276</v>
      </c>
      <c r="G2582" s="152" t="s">
        <v>2276</v>
      </c>
      <c r="H2582" s="204" t="s">
        <v>523</v>
      </c>
      <c r="I2582" s="11">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1">
        <f>3800*0.058</f>
        <v>220.4</v>
      </c>
      <c r="U2582" s="204" t="s">
        <v>2276</v>
      </c>
      <c r="V2582" s="204" t="s">
        <v>2276</v>
      </c>
      <c r="W2582" s="204" t="s">
        <v>2276</v>
      </c>
      <c r="X2582" s="21">
        <f>T2582/'Record info'!K$1119</f>
        <v>3.8375150174986506E-3</v>
      </c>
      <c r="Y2582" s="204" t="s">
        <v>2276</v>
      </c>
      <c r="Z2582" s="204" t="s">
        <v>35</v>
      </c>
      <c r="AA2582" s="204" t="s">
        <v>38</v>
      </c>
      <c r="AB2582" s="204" t="s">
        <v>64</v>
      </c>
      <c r="AC2582" s="204" t="s">
        <v>7627</v>
      </c>
      <c r="AD2582" s="204"/>
    </row>
    <row r="2583" spans="1:30" ht="28" customHeight="1">
      <c r="A2583" s="19" t="s">
        <v>7288</v>
      </c>
      <c r="B2583" s="19" t="s">
        <v>7324</v>
      </c>
      <c r="C2583" s="204" t="s">
        <v>24</v>
      </c>
      <c r="D2583" s="204" t="s">
        <v>1242</v>
      </c>
      <c r="E2583" s="204" t="s">
        <v>3209</v>
      </c>
      <c r="F2583" s="152" t="s">
        <v>2276</v>
      </c>
      <c r="G2583" s="152" t="s">
        <v>2276</v>
      </c>
      <c r="H2583" s="204" t="s">
        <v>523</v>
      </c>
      <c r="I2583" s="11">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1">
        <f>2500*0.068</f>
        <v>170</v>
      </c>
      <c r="U2583" s="204" t="s">
        <v>2276</v>
      </c>
      <c r="V2583" s="204" t="s">
        <v>2276</v>
      </c>
      <c r="W2583" s="204" t="s">
        <v>2276</v>
      </c>
      <c r="X2583" s="21">
        <f>T2583/'Record info'!K$1115</f>
        <v>6.2481623052043521E-3</v>
      </c>
      <c r="Y2583" s="204" t="s">
        <v>2276</v>
      </c>
      <c r="Z2583" s="204" t="s">
        <v>35</v>
      </c>
      <c r="AA2583" s="204" t="s">
        <v>38</v>
      </c>
      <c r="AB2583" s="204" t="s">
        <v>64</v>
      </c>
      <c r="AC2583" s="204" t="s">
        <v>7627</v>
      </c>
      <c r="AD2583" s="204"/>
    </row>
    <row r="2584" spans="1:30" ht="28" customHeight="1">
      <c r="A2584" s="19" t="s">
        <v>7289</v>
      </c>
      <c r="B2584" s="19" t="s">
        <v>7325</v>
      </c>
      <c r="C2584" s="204" t="s">
        <v>24</v>
      </c>
      <c r="D2584" s="204" t="s">
        <v>1242</v>
      </c>
      <c r="E2584" s="204" t="s">
        <v>3209</v>
      </c>
      <c r="F2584" s="152" t="s">
        <v>2276</v>
      </c>
      <c r="G2584" s="152" t="s">
        <v>2276</v>
      </c>
      <c r="H2584" s="204" t="s">
        <v>523</v>
      </c>
      <c r="I2584" s="11">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1">
        <f>2500*0.05</f>
        <v>125</v>
      </c>
      <c r="U2584" s="204" t="s">
        <v>2276</v>
      </c>
      <c r="V2584" s="204" t="s">
        <v>2276</v>
      </c>
      <c r="W2584" s="204" t="s">
        <v>2276</v>
      </c>
      <c r="X2584" s="21">
        <f>T2584/'Record info'!K$1116</f>
        <v>4.1797632582090552E-3</v>
      </c>
      <c r="Y2584" s="204" t="s">
        <v>2276</v>
      </c>
      <c r="Z2584" s="204" t="s">
        <v>35</v>
      </c>
      <c r="AA2584" s="204" t="s">
        <v>38</v>
      </c>
      <c r="AB2584" s="204" t="s">
        <v>64</v>
      </c>
      <c r="AC2584" s="204" t="s">
        <v>7627</v>
      </c>
      <c r="AD2584" s="204"/>
    </row>
    <row r="2585" spans="1:30" ht="28" customHeight="1">
      <c r="A2585" s="19" t="s">
        <v>7290</v>
      </c>
      <c r="B2585" s="19" t="s">
        <v>7326</v>
      </c>
      <c r="C2585" s="204" t="s">
        <v>24</v>
      </c>
      <c r="D2585" s="204" t="s">
        <v>1242</v>
      </c>
      <c r="E2585" s="204" t="s">
        <v>3209</v>
      </c>
      <c r="F2585" s="152" t="s">
        <v>2276</v>
      </c>
      <c r="G2585" s="152" t="s">
        <v>2276</v>
      </c>
      <c r="H2585" s="204" t="s">
        <v>523</v>
      </c>
      <c r="I2585" s="11">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1">
        <f>2500*0.493</f>
        <v>1232.5</v>
      </c>
      <c r="U2585" s="204" t="s">
        <v>2276</v>
      </c>
      <c r="V2585" s="204" t="s">
        <v>2276</v>
      </c>
      <c r="W2585" s="204" t="s">
        <v>2276</v>
      </c>
      <c r="X2585" s="21">
        <f>T2585/'Record info'!K$1117</f>
        <v>3.8742023701002735E-2</v>
      </c>
      <c r="Y2585" s="204" t="s">
        <v>2276</v>
      </c>
      <c r="Z2585" s="204" t="s">
        <v>35</v>
      </c>
      <c r="AA2585" s="204" t="s">
        <v>38</v>
      </c>
      <c r="AB2585" s="204" t="s">
        <v>64</v>
      </c>
      <c r="AC2585" s="204" t="s">
        <v>7627</v>
      </c>
      <c r="AD2585" s="204"/>
    </row>
    <row r="2586" spans="1:30" ht="28" customHeight="1">
      <c r="A2586" s="19" t="s">
        <v>7291</v>
      </c>
      <c r="B2586" s="19" t="s">
        <v>7327</v>
      </c>
      <c r="C2586" s="204" t="s">
        <v>24</v>
      </c>
      <c r="D2586" s="204" t="s">
        <v>1242</v>
      </c>
      <c r="E2586" s="204" t="s">
        <v>3209</v>
      </c>
      <c r="F2586" s="152" t="s">
        <v>2276</v>
      </c>
      <c r="G2586" s="152" t="s">
        <v>2276</v>
      </c>
      <c r="H2586" s="204" t="s">
        <v>523</v>
      </c>
      <c r="I2586" s="11">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1">
        <f>2500*0.375</f>
        <v>937.5</v>
      </c>
      <c r="U2586" s="204" t="s">
        <v>2276</v>
      </c>
      <c r="V2586" s="204" t="s">
        <v>2276</v>
      </c>
      <c r="W2586" s="204" t="s">
        <v>2276</v>
      </c>
      <c r="X2586" s="21">
        <f>T2586/'Record info'!K$1118</f>
        <v>7.8046953046953041E-2</v>
      </c>
      <c r="Y2586" s="204" t="s">
        <v>2276</v>
      </c>
      <c r="Z2586" s="204" t="s">
        <v>35</v>
      </c>
      <c r="AA2586" s="204" t="s">
        <v>38</v>
      </c>
      <c r="AB2586" s="204" t="s">
        <v>64</v>
      </c>
      <c r="AC2586" s="204" t="s">
        <v>7627</v>
      </c>
      <c r="AD2586" s="204"/>
    </row>
    <row r="2587" spans="1:30" ht="28" customHeight="1">
      <c r="A2587" s="19" t="s">
        <v>7292</v>
      </c>
      <c r="B2587" s="19" t="s">
        <v>7328</v>
      </c>
      <c r="C2587" s="204" t="s">
        <v>24</v>
      </c>
      <c r="D2587" s="204" t="s">
        <v>1242</v>
      </c>
      <c r="E2587" s="204" t="s">
        <v>3209</v>
      </c>
      <c r="F2587" s="152" t="s">
        <v>2276</v>
      </c>
      <c r="G2587" s="152" t="s">
        <v>2276</v>
      </c>
      <c r="H2587" s="204" t="s">
        <v>523</v>
      </c>
      <c r="I2587" s="11">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1">
        <f>2500*0.058</f>
        <v>145</v>
      </c>
      <c r="U2587" s="204" t="s">
        <v>2276</v>
      </c>
      <c r="V2587" s="204" t="s">
        <v>2276</v>
      </c>
      <c r="W2587" s="204" t="s">
        <v>2276</v>
      </c>
      <c r="X2587" s="21">
        <f>T2587/'Record info'!K$1119</f>
        <v>2.5246809325649017E-3</v>
      </c>
      <c r="Y2587" s="204" t="s">
        <v>2276</v>
      </c>
      <c r="Z2587" s="204" t="s">
        <v>35</v>
      </c>
      <c r="AA2587" s="204" t="s">
        <v>38</v>
      </c>
      <c r="AB2587" s="204" t="s">
        <v>64</v>
      </c>
      <c r="AC2587" s="204" t="s">
        <v>7627</v>
      </c>
      <c r="AD2587" s="204"/>
    </row>
    <row r="2588" spans="1:30" ht="26.5" customHeight="1">
      <c r="A2588" s="19" t="s">
        <v>7288</v>
      </c>
      <c r="B2588" s="19" t="s">
        <v>7329</v>
      </c>
      <c r="C2588" s="204" t="s">
        <v>24</v>
      </c>
      <c r="D2588" s="204" t="s">
        <v>1242</v>
      </c>
      <c r="E2588" s="204" t="s">
        <v>3209</v>
      </c>
      <c r="F2588" s="152" t="s">
        <v>2276</v>
      </c>
      <c r="G2588" s="152" t="s">
        <v>2276</v>
      </c>
      <c r="H2588" s="204" t="s">
        <v>523</v>
      </c>
      <c r="I2588" s="11">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1">
        <f>2250*0.068</f>
        <v>153</v>
      </c>
      <c r="U2588" s="204" t="s">
        <v>2276</v>
      </c>
      <c r="V2588" s="204" t="s">
        <v>2276</v>
      </c>
      <c r="W2588" s="204" t="s">
        <v>2276</v>
      </c>
      <c r="X2588" s="21">
        <f>T2588/'Record info'!K$1115</f>
        <v>5.6233460746839166E-3</v>
      </c>
      <c r="Y2588" s="204" t="s">
        <v>2276</v>
      </c>
      <c r="Z2588" s="204" t="s">
        <v>35</v>
      </c>
      <c r="AA2588" s="204" t="s">
        <v>38</v>
      </c>
      <c r="AB2588" s="204" t="s">
        <v>64</v>
      </c>
      <c r="AC2588" s="204" t="s">
        <v>7627</v>
      </c>
      <c r="AD2588" s="204"/>
    </row>
    <row r="2589" spans="1:30" ht="26.5" customHeight="1">
      <c r="A2589" s="19" t="s">
        <v>7289</v>
      </c>
      <c r="B2589" s="19" t="s">
        <v>7330</v>
      </c>
      <c r="C2589" s="204" t="s">
        <v>24</v>
      </c>
      <c r="D2589" s="204" t="s">
        <v>1242</v>
      </c>
      <c r="E2589" s="204" t="s">
        <v>3209</v>
      </c>
      <c r="F2589" s="152" t="s">
        <v>2276</v>
      </c>
      <c r="G2589" s="152" t="s">
        <v>2276</v>
      </c>
      <c r="H2589" s="204" t="s">
        <v>523</v>
      </c>
      <c r="I2589" s="11">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1">
        <f>2250*0.05</f>
        <v>112.5</v>
      </c>
      <c r="U2589" s="204" t="s">
        <v>2276</v>
      </c>
      <c r="V2589" s="204" t="s">
        <v>2276</v>
      </c>
      <c r="W2589" s="204" t="s">
        <v>2276</v>
      </c>
      <c r="X2589" s="21">
        <f>T2589/'Record info'!K$1116</f>
        <v>3.7617869323881494E-3</v>
      </c>
      <c r="Y2589" s="204" t="s">
        <v>2276</v>
      </c>
      <c r="Z2589" s="204" t="s">
        <v>35</v>
      </c>
      <c r="AA2589" s="204" t="s">
        <v>38</v>
      </c>
      <c r="AB2589" s="204" t="s">
        <v>64</v>
      </c>
      <c r="AC2589" s="204" t="s">
        <v>7627</v>
      </c>
      <c r="AD2589" s="204"/>
    </row>
    <row r="2590" spans="1:30" ht="26.5" customHeight="1">
      <c r="A2590" s="19" t="s">
        <v>7290</v>
      </c>
      <c r="B2590" s="19" t="s">
        <v>7331</v>
      </c>
      <c r="C2590" s="204" t="s">
        <v>24</v>
      </c>
      <c r="D2590" s="204" t="s">
        <v>1242</v>
      </c>
      <c r="E2590" s="204" t="s">
        <v>3209</v>
      </c>
      <c r="F2590" s="152" t="s">
        <v>2276</v>
      </c>
      <c r="G2590" s="152" t="s">
        <v>2276</v>
      </c>
      <c r="H2590" s="204" t="s">
        <v>523</v>
      </c>
      <c r="I2590" s="11">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1">
        <f>2250*0.493</f>
        <v>1109.25</v>
      </c>
      <c r="U2590" s="204" t="s">
        <v>2276</v>
      </c>
      <c r="V2590" s="204" t="s">
        <v>2276</v>
      </c>
      <c r="W2590" s="204" t="s">
        <v>2276</v>
      </c>
      <c r="X2590" s="21">
        <f>T2590/'Record info'!K$1117</f>
        <v>3.4867821330902458E-2</v>
      </c>
      <c r="Y2590" s="204" t="s">
        <v>2276</v>
      </c>
      <c r="Z2590" s="204" t="s">
        <v>35</v>
      </c>
      <c r="AA2590" s="204" t="s">
        <v>38</v>
      </c>
      <c r="AB2590" s="204" t="s">
        <v>64</v>
      </c>
      <c r="AC2590" s="204" t="s">
        <v>7627</v>
      </c>
      <c r="AD2590" s="204"/>
    </row>
    <row r="2591" spans="1:30" ht="26.5" customHeight="1">
      <c r="A2591" s="19" t="s">
        <v>7291</v>
      </c>
      <c r="B2591" s="19" t="s">
        <v>7332</v>
      </c>
      <c r="C2591" s="204" t="s">
        <v>24</v>
      </c>
      <c r="D2591" s="204" t="s">
        <v>1242</v>
      </c>
      <c r="E2591" s="204" t="s">
        <v>3209</v>
      </c>
      <c r="F2591" s="152" t="s">
        <v>2276</v>
      </c>
      <c r="G2591" s="152" t="s">
        <v>2276</v>
      </c>
      <c r="H2591" s="204" t="s">
        <v>523</v>
      </c>
      <c r="I2591" s="11">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1">
        <f>2250*0.375</f>
        <v>843.75</v>
      </c>
      <c r="U2591" s="204" t="s">
        <v>2276</v>
      </c>
      <c r="V2591" s="204" t="s">
        <v>2276</v>
      </c>
      <c r="W2591" s="204" t="s">
        <v>2276</v>
      </c>
      <c r="X2591" s="21">
        <f>T2591/'Record info'!K$1118</f>
        <v>7.0242257742257744E-2</v>
      </c>
      <c r="Y2591" s="204" t="s">
        <v>2276</v>
      </c>
      <c r="Z2591" s="204" t="s">
        <v>35</v>
      </c>
      <c r="AA2591" s="204" t="s">
        <v>38</v>
      </c>
      <c r="AB2591" s="204" t="s">
        <v>64</v>
      </c>
      <c r="AC2591" s="204" t="s">
        <v>7627</v>
      </c>
      <c r="AD2591" s="204"/>
    </row>
    <row r="2592" spans="1:30" ht="26.5" customHeight="1">
      <c r="A2592" s="19" t="s">
        <v>7292</v>
      </c>
      <c r="B2592" s="19" t="s">
        <v>7333</v>
      </c>
      <c r="C2592" s="204" t="s">
        <v>24</v>
      </c>
      <c r="D2592" s="204" t="s">
        <v>1242</v>
      </c>
      <c r="E2592" s="204" t="s">
        <v>3209</v>
      </c>
      <c r="F2592" s="152" t="s">
        <v>2276</v>
      </c>
      <c r="G2592" s="152" t="s">
        <v>2276</v>
      </c>
      <c r="H2592" s="204" t="s">
        <v>523</v>
      </c>
      <c r="I2592" s="11">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1">
        <f>2250*0.058</f>
        <v>130.5</v>
      </c>
      <c r="U2592" s="204" t="s">
        <v>2276</v>
      </c>
      <c r="V2592" s="204" t="s">
        <v>2276</v>
      </c>
      <c r="W2592" s="204" t="s">
        <v>2276</v>
      </c>
      <c r="X2592" s="21">
        <f>T2592/'Record info'!K$1119</f>
        <v>2.2722128393084114E-3</v>
      </c>
      <c r="Y2592" s="204" t="s">
        <v>2276</v>
      </c>
      <c r="Z2592" s="204" t="s">
        <v>35</v>
      </c>
      <c r="AA2592" s="204" t="s">
        <v>38</v>
      </c>
      <c r="AB2592" s="204" t="s">
        <v>64</v>
      </c>
      <c r="AC2592" s="204" t="s">
        <v>7627</v>
      </c>
      <c r="AD2592" s="204"/>
    </row>
    <row r="2593" spans="1:30" ht="24.5" customHeight="1">
      <c r="A2593" s="19" t="s">
        <v>7288</v>
      </c>
      <c r="B2593" s="19" t="s">
        <v>7334</v>
      </c>
      <c r="C2593" s="204" t="s">
        <v>24</v>
      </c>
      <c r="D2593" s="204" t="s">
        <v>1242</v>
      </c>
      <c r="E2593" s="204" t="s">
        <v>3209</v>
      </c>
      <c r="F2593" s="152" t="s">
        <v>2276</v>
      </c>
      <c r="G2593" s="152" t="s">
        <v>2276</v>
      </c>
      <c r="H2593" s="204" t="s">
        <v>523</v>
      </c>
      <c r="I2593" s="11">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1">
        <f>4500*0.068</f>
        <v>306</v>
      </c>
      <c r="U2593" s="204" t="s">
        <v>2276</v>
      </c>
      <c r="V2593" s="204" t="s">
        <v>2276</v>
      </c>
      <c r="W2593" s="204" t="s">
        <v>2276</v>
      </c>
      <c r="X2593" s="21">
        <f>T2593/'Record info'!K$1115</f>
        <v>1.1246692149367833E-2</v>
      </c>
      <c r="Y2593" s="204" t="s">
        <v>2276</v>
      </c>
      <c r="Z2593" s="204" t="s">
        <v>35</v>
      </c>
      <c r="AA2593" s="204" t="s">
        <v>38</v>
      </c>
      <c r="AB2593" s="204" t="s">
        <v>64</v>
      </c>
      <c r="AC2593" s="204" t="s">
        <v>7627</v>
      </c>
      <c r="AD2593" s="204"/>
    </row>
    <row r="2594" spans="1:30" ht="24.5" customHeight="1">
      <c r="A2594" s="19" t="s">
        <v>7289</v>
      </c>
      <c r="B2594" s="19" t="s">
        <v>7335</v>
      </c>
      <c r="C2594" s="204" t="s">
        <v>24</v>
      </c>
      <c r="D2594" s="204" t="s">
        <v>1242</v>
      </c>
      <c r="E2594" s="204" t="s">
        <v>3209</v>
      </c>
      <c r="F2594" s="152" t="s">
        <v>2276</v>
      </c>
      <c r="G2594" s="152" t="s">
        <v>2276</v>
      </c>
      <c r="H2594" s="204" t="s">
        <v>523</v>
      </c>
      <c r="I2594" s="11">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1">
        <f>4500*0.05</f>
        <v>225</v>
      </c>
      <c r="U2594" s="204" t="s">
        <v>2276</v>
      </c>
      <c r="V2594" s="204" t="s">
        <v>2276</v>
      </c>
      <c r="W2594" s="204" t="s">
        <v>2276</v>
      </c>
      <c r="X2594" s="21">
        <f>T2594/'Record info'!K$1116</f>
        <v>7.5235738647762987E-3</v>
      </c>
      <c r="Y2594" s="204" t="s">
        <v>2276</v>
      </c>
      <c r="Z2594" s="204" t="s">
        <v>35</v>
      </c>
      <c r="AA2594" s="204" t="s">
        <v>38</v>
      </c>
      <c r="AB2594" s="204" t="s">
        <v>64</v>
      </c>
      <c r="AC2594" s="204" t="s">
        <v>7627</v>
      </c>
      <c r="AD2594" s="204"/>
    </row>
    <row r="2595" spans="1:30" ht="24.5" customHeight="1">
      <c r="A2595" s="19" t="s">
        <v>7290</v>
      </c>
      <c r="B2595" s="19" t="s">
        <v>7336</v>
      </c>
      <c r="C2595" s="204" t="s">
        <v>24</v>
      </c>
      <c r="D2595" s="204" t="s">
        <v>1242</v>
      </c>
      <c r="E2595" s="204" t="s">
        <v>3209</v>
      </c>
      <c r="F2595" s="152" t="s">
        <v>2276</v>
      </c>
      <c r="G2595" s="152" t="s">
        <v>2276</v>
      </c>
      <c r="H2595" s="204" t="s">
        <v>523</v>
      </c>
      <c r="I2595" s="11">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1">
        <f>4500*0.493</f>
        <v>2218.5</v>
      </c>
      <c r="U2595" s="204" t="s">
        <v>2276</v>
      </c>
      <c r="V2595" s="204" t="s">
        <v>2276</v>
      </c>
      <c r="W2595" s="204" t="s">
        <v>2276</v>
      </c>
      <c r="X2595" s="21">
        <f>T2595/'Record info'!K$1117</f>
        <v>6.9735642661804917E-2</v>
      </c>
      <c r="Y2595" s="204" t="s">
        <v>2276</v>
      </c>
      <c r="Z2595" s="204" t="s">
        <v>35</v>
      </c>
      <c r="AA2595" s="204" t="s">
        <v>38</v>
      </c>
      <c r="AB2595" s="204" t="s">
        <v>64</v>
      </c>
      <c r="AC2595" s="204" t="s">
        <v>7627</v>
      </c>
      <c r="AD2595" s="204"/>
    </row>
    <row r="2596" spans="1:30" ht="24.5" customHeight="1">
      <c r="A2596" s="19" t="s">
        <v>7291</v>
      </c>
      <c r="B2596" s="19" t="s">
        <v>7337</v>
      </c>
      <c r="C2596" s="204" t="s">
        <v>24</v>
      </c>
      <c r="D2596" s="204" t="s">
        <v>1242</v>
      </c>
      <c r="E2596" s="204" t="s">
        <v>3209</v>
      </c>
      <c r="F2596" s="152" t="s">
        <v>2276</v>
      </c>
      <c r="G2596" s="152" t="s">
        <v>2276</v>
      </c>
      <c r="H2596" s="204" t="s">
        <v>523</v>
      </c>
      <c r="I2596" s="11">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1">
        <f>4500*0.375</f>
        <v>1687.5</v>
      </c>
      <c r="U2596" s="204" t="s">
        <v>2276</v>
      </c>
      <c r="V2596" s="204" t="s">
        <v>2276</v>
      </c>
      <c r="W2596" s="204" t="s">
        <v>2276</v>
      </c>
      <c r="X2596" s="21">
        <f>T2596/'Record info'!K$1118</f>
        <v>0.14048451548451549</v>
      </c>
      <c r="Y2596" s="204" t="s">
        <v>2276</v>
      </c>
      <c r="Z2596" s="204" t="s">
        <v>35</v>
      </c>
      <c r="AA2596" s="204" t="s">
        <v>38</v>
      </c>
      <c r="AB2596" s="204" t="s">
        <v>64</v>
      </c>
      <c r="AC2596" s="204" t="s">
        <v>7627</v>
      </c>
      <c r="AD2596" s="204"/>
    </row>
    <row r="2597" spans="1:30" ht="30" customHeight="1">
      <c r="A2597" s="19" t="s">
        <v>7292</v>
      </c>
      <c r="B2597" s="19" t="s">
        <v>7338</v>
      </c>
      <c r="C2597" s="204" t="s">
        <v>24</v>
      </c>
      <c r="D2597" s="204" t="s">
        <v>1242</v>
      </c>
      <c r="E2597" s="204" t="s">
        <v>3209</v>
      </c>
      <c r="F2597" s="152" t="s">
        <v>2276</v>
      </c>
      <c r="G2597" s="152" t="s">
        <v>2276</v>
      </c>
      <c r="H2597" s="204" t="s">
        <v>523</v>
      </c>
      <c r="I2597" s="11">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1">
        <f>4500*0.058</f>
        <v>261</v>
      </c>
      <c r="U2597" s="204" t="s">
        <v>2276</v>
      </c>
      <c r="V2597" s="204" t="s">
        <v>2276</v>
      </c>
      <c r="W2597" s="204" t="s">
        <v>2276</v>
      </c>
      <c r="X2597" s="21">
        <f>T2597/'Record info'!K$1119</f>
        <v>4.5444256786168228E-3</v>
      </c>
      <c r="Y2597" s="204" t="s">
        <v>2276</v>
      </c>
      <c r="Z2597" s="204" t="s">
        <v>35</v>
      </c>
      <c r="AA2597" s="204" t="s">
        <v>38</v>
      </c>
      <c r="AB2597" s="204" t="s">
        <v>64</v>
      </c>
      <c r="AC2597" s="204" t="s">
        <v>7627</v>
      </c>
      <c r="AD2597" s="204"/>
    </row>
    <row r="2598" spans="1:30" ht="30" customHeight="1">
      <c r="A2598" s="19" t="s">
        <v>7288</v>
      </c>
      <c r="B2598" s="19" t="s">
        <v>7339</v>
      </c>
      <c r="C2598" s="204" t="s">
        <v>24</v>
      </c>
      <c r="D2598" s="204" t="s">
        <v>1242</v>
      </c>
      <c r="E2598" s="204" t="s">
        <v>3209</v>
      </c>
      <c r="F2598" s="152" t="s">
        <v>2276</v>
      </c>
      <c r="G2598" s="152" t="s">
        <v>2276</v>
      </c>
      <c r="H2598" s="204" t="s">
        <v>523</v>
      </c>
      <c r="I2598" s="11">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1">
        <f>4000*0.068</f>
        <v>272</v>
      </c>
      <c r="U2598" s="204" t="s">
        <v>2276</v>
      </c>
      <c r="V2598" s="204" t="s">
        <v>2276</v>
      </c>
      <c r="W2598" s="204" t="s">
        <v>2276</v>
      </c>
      <c r="X2598" s="21">
        <f>T2598/'Record info'!K$1115</f>
        <v>9.9970596883269622E-3</v>
      </c>
      <c r="Y2598" s="204" t="s">
        <v>2276</v>
      </c>
      <c r="Z2598" s="204" t="s">
        <v>35</v>
      </c>
      <c r="AA2598" s="204" t="s">
        <v>38</v>
      </c>
      <c r="AB2598" s="204" t="s">
        <v>64</v>
      </c>
      <c r="AC2598" s="204" t="s">
        <v>7627</v>
      </c>
      <c r="AD2598" s="204"/>
    </row>
    <row r="2599" spans="1:30" ht="30" customHeight="1">
      <c r="A2599" s="19" t="s">
        <v>7289</v>
      </c>
      <c r="B2599" s="19" t="s">
        <v>7340</v>
      </c>
      <c r="C2599" s="204" t="s">
        <v>24</v>
      </c>
      <c r="D2599" s="204" t="s">
        <v>1242</v>
      </c>
      <c r="E2599" s="204" t="s">
        <v>3209</v>
      </c>
      <c r="F2599" s="152" t="s">
        <v>2276</v>
      </c>
      <c r="G2599" s="152" t="s">
        <v>2276</v>
      </c>
      <c r="H2599" s="204" t="s">
        <v>523</v>
      </c>
      <c r="I2599" s="11">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1">
        <f>4000*0.05</f>
        <v>200</v>
      </c>
      <c r="U2599" s="204" t="s">
        <v>2276</v>
      </c>
      <c r="V2599" s="204" t="s">
        <v>2276</v>
      </c>
      <c r="W2599" s="204" t="s">
        <v>2276</v>
      </c>
      <c r="X2599" s="21">
        <f>T2599/'Record info'!K$1116</f>
        <v>6.6876212131344879E-3</v>
      </c>
      <c r="Y2599" s="204" t="s">
        <v>2276</v>
      </c>
      <c r="Z2599" s="204" t="s">
        <v>35</v>
      </c>
      <c r="AA2599" s="204" t="s">
        <v>38</v>
      </c>
      <c r="AB2599" s="204" t="s">
        <v>64</v>
      </c>
      <c r="AC2599" s="204" t="s">
        <v>7627</v>
      </c>
      <c r="AD2599" s="204"/>
    </row>
    <row r="2600" spans="1:30" ht="30" customHeight="1">
      <c r="A2600" s="19" t="s">
        <v>7290</v>
      </c>
      <c r="B2600" s="19" t="s">
        <v>7341</v>
      </c>
      <c r="C2600" s="204" t="s">
        <v>24</v>
      </c>
      <c r="D2600" s="204" t="s">
        <v>1242</v>
      </c>
      <c r="E2600" s="204" t="s">
        <v>3209</v>
      </c>
      <c r="F2600" s="152" t="s">
        <v>2276</v>
      </c>
      <c r="G2600" s="152" t="s">
        <v>2276</v>
      </c>
      <c r="H2600" s="204" t="s">
        <v>523</v>
      </c>
      <c r="I2600" s="11">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1">
        <f>4000*0.493</f>
        <v>1972</v>
      </c>
      <c r="U2600" s="204" t="s">
        <v>2276</v>
      </c>
      <c r="V2600" s="204" t="s">
        <v>2276</v>
      </c>
      <c r="W2600" s="204" t="s">
        <v>2276</v>
      </c>
      <c r="X2600" s="21">
        <f>T2600/'Record info'!K$1117</f>
        <v>6.1987237921604377E-2</v>
      </c>
      <c r="Y2600" s="204" t="s">
        <v>2276</v>
      </c>
      <c r="Z2600" s="204" t="s">
        <v>35</v>
      </c>
      <c r="AA2600" s="204" t="s">
        <v>38</v>
      </c>
      <c r="AB2600" s="204" t="s">
        <v>64</v>
      </c>
      <c r="AC2600" s="204" t="s">
        <v>7627</v>
      </c>
      <c r="AD2600" s="204"/>
    </row>
    <row r="2601" spans="1:30" ht="30" customHeight="1">
      <c r="A2601" s="19" t="s">
        <v>7291</v>
      </c>
      <c r="B2601" s="19" t="s">
        <v>7342</v>
      </c>
      <c r="C2601" s="204" t="s">
        <v>24</v>
      </c>
      <c r="D2601" s="204" t="s">
        <v>1242</v>
      </c>
      <c r="E2601" s="204" t="s">
        <v>3209</v>
      </c>
      <c r="F2601" s="152" t="s">
        <v>2276</v>
      </c>
      <c r="G2601" s="152" t="s">
        <v>2276</v>
      </c>
      <c r="H2601" s="204" t="s">
        <v>523</v>
      </c>
      <c r="I2601" s="11">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1">
        <f>4000*0.375</f>
        <v>1500</v>
      </c>
      <c r="U2601" s="204" t="s">
        <v>2276</v>
      </c>
      <c r="V2601" s="204" t="s">
        <v>2276</v>
      </c>
      <c r="W2601" s="204" t="s">
        <v>2276</v>
      </c>
      <c r="X2601" s="21">
        <f>T2601/'Record info'!K$1118</f>
        <v>0.12487512487512488</v>
      </c>
      <c r="Y2601" s="204" t="s">
        <v>2276</v>
      </c>
      <c r="Z2601" s="204" t="s">
        <v>35</v>
      </c>
      <c r="AA2601" s="204" t="s">
        <v>38</v>
      </c>
      <c r="AB2601" s="204" t="s">
        <v>64</v>
      </c>
      <c r="AC2601" s="204" t="s">
        <v>7627</v>
      </c>
      <c r="AD2601" s="204"/>
    </row>
    <row r="2602" spans="1:30" ht="30" customHeight="1">
      <c r="A2602" s="19" t="s">
        <v>7292</v>
      </c>
      <c r="B2602" s="19" t="s">
        <v>7343</v>
      </c>
      <c r="C2602" s="204" t="s">
        <v>24</v>
      </c>
      <c r="D2602" s="204" t="s">
        <v>1242</v>
      </c>
      <c r="E2602" s="204" t="s">
        <v>3209</v>
      </c>
      <c r="F2602" s="152" t="s">
        <v>2276</v>
      </c>
      <c r="G2602" s="152" t="s">
        <v>2276</v>
      </c>
      <c r="H2602" s="204" t="s">
        <v>523</v>
      </c>
      <c r="I2602" s="11">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1">
        <f>4000*0.058</f>
        <v>232</v>
      </c>
      <c r="U2602" s="204" t="s">
        <v>2276</v>
      </c>
      <c r="V2602" s="204" t="s">
        <v>2276</v>
      </c>
      <c r="W2602" s="204" t="s">
        <v>2276</v>
      </c>
      <c r="X2602" s="21">
        <f>T2602/'Record info'!K$1119</f>
        <v>4.0394894921038423E-3</v>
      </c>
      <c r="Y2602" s="204" t="s">
        <v>2276</v>
      </c>
      <c r="Z2602" s="204" t="s">
        <v>35</v>
      </c>
      <c r="AA2602" s="204" t="s">
        <v>38</v>
      </c>
      <c r="AB2602" s="204" t="s">
        <v>64</v>
      </c>
      <c r="AC2602" s="204" t="s">
        <v>7627</v>
      </c>
      <c r="AD2602" s="204"/>
    </row>
    <row r="2603" spans="1:30" ht="28" customHeight="1">
      <c r="A2603" s="19" t="s">
        <v>7288</v>
      </c>
      <c r="B2603" s="19" t="s">
        <v>7344</v>
      </c>
      <c r="C2603" s="204" t="s">
        <v>24</v>
      </c>
      <c r="D2603" s="204" t="s">
        <v>1242</v>
      </c>
      <c r="E2603" s="204" t="s">
        <v>3209</v>
      </c>
      <c r="F2603" s="152" t="s">
        <v>2276</v>
      </c>
      <c r="G2603" s="152" t="s">
        <v>2276</v>
      </c>
      <c r="H2603" s="204" t="s">
        <v>523</v>
      </c>
      <c r="I2603" s="11">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1">
        <f>3250*0.068</f>
        <v>221.00000000000003</v>
      </c>
      <c r="U2603" s="204" t="s">
        <v>2276</v>
      </c>
      <c r="V2603" s="204" t="s">
        <v>2276</v>
      </c>
      <c r="W2603" s="204" t="s">
        <v>2276</v>
      </c>
      <c r="X2603" s="21">
        <f>T2603/'Record info'!K$1115</f>
        <v>8.1226109967656585E-3</v>
      </c>
      <c r="Y2603" s="204" t="s">
        <v>2276</v>
      </c>
      <c r="Z2603" s="204" t="s">
        <v>35</v>
      </c>
      <c r="AA2603" s="204" t="s">
        <v>38</v>
      </c>
      <c r="AB2603" s="204" t="s">
        <v>64</v>
      </c>
      <c r="AC2603" s="204" t="s">
        <v>7627</v>
      </c>
      <c r="AD2603" s="204"/>
    </row>
    <row r="2604" spans="1:30" ht="28" customHeight="1">
      <c r="A2604" s="19" t="s">
        <v>7289</v>
      </c>
      <c r="B2604" s="19" t="s">
        <v>7345</v>
      </c>
      <c r="C2604" s="204" t="s">
        <v>24</v>
      </c>
      <c r="D2604" s="204" t="s">
        <v>1242</v>
      </c>
      <c r="E2604" s="204" t="s">
        <v>3209</v>
      </c>
      <c r="F2604" s="152" t="s">
        <v>2276</v>
      </c>
      <c r="G2604" s="152" t="s">
        <v>2276</v>
      </c>
      <c r="H2604" s="204" t="s">
        <v>523</v>
      </c>
      <c r="I2604" s="11">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1">
        <f>3250*0.05</f>
        <v>162.5</v>
      </c>
      <c r="U2604" s="204" t="s">
        <v>2276</v>
      </c>
      <c r="V2604" s="204" t="s">
        <v>2276</v>
      </c>
      <c r="W2604" s="204" t="s">
        <v>2276</v>
      </c>
      <c r="X2604" s="21">
        <f>T2604/'Record info'!K$1116</f>
        <v>5.4336922356717715E-3</v>
      </c>
      <c r="Y2604" s="204" t="s">
        <v>2276</v>
      </c>
      <c r="Z2604" s="204" t="s">
        <v>35</v>
      </c>
      <c r="AA2604" s="204" t="s">
        <v>38</v>
      </c>
      <c r="AB2604" s="204" t="s">
        <v>64</v>
      </c>
      <c r="AC2604" s="204" t="s">
        <v>7627</v>
      </c>
      <c r="AD2604" s="204"/>
    </row>
    <row r="2605" spans="1:30" ht="28" customHeight="1">
      <c r="A2605" s="19" t="s">
        <v>7290</v>
      </c>
      <c r="B2605" s="19" t="s">
        <v>7346</v>
      </c>
      <c r="C2605" s="204" t="s">
        <v>24</v>
      </c>
      <c r="D2605" s="204" t="s">
        <v>1242</v>
      </c>
      <c r="E2605" s="204" t="s">
        <v>3209</v>
      </c>
      <c r="F2605" s="152" t="s">
        <v>2276</v>
      </c>
      <c r="G2605" s="152" t="s">
        <v>2276</v>
      </c>
      <c r="H2605" s="204" t="s">
        <v>523</v>
      </c>
      <c r="I2605" s="11">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1">
        <f>3250*0.493</f>
        <v>1602.25</v>
      </c>
      <c r="U2605" s="204" t="s">
        <v>2276</v>
      </c>
      <c r="V2605" s="204" t="s">
        <v>2276</v>
      </c>
      <c r="W2605" s="204" t="s">
        <v>2276</v>
      </c>
      <c r="X2605" s="21">
        <f>T2605/'Record info'!K$1117</f>
        <v>5.0364630811303553E-2</v>
      </c>
      <c r="Y2605" s="204" t="s">
        <v>2276</v>
      </c>
      <c r="Z2605" s="204" t="s">
        <v>35</v>
      </c>
      <c r="AA2605" s="204" t="s">
        <v>38</v>
      </c>
      <c r="AB2605" s="204" t="s">
        <v>64</v>
      </c>
      <c r="AC2605" s="204" t="s">
        <v>7627</v>
      </c>
      <c r="AD2605" s="204"/>
    </row>
    <row r="2606" spans="1:30" ht="28" customHeight="1">
      <c r="A2606" s="19" t="s">
        <v>7291</v>
      </c>
      <c r="B2606" s="19" t="s">
        <v>7347</v>
      </c>
      <c r="C2606" s="204" t="s">
        <v>24</v>
      </c>
      <c r="D2606" s="204" t="s">
        <v>1242</v>
      </c>
      <c r="E2606" s="204" t="s">
        <v>3209</v>
      </c>
      <c r="F2606" s="152" t="s">
        <v>2276</v>
      </c>
      <c r="G2606" s="152" t="s">
        <v>2276</v>
      </c>
      <c r="H2606" s="204" t="s">
        <v>523</v>
      </c>
      <c r="I2606" s="11">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1">
        <f>3250*0.375</f>
        <v>1218.75</v>
      </c>
      <c r="U2606" s="204" t="s">
        <v>2276</v>
      </c>
      <c r="V2606" s="204" t="s">
        <v>2276</v>
      </c>
      <c r="W2606" s="204" t="s">
        <v>2276</v>
      </c>
      <c r="X2606" s="21">
        <f>T2606/'Record info'!K$1118</f>
        <v>0.10146103896103896</v>
      </c>
      <c r="Y2606" s="204" t="s">
        <v>2276</v>
      </c>
      <c r="Z2606" s="204" t="s">
        <v>35</v>
      </c>
      <c r="AA2606" s="204" t="s">
        <v>38</v>
      </c>
      <c r="AB2606" s="204" t="s">
        <v>64</v>
      </c>
      <c r="AC2606" s="204" t="s">
        <v>7627</v>
      </c>
      <c r="AD2606" s="204"/>
    </row>
    <row r="2607" spans="1:30" ht="28" customHeight="1">
      <c r="A2607" s="19" t="s">
        <v>7292</v>
      </c>
      <c r="B2607" s="19" t="s">
        <v>7348</v>
      </c>
      <c r="C2607" s="204" t="s">
        <v>24</v>
      </c>
      <c r="D2607" s="204" t="s">
        <v>1242</v>
      </c>
      <c r="E2607" s="204" t="s">
        <v>3209</v>
      </c>
      <c r="F2607" s="152" t="s">
        <v>2276</v>
      </c>
      <c r="G2607" s="152" t="s">
        <v>2276</v>
      </c>
      <c r="H2607" s="204" t="s">
        <v>523</v>
      </c>
      <c r="I2607" s="11">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1">
        <f>3250*0.058</f>
        <v>188.5</v>
      </c>
      <c r="U2607" s="204" t="s">
        <v>2276</v>
      </c>
      <c r="V2607" s="204" t="s">
        <v>2276</v>
      </c>
      <c r="W2607" s="204" t="s">
        <v>2276</v>
      </c>
      <c r="X2607" s="21">
        <f>T2607/'Record info'!K$1119</f>
        <v>3.2820852123343724E-3</v>
      </c>
      <c r="Y2607" s="204" t="s">
        <v>2276</v>
      </c>
      <c r="Z2607" s="204" t="s">
        <v>35</v>
      </c>
      <c r="AA2607" s="204" t="s">
        <v>38</v>
      </c>
      <c r="AB2607" s="204" t="s">
        <v>64</v>
      </c>
      <c r="AC2607" s="204" t="s">
        <v>7627</v>
      </c>
      <c r="AD2607" s="204"/>
    </row>
    <row r="2608" spans="1:30" ht="28" customHeight="1">
      <c r="A2608" s="19" t="s">
        <v>7288</v>
      </c>
      <c r="B2608" s="19" t="s">
        <v>7349</v>
      </c>
      <c r="C2608" s="204" t="s">
        <v>24</v>
      </c>
      <c r="D2608" s="204" t="s">
        <v>1242</v>
      </c>
      <c r="E2608" s="204" t="s">
        <v>3209</v>
      </c>
      <c r="F2608" s="152" t="s">
        <v>2276</v>
      </c>
      <c r="G2608" s="152" t="s">
        <v>2276</v>
      </c>
      <c r="H2608" s="204" t="s">
        <v>523</v>
      </c>
      <c r="I2608" s="11">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1">
        <f>2500*0.068</f>
        <v>170</v>
      </c>
      <c r="U2608" s="204" t="s">
        <v>2276</v>
      </c>
      <c r="V2608" s="204" t="s">
        <v>2276</v>
      </c>
      <c r="W2608" s="204" t="s">
        <v>2276</v>
      </c>
      <c r="X2608" s="21">
        <f>T2608/'Record info'!K$1115</f>
        <v>6.2481623052043521E-3</v>
      </c>
      <c r="Y2608" s="204" t="s">
        <v>2276</v>
      </c>
      <c r="Z2608" s="204" t="s">
        <v>35</v>
      </c>
      <c r="AA2608" s="204" t="s">
        <v>38</v>
      </c>
      <c r="AB2608" s="204" t="s">
        <v>64</v>
      </c>
      <c r="AC2608" s="204" t="s">
        <v>7627</v>
      </c>
      <c r="AD2608" s="204"/>
    </row>
    <row r="2609" spans="1:30" ht="28" customHeight="1">
      <c r="A2609" s="19" t="s">
        <v>7289</v>
      </c>
      <c r="B2609" s="19" t="s">
        <v>7350</v>
      </c>
      <c r="C2609" s="204" t="s">
        <v>24</v>
      </c>
      <c r="D2609" s="204" t="s">
        <v>1242</v>
      </c>
      <c r="E2609" s="204" t="s">
        <v>3209</v>
      </c>
      <c r="F2609" s="152" t="s">
        <v>2276</v>
      </c>
      <c r="G2609" s="152" t="s">
        <v>2276</v>
      </c>
      <c r="H2609" s="204" t="s">
        <v>523</v>
      </c>
      <c r="I2609" s="11">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1">
        <f>2500*0.05</f>
        <v>125</v>
      </c>
      <c r="U2609" s="204" t="s">
        <v>2276</v>
      </c>
      <c r="V2609" s="204" t="s">
        <v>2276</v>
      </c>
      <c r="W2609" s="204" t="s">
        <v>2276</v>
      </c>
      <c r="X2609" s="21">
        <f>T2609/'Record info'!K$1116</f>
        <v>4.1797632582090552E-3</v>
      </c>
      <c r="Y2609" s="204" t="s">
        <v>2276</v>
      </c>
      <c r="Z2609" s="204" t="s">
        <v>35</v>
      </c>
      <c r="AA2609" s="204" t="s">
        <v>38</v>
      </c>
      <c r="AB2609" s="204" t="s">
        <v>64</v>
      </c>
      <c r="AC2609" s="204" t="s">
        <v>7627</v>
      </c>
      <c r="AD2609" s="204"/>
    </row>
    <row r="2610" spans="1:30" ht="28" customHeight="1">
      <c r="A2610" s="19" t="s">
        <v>7290</v>
      </c>
      <c r="B2610" s="19" t="s">
        <v>7351</v>
      </c>
      <c r="C2610" s="204" t="s">
        <v>24</v>
      </c>
      <c r="D2610" s="204" t="s">
        <v>1242</v>
      </c>
      <c r="E2610" s="204" t="s">
        <v>3209</v>
      </c>
      <c r="F2610" s="152" t="s">
        <v>2276</v>
      </c>
      <c r="G2610" s="152" t="s">
        <v>2276</v>
      </c>
      <c r="H2610" s="204" t="s">
        <v>523</v>
      </c>
      <c r="I2610" s="11">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1">
        <f>2500*0.493</f>
        <v>1232.5</v>
      </c>
      <c r="U2610" s="204" t="s">
        <v>2276</v>
      </c>
      <c r="V2610" s="204" t="s">
        <v>2276</v>
      </c>
      <c r="W2610" s="204" t="s">
        <v>2276</v>
      </c>
      <c r="X2610" s="21">
        <f>T2610/'Record info'!K$1117</f>
        <v>3.8742023701002735E-2</v>
      </c>
      <c r="Y2610" s="204" t="s">
        <v>2276</v>
      </c>
      <c r="Z2610" s="204" t="s">
        <v>35</v>
      </c>
      <c r="AA2610" s="204" t="s">
        <v>38</v>
      </c>
      <c r="AB2610" s="204" t="s">
        <v>64</v>
      </c>
      <c r="AC2610" s="204" t="s">
        <v>7627</v>
      </c>
      <c r="AD2610" s="204"/>
    </row>
    <row r="2611" spans="1:30" ht="28" customHeight="1">
      <c r="A2611" s="19" t="s">
        <v>7291</v>
      </c>
      <c r="B2611" s="19" t="s">
        <v>7352</v>
      </c>
      <c r="C2611" s="204" t="s">
        <v>24</v>
      </c>
      <c r="D2611" s="204" t="s">
        <v>1242</v>
      </c>
      <c r="E2611" s="204" t="s">
        <v>3209</v>
      </c>
      <c r="F2611" s="152" t="s">
        <v>2276</v>
      </c>
      <c r="G2611" s="152" t="s">
        <v>2276</v>
      </c>
      <c r="H2611" s="204" t="s">
        <v>523</v>
      </c>
      <c r="I2611" s="11">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1">
        <f>2500*0.375</f>
        <v>937.5</v>
      </c>
      <c r="U2611" s="204" t="s">
        <v>2276</v>
      </c>
      <c r="V2611" s="204" t="s">
        <v>2276</v>
      </c>
      <c r="W2611" s="204" t="s">
        <v>2276</v>
      </c>
      <c r="X2611" s="21">
        <f>T2611/'Record info'!K$1118</f>
        <v>7.8046953046953041E-2</v>
      </c>
      <c r="Y2611" s="204" t="s">
        <v>2276</v>
      </c>
      <c r="Z2611" s="204" t="s">
        <v>35</v>
      </c>
      <c r="AA2611" s="204" t="s">
        <v>38</v>
      </c>
      <c r="AB2611" s="204" t="s">
        <v>64</v>
      </c>
      <c r="AC2611" s="204" t="s">
        <v>7627</v>
      </c>
      <c r="AD2611" s="204"/>
    </row>
    <row r="2612" spans="1:30" ht="30" customHeight="1">
      <c r="A2612" s="19" t="s">
        <v>7292</v>
      </c>
      <c r="B2612" s="19" t="s">
        <v>7353</v>
      </c>
      <c r="C2612" s="204" t="s">
        <v>24</v>
      </c>
      <c r="D2612" s="204" t="s">
        <v>1242</v>
      </c>
      <c r="E2612" s="204" t="s">
        <v>3209</v>
      </c>
      <c r="F2612" s="152" t="s">
        <v>2276</v>
      </c>
      <c r="G2612" s="152" t="s">
        <v>2276</v>
      </c>
      <c r="H2612" s="204" t="s">
        <v>523</v>
      </c>
      <c r="I2612" s="11">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1">
        <f>2500*0.058</f>
        <v>145</v>
      </c>
      <c r="U2612" s="204" t="s">
        <v>2276</v>
      </c>
      <c r="V2612" s="204" t="s">
        <v>2276</v>
      </c>
      <c r="W2612" s="204" t="s">
        <v>2276</v>
      </c>
      <c r="X2612" s="21">
        <f>T2612/'Record info'!K$1119</f>
        <v>2.5246809325649017E-3</v>
      </c>
      <c r="Y2612" s="204" t="s">
        <v>2276</v>
      </c>
      <c r="Z2612" s="204" t="s">
        <v>35</v>
      </c>
      <c r="AA2612" s="204" t="s">
        <v>38</v>
      </c>
      <c r="AB2612" s="204" t="s">
        <v>64</v>
      </c>
      <c r="AC2612" s="204" t="s">
        <v>7627</v>
      </c>
      <c r="AD2612" s="204"/>
    </row>
    <row r="2613" spans="1:30" ht="30" customHeight="1">
      <c r="A2613" s="19" t="s">
        <v>7288</v>
      </c>
      <c r="B2613" s="19" t="s">
        <v>7354</v>
      </c>
      <c r="C2613" s="204" t="s">
        <v>24</v>
      </c>
      <c r="D2613" s="204" t="s">
        <v>1242</v>
      </c>
      <c r="E2613" s="204" t="s">
        <v>3209</v>
      </c>
      <c r="F2613" s="152" t="s">
        <v>2276</v>
      </c>
      <c r="G2613" s="152" t="s">
        <v>2276</v>
      </c>
      <c r="H2613" s="204" t="s">
        <v>523</v>
      </c>
      <c r="I2613" s="11">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1">
        <f>4250*0.068</f>
        <v>289</v>
      </c>
      <c r="U2613" s="204" t="s">
        <v>2276</v>
      </c>
      <c r="V2613" s="204" t="s">
        <v>2276</v>
      </c>
      <c r="W2613" s="204" t="s">
        <v>2276</v>
      </c>
      <c r="X2613" s="21">
        <f>T2613/'Record info'!K$1115</f>
        <v>1.0621875918847399E-2</v>
      </c>
      <c r="Y2613" s="204" t="s">
        <v>2276</v>
      </c>
      <c r="Z2613" s="204" t="s">
        <v>35</v>
      </c>
      <c r="AA2613" s="204" t="s">
        <v>38</v>
      </c>
      <c r="AB2613" s="204" t="s">
        <v>64</v>
      </c>
      <c r="AC2613" s="204" t="s">
        <v>7627</v>
      </c>
      <c r="AD2613" s="204"/>
    </row>
    <row r="2614" spans="1:30" ht="30" customHeight="1">
      <c r="A2614" s="19" t="s">
        <v>7289</v>
      </c>
      <c r="B2614" s="19" t="s">
        <v>7355</v>
      </c>
      <c r="C2614" s="204" t="s">
        <v>24</v>
      </c>
      <c r="D2614" s="204" t="s">
        <v>1242</v>
      </c>
      <c r="E2614" s="204" t="s">
        <v>3209</v>
      </c>
      <c r="F2614" s="152" t="s">
        <v>2276</v>
      </c>
      <c r="G2614" s="152" t="s">
        <v>2276</v>
      </c>
      <c r="H2614" s="204" t="s">
        <v>523</v>
      </c>
      <c r="I2614" s="11">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1">
        <f>4250*0.05</f>
        <v>212.5</v>
      </c>
      <c r="U2614" s="204" t="s">
        <v>2276</v>
      </c>
      <c r="V2614" s="204" t="s">
        <v>2276</v>
      </c>
      <c r="W2614" s="204" t="s">
        <v>2276</v>
      </c>
      <c r="X2614" s="21">
        <f>T2614/'Record info'!K$1116</f>
        <v>7.1055975389553933E-3</v>
      </c>
      <c r="Y2614" s="204" t="s">
        <v>2276</v>
      </c>
      <c r="Z2614" s="204" t="s">
        <v>35</v>
      </c>
      <c r="AA2614" s="204" t="s">
        <v>38</v>
      </c>
      <c r="AB2614" s="204" t="s">
        <v>64</v>
      </c>
      <c r="AC2614" s="204" t="s">
        <v>7627</v>
      </c>
      <c r="AD2614" s="204"/>
    </row>
    <row r="2615" spans="1:30" ht="30" customHeight="1">
      <c r="A2615" s="19" t="s">
        <v>7290</v>
      </c>
      <c r="B2615" s="19" t="s">
        <v>7356</v>
      </c>
      <c r="C2615" s="204" t="s">
        <v>24</v>
      </c>
      <c r="D2615" s="204" t="s">
        <v>1242</v>
      </c>
      <c r="E2615" s="204" t="s">
        <v>3209</v>
      </c>
      <c r="F2615" s="152" t="s">
        <v>2276</v>
      </c>
      <c r="G2615" s="152" t="s">
        <v>2276</v>
      </c>
      <c r="H2615" s="204" t="s">
        <v>523</v>
      </c>
      <c r="I2615" s="11">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1">
        <f>4250*0.493</f>
        <v>2095.25</v>
      </c>
      <c r="U2615" s="204" t="s">
        <v>2276</v>
      </c>
      <c r="V2615" s="204" t="s">
        <v>2276</v>
      </c>
      <c r="W2615" s="204" t="s">
        <v>2276</v>
      </c>
      <c r="X2615" s="21">
        <f>T2615/'Record info'!K$1117</f>
        <v>6.5861440291704654E-2</v>
      </c>
      <c r="Y2615" s="204" t="s">
        <v>2276</v>
      </c>
      <c r="Z2615" s="204" t="s">
        <v>35</v>
      </c>
      <c r="AA2615" s="204" t="s">
        <v>38</v>
      </c>
      <c r="AB2615" s="204" t="s">
        <v>64</v>
      </c>
      <c r="AC2615" s="204" t="s">
        <v>7627</v>
      </c>
      <c r="AD2615" s="204"/>
    </row>
    <row r="2616" spans="1:30" ht="30" customHeight="1">
      <c r="A2616" s="19" t="s">
        <v>7291</v>
      </c>
      <c r="B2616" s="19" t="s">
        <v>7357</v>
      </c>
      <c r="C2616" s="204" t="s">
        <v>24</v>
      </c>
      <c r="D2616" s="204" t="s">
        <v>1242</v>
      </c>
      <c r="E2616" s="204" t="s">
        <v>3209</v>
      </c>
      <c r="F2616" s="152" t="s">
        <v>2276</v>
      </c>
      <c r="G2616" s="152" t="s">
        <v>2276</v>
      </c>
      <c r="H2616" s="204" t="s">
        <v>523</v>
      </c>
      <c r="I2616" s="11">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1">
        <f>4250*0.375</f>
        <v>1593.75</v>
      </c>
      <c r="U2616" s="204" t="s">
        <v>2276</v>
      </c>
      <c r="V2616" s="204" t="s">
        <v>2276</v>
      </c>
      <c r="W2616" s="204" t="s">
        <v>2276</v>
      </c>
      <c r="X2616" s="21">
        <f>T2616/'Record info'!K$1118</f>
        <v>0.13267982017982019</v>
      </c>
      <c r="Y2616" s="204" t="s">
        <v>2276</v>
      </c>
      <c r="Z2616" s="204" t="s">
        <v>35</v>
      </c>
      <c r="AA2616" s="204" t="s">
        <v>38</v>
      </c>
      <c r="AB2616" s="204" t="s">
        <v>64</v>
      </c>
      <c r="AC2616" s="204" t="s">
        <v>7627</v>
      </c>
      <c r="AD2616" s="204"/>
    </row>
    <row r="2617" spans="1:30" ht="30" customHeight="1">
      <c r="A2617" s="19" t="s">
        <v>7292</v>
      </c>
      <c r="B2617" s="19" t="s">
        <v>7358</v>
      </c>
      <c r="C2617" s="204" t="s">
        <v>24</v>
      </c>
      <c r="D2617" s="204" t="s">
        <v>1242</v>
      </c>
      <c r="E2617" s="204" t="s">
        <v>3209</v>
      </c>
      <c r="F2617" s="152" t="s">
        <v>2276</v>
      </c>
      <c r="G2617" s="152" t="s">
        <v>2276</v>
      </c>
      <c r="H2617" s="204" t="s">
        <v>523</v>
      </c>
      <c r="I2617" s="11">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1">
        <f>4250*0.058</f>
        <v>246.5</v>
      </c>
      <c r="U2617" s="204" t="s">
        <v>2276</v>
      </c>
      <c r="V2617" s="204" t="s">
        <v>2276</v>
      </c>
      <c r="W2617" s="204" t="s">
        <v>2276</v>
      </c>
      <c r="X2617" s="21">
        <f>T2617/'Record info'!K$1119</f>
        <v>4.291957585360333E-3</v>
      </c>
      <c r="Y2617" s="204" t="s">
        <v>2276</v>
      </c>
      <c r="Z2617" s="204" t="s">
        <v>35</v>
      </c>
      <c r="AA2617" s="204" t="s">
        <v>38</v>
      </c>
      <c r="AB2617" s="204" t="s">
        <v>64</v>
      </c>
      <c r="AC2617" s="204" t="s">
        <v>7627</v>
      </c>
      <c r="AD2617" s="204"/>
    </row>
    <row r="2618" spans="1:30" ht="30" customHeight="1">
      <c r="A2618" s="19" t="s">
        <v>7288</v>
      </c>
      <c r="B2618" s="19" t="s">
        <v>7359</v>
      </c>
      <c r="C2618" s="204" t="s">
        <v>24</v>
      </c>
      <c r="D2618" s="204" t="s">
        <v>1242</v>
      </c>
      <c r="E2618" s="204" t="s">
        <v>3209</v>
      </c>
      <c r="F2618" s="152" t="s">
        <v>2276</v>
      </c>
      <c r="G2618" s="152" t="s">
        <v>2276</v>
      </c>
      <c r="H2618" s="204" t="s">
        <v>523</v>
      </c>
      <c r="I2618" s="204">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1">
        <f>3750*0.068</f>
        <v>255.00000000000003</v>
      </c>
      <c r="U2618" s="204" t="s">
        <v>2276</v>
      </c>
      <c r="V2618" s="204" t="s">
        <v>2276</v>
      </c>
      <c r="W2618" s="204" t="s">
        <v>2276</v>
      </c>
      <c r="X2618" s="21">
        <f>T2618/'Record info'!K$1115</f>
        <v>9.3722434578065294E-3</v>
      </c>
      <c r="Y2618" s="204" t="s">
        <v>2276</v>
      </c>
      <c r="Z2618" s="204" t="s">
        <v>35</v>
      </c>
      <c r="AA2618" s="204" t="s">
        <v>38</v>
      </c>
      <c r="AB2618" s="204" t="s">
        <v>64</v>
      </c>
      <c r="AC2618" s="204" t="s">
        <v>7627</v>
      </c>
      <c r="AD2618" s="204"/>
    </row>
    <row r="2619" spans="1:30" ht="30" customHeight="1">
      <c r="A2619" s="19" t="s">
        <v>7289</v>
      </c>
      <c r="B2619" s="19" t="s">
        <v>7360</v>
      </c>
      <c r="C2619" s="204" t="s">
        <v>24</v>
      </c>
      <c r="D2619" s="204" t="s">
        <v>1242</v>
      </c>
      <c r="E2619" s="204" t="s">
        <v>3209</v>
      </c>
      <c r="F2619" s="152" t="s">
        <v>2276</v>
      </c>
      <c r="G2619" s="152" t="s">
        <v>2276</v>
      </c>
      <c r="H2619" s="204" t="s">
        <v>523</v>
      </c>
      <c r="I2619" s="204">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1">
        <f>3750*0.05</f>
        <v>187.5</v>
      </c>
      <c r="U2619" s="204" t="s">
        <v>2276</v>
      </c>
      <c r="V2619" s="204" t="s">
        <v>2276</v>
      </c>
      <c r="W2619" s="204" t="s">
        <v>2276</v>
      </c>
      <c r="X2619" s="21">
        <f>T2619/'Record info'!K$1116</f>
        <v>6.2696448873135824E-3</v>
      </c>
      <c r="Y2619" s="204" t="s">
        <v>2276</v>
      </c>
      <c r="Z2619" s="204" t="s">
        <v>35</v>
      </c>
      <c r="AA2619" s="204" t="s">
        <v>38</v>
      </c>
      <c r="AB2619" s="204" t="s">
        <v>64</v>
      </c>
      <c r="AC2619" s="204" t="s">
        <v>7627</v>
      </c>
      <c r="AD2619" s="204"/>
    </row>
    <row r="2620" spans="1:30" ht="30" customHeight="1">
      <c r="A2620" s="19" t="s">
        <v>7290</v>
      </c>
      <c r="B2620" s="19" t="s">
        <v>7361</v>
      </c>
      <c r="C2620" s="204" t="s">
        <v>24</v>
      </c>
      <c r="D2620" s="204" t="s">
        <v>1242</v>
      </c>
      <c r="E2620" s="204" t="s">
        <v>3209</v>
      </c>
      <c r="F2620" s="152" t="s">
        <v>2276</v>
      </c>
      <c r="G2620" s="152" t="s">
        <v>2276</v>
      </c>
      <c r="H2620" s="204" t="s">
        <v>523</v>
      </c>
      <c r="I2620" s="204">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1">
        <f>3750*0.493</f>
        <v>1848.75</v>
      </c>
      <c r="U2620" s="204" t="s">
        <v>2276</v>
      </c>
      <c r="V2620" s="204" t="s">
        <v>2276</v>
      </c>
      <c r="W2620" s="204" t="s">
        <v>2276</v>
      </c>
      <c r="X2620" s="21">
        <f>T2620/'Record info'!K$1117</f>
        <v>5.81130355515041E-2</v>
      </c>
      <c r="Y2620" s="204" t="s">
        <v>2276</v>
      </c>
      <c r="Z2620" s="204" t="s">
        <v>35</v>
      </c>
      <c r="AA2620" s="204" t="s">
        <v>38</v>
      </c>
      <c r="AB2620" s="204" t="s">
        <v>64</v>
      </c>
      <c r="AC2620" s="204" t="s">
        <v>7627</v>
      </c>
      <c r="AD2620" s="204"/>
    </row>
    <row r="2621" spans="1:30" ht="30" customHeight="1">
      <c r="A2621" s="19" t="s">
        <v>7291</v>
      </c>
      <c r="B2621" s="19" t="s">
        <v>7362</v>
      </c>
      <c r="C2621" s="204" t="s">
        <v>24</v>
      </c>
      <c r="D2621" s="204" t="s">
        <v>1242</v>
      </c>
      <c r="E2621" s="204" t="s">
        <v>3209</v>
      </c>
      <c r="F2621" s="152" t="s">
        <v>2276</v>
      </c>
      <c r="G2621" s="152" t="s">
        <v>2276</v>
      </c>
      <c r="H2621" s="204" t="s">
        <v>523</v>
      </c>
      <c r="I2621" s="204">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1">
        <f>3750*0.375</f>
        <v>1406.25</v>
      </c>
      <c r="U2621" s="204" t="s">
        <v>2276</v>
      </c>
      <c r="V2621" s="204" t="s">
        <v>2276</v>
      </c>
      <c r="W2621" s="204" t="s">
        <v>2276</v>
      </c>
      <c r="X2621" s="21">
        <f>T2621/'Record info'!K$1118</f>
        <v>0.11707042957042957</v>
      </c>
      <c r="Y2621" s="204" t="s">
        <v>2276</v>
      </c>
      <c r="Z2621" s="204" t="s">
        <v>35</v>
      </c>
      <c r="AA2621" s="204" t="s">
        <v>38</v>
      </c>
      <c r="AB2621" s="204" t="s">
        <v>64</v>
      </c>
      <c r="AC2621" s="204" t="s">
        <v>7627</v>
      </c>
      <c r="AD2621" s="204"/>
    </row>
    <row r="2622" spans="1:30" ht="30" customHeight="1">
      <c r="A2622" s="19" t="s">
        <v>7292</v>
      </c>
      <c r="B2622" s="19" t="s">
        <v>7363</v>
      </c>
      <c r="C2622" s="204" t="s">
        <v>24</v>
      </c>
      <c r="D2622" s="204" t="s">
        <v>1242</v>
      </c>
      <c r="E2622" s="204" t="s">
        <v>3209</v>
      </c>
      <c r="F2622" s="152" t="s">
        <v>2276</v>
      </c>
      <c r="G2622" s="152" t="s">
        <v>2276</v>
      </c>
      <c r="H2622" s="204" t="s">
        <v>523</v>
      </c>
      <c r="I2622" s="204">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1">
        <f>3750*0.058</f>
        <v>217.5</v>
      </c>
      <c r="U2622" s="204" t="s">
        <v>2276</v>
      </c>
      <c r="V2622" s="204" t="s">
        <v>2276</v>
      </c>
      <c r="W2622" s="204" t="s">
        <v>2276</v>
      </c>
      <c r="X2622" s="21">
        <f>T2622/'Record info'!K$1119</f>
        <v>3.7870213988473525E-3</v>
      </c>
      <c r="Y2622" s="204" t="s">
        <v>2276</v>
      </c>
      <c r="Z2622" s="204" t="s">
        <v>35</v>
      </c>
      <c r="AA2622" s="204" t="s">
        <v>38</v>
      </c>
      <c r="AB2622" s="204" t="s">
        <v>64</v>
      </c>
      <c r="AC2622" s="204" t="s">
        <v>7627</v>
      </c>
      <c r="AD2622" s="204"/>
    </row>
    <row r="2623" spans="1:30" ht="30" customHeight="1">
      <c r="A2623" s="19" t="s">
        <v>7288</v>
      </c>
      <c r="B2623" s="19" t="s">
        <v>7364</v>
      </c>
      <c r="C2623" s="204" t="s">
        <v>24</v>
      </c>
      <c r="D2623" s="204" t="s">
        <v>1242</v>
      </c>
      <c r="E2623" s="204" t="s">
        <v>3209</v>
      </c>
      <c r="F2623" s="152" t="s">
        <v>2276</v>
      </c>
      <c r="G2623" s="152" t="s">
        <v>2276</v>
      </c>
      <c r="H2623" s="204" t="s">
        <v>523</v>
      </c>
      <c r="I2623" s="204">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1">
        <f>2000*0.068</f>
        <v>136</v>
      </c>
      <c r="U2623" s="204" t="s">
        <v>2276</v>
      </c>
      <c r="V2623" s="204" t="s">
        <v>2276</v>
      </c>
      <c r="W2623" s="204" t="s">
        <v>2276</v>
      </c>
      <c r="X2623" s="21">
        <f>T2623/'Record info'!K$1115</f>
        <v>4.9985298441634811E-3</v>
      </c>
      <c r="Y2623" s="204" t="s">
        <v>2276</v>
      </c>
      <c r="Z2623" s="204" t="s">
        <v>35</v>
      </c>
      <c r="AA2623" s="204" t="s">
        <v>38</v>
      </c>
      <c r="AB2623" s="204" t="s">
        <v>64</v>
      </c>
      <c r="AC2623" s="204" t="s">
        <v>7627</v>
      </c>
      <c r="AD2623" s="204"/>
    </row>
    <row r="2624" spans="1:30" ht="30" customHeight="1">
      <c r="A2624" s="19" t="s">
        <v>7289</v>
      </c>
      <c r="B2624" s="19" t="s">
        <v>7365</v>
      </c>
      <c r="C2624" s="204" t="s">
        <v>24</v>
      </c>
      <c r="D2624" s="204" t="s">
        <v>1242</v>
      </c>
      <c r="E2624" s="204" t="s">
        <v>3209</v>
      </c>
      <c r="F2624" s="152" t="s">
        <v>2276</v>
      </c>
      <c r="G2624" s="152" t="s">
        <v>2276</v>
      </c>
      <c r="H2624" s="204" t="s">
        <v>523</v>
      </c>
      <c r="I2624" s="204">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1">
        <f>2000*0.05</f>
        <v>100</v>
      </c>
      <c r="U2624" s="204" t="s">
        <v>2276</v>
      </c>
      <c r="V2624" s="204" t="s">
        <v>2276</v>
      </c>
      <c r="W2624" s="204" t="s">
        <v>2276</v>
      </c>
      <c r="X2624" s="21">
        <f>T2624/'Record info'!K$1116</f>
        <v>3.3438106065672439E-3</v>
      </c>
      <c r="Y2624" s="204" t="s">
        <v>2276</v>
      </c>
      <c r="Z2624" s="204" t="s">
        <v>35</v>
      </c>
      <c r="AA2624" s="204" t="s">
        <v>38</v>
      </c>
      <c r="AB2624" s="204" t="s">
        <v>64</v>
      </c>
      <c r="AC2624" s="204" t="s">
        <v>7627</v>
      </c>
      <c r="AD2624" s="204"/>
    </row>
    <row r="2625" spans="1:30" ht="30" customHeight="1">
      <c r="A2625" s="19" t="s">
        <v>7290</v>
      </c>
      <c r="B2625" s="19" t="s">
        <v>7366</v>
      </c>
      <c r="C2625" s="204" t="s">
        <v>24</v>
      </c>
      <c r="D2625" s="204" t="s">
        <v>1242</v>
      </c>
      <c r="E2625" s="204" t="s">
        <v>3209</v>
      </c>
      <c r="F2625" s="152" t="s">
        <v>2276</v>
      </c>
      <c r="G2625" s="152" t="s">
        <v>2276</v>
      </c>
      <c r="H2625" s="204" t="s">
        <v>523</v>
      </c>
      <c r="I2625" s="204">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1">
        <f>2000*0.493</f>
        <v>986</v>
      </c>
      <c r="U2625" s="204" t="s">
        <v>2276</v>
      </c>
      <c r="V2625" s="204" t="s">
        <v>2276</v>
      </c>
      <c r="W2625" s="204" t="s">
        <v>2276</v>
      </c>
      <c r="X2625" s="21">
        <f>T2625/'Record info'!K$1117</f>
        <v>3.0993618960802188E-2</v>
      </c>
      <c r="Y2625" s="204" t="s">
        <v>2276</v>
      </c>
      <c r="Z2625" s="204" t="s">
        <v>35</v>
      </c>
      <c r="AA2625" s="204" t="s">
        <v>38</v>
      </c>
      <c r="AB2625" s="204" t="s">
        <v>64</v>
      </c>
      <c r="AC2625" s="204" t="s">
        <v>7627</v>
      </c>
      <c r="AD2625" s="204"/>
    </row>
    <row r="2626" spans="1:30" ht="30" customHeight="1">
      <c r="A2626" s="19" t="s">
        <v>7291</v>
      </c>
      <c r="B2626" s="19" t="s">
        <v>7367</v>
      </c>
      <c r="C2626" s="204" t="s">
        <v>24</v>
      </c>
      <c r="D2626" s="204" t="s">
        <v>1242</v>
      </c>
      <c r="E2626" s="204" t="s">
        <v>3209</v>
      </c>
      <c r="F2626" s="152" t="s">
        <v>2276</v>
      </c>
      <c r="G2626" s="152" t="s">
        <v>2276</v>
      </c>
      <c r="H2626" s="204" t="s">
        <v>523</v>
      </c>
      <c r="I2626" s="204">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1">
        <f>2000*0.375</f>
        <v>750</v>
      </c>
      <c r="U2626" s="204" t="s">
        <v>2276</v>
      </c>
      <c r="V2626" s="204" t="s">
        <v>2276</v>
      </c>
      <c r="W2626" s="204" t="s">
        <v>2276</v>
      </c>
      <c r="X2626" s="21">
        <f>T2626/'Record info'!K$1118</f>
        <v>6.243756243756244E-2</v>
      </c>
      <c r="Y2626" s="204" t="s">
        <v>2276</v>
      </c>
      <c r="Z2626" s="204" t="s">
        <v>35</v>
      </c>
      <c r="AA2626" s="204" t="s">
        <v>38</v>
      </c>
      <c r="AB2626" s="204" t="s">
        <v>64</v>
      </c>
      <c r="AC2626" s="204" t="s">
        <v>7627</v>
      </c>
      <c r="AD2626" s="204"/>
    </row>
    <row r="2627" spans="1:30" ht="30" customHeight="1">
      <c r="A2627" s="19" t="s">
        <v>7292</v>
      </c>
      <c r="B2627" s="19" t="s">
        <v>7368</v>
      </c>
      <c r="C2627" s="204" t="s">
        <v>24</v>
      </c>
      <c r="D2627" s="204" t="s">
        <v>1242</v>
      </c>
      <c r="E2627" s="204" t="s">
        <v>3209</v>
      </c>
      <c r="F2627" s="152" t="s">
        <v>2276</v>
      </c>
      <c r="G2627" s="152" t="s">
        <v>2276</v>
      </c>
      <c r="H2627" s="204" t="s">
        <v>523</v>
      </c>
      <c r="I2627" s="204">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1">
        <f>2000*0.058</f>
        <v>116</v>
      </c>
      <c r="U2627" s="204" t="s">
        <v>2276</v>
      </c>
      <c r="V2627" s="204" t="s">
        <v>2276</v>
      </c>
      <c r="W2627" s="204" t="s">
        <v>2276</v>
      </c>
      <c r="X2627" s="21">
        <f>T2627/'Record info'!K$1119</f>
        <v>2.0197447460519212E-3</v>
      </c>
      <c r="Y2627" s="204" t="s">
        <v>2276</v>
      </c>
      <c r="Z2627" s="204" t="s">
        <v>35</v>
      </c>
      <c r="AA2627" s="204" t="s">
        <v>38</v>
      </c>
      <c r="AB2627" s="204" t="s">
        <v>64</v>
      </c>
      <c r="AC2627" s="204" t="s">
        <v>7627</v>
      </c>
      <c r="AD2627" s="204"/>
    </row>
    <row r="2628" spans="1:30" ht="30" customHeight="1">
      <c r="A2628" s="19" t="s">
        <v>7288</v>
      </c>
      <c r="B2628" s="19" t="s">
        <v>7369</v>
      </c>
      <c r="C2628" s="204" t="s">
        <v>24</v>
      </c>
      <c r="D2628" s="204" t="s">
        <v>1242</v>
      </c>
      <c r="E2628" s="204" t="s">
        <v>3209</v>
      </c>
      <c r="F2628" s="152" t="s">
        <v>2276</v>
      </c>
      <c r="G2628" s="152" t="s">
        <v>2276</v>
      </c>
      <c r="H2628" s="204" t="s">
        <v>523</v>
      </c>
      <c r="I2628" s="204">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1">
        <f>4000*0.068</f>
        <v>272</v>
      </c>
      <c r="U2628" s="204" t="s">
        <v>2276</v>
      </c>
      <c r="V2628" s="204" t="s">
        <v>2276</v>
      </c>
      <c r="W2628" s="204" t="s">
        <v>2276</v>
      </c>
      <c r="X2628" s="21">
        <f>T2628/'Record info'!K$1115</f>
        <v>9.9970596883269622E-3</v>
      </c>
      <c r="Y2628" s="204" t="s">
        <v>2276</v>
      </c>
      <c r="Z2628" s="204" t="s">
        <v>35</v>
      </c>
      <c r="AA2628" s="204" t="s">
        <v>38</v>
      </c>
      <c r="AB2628" s="204" t="s">
        <v>64</v>
      </c>
      <c r="AC2628" s="204" t="s">
        <v>7627</v>
      </c>
      <c r="AD2628" s="204"/>
    </row>
    <row r="2629" spans="1:30" ht="30" customHeight="1">
      <c r="A2629" s="19" t="s">
        <v>7289</v>
      </c>
      <c r="B2629" s="19" t="s">
        <v>7370</v>
      </c>
      <c r="C2629" s="204" t="s">
        <v>24</v>
      </c>
      <c r="D2629" s="204" t="s">
        <v>1242</v>
      </c>
      <c r="E2629" s="204" t="s">
        <v>3209</v>
      </c>
      <c r="F2629" s="152" t="s">
        <v>2276</v>
      </c>
      <c r="G2629" s="152" t="s">
        <v>2276</v>
      </c>
      <c r="H2629" s="204" t="s">
        <v>523</v>
      </c>
      <c r="I2629" s="204">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1">
        <f>4000*0.05</f>
        <v>200</v>
      </c>
      <c r="U2629" s="204" t="s">
        <v>2276</v>
      </c>
      <c r="V2629" s="204" t="s">
        <v>2276</v>
      </c>
      <c r="W2629" s="204" t="s">
        <v>2276</v>
      </c>
      <c r="X2629" s="21">
        <f>T2629/'Record info'!K$1116</f>
        <v>6.6876212131344879E-3</v>
      </c>
      <c r="Y2629" s="204" t="s">
        <v>2276</v>
      </c>
      <c r="Z2629" s="204" t="s">
        <v>35</v>
      </c>
      <c r="AA2629" s="204" t="s">
        <v>38</v>
      </c>
      <c r="AB2629" s="204" t="s">
        <v>64</v>
      </c>
      <c r="AC2629" s="204" t="s">
        <v>7627</v>
      </c>
      <c r="AD2629" s="204"/>
    </row>
    <row r="2630" spans="1:30" ht="30" customHeight="1">
      <c r="A2630" s="19" t="s">
        <v>7290</v>
      </c>
      <c r="B2630" s="19" t="s">
        <v>7371</v>
      </c>
      <c r="C2630" s="204" t="s">
        <v>24</v>
      </c>
      <c r="D2630" s="204" t="s">
        <v>1242</v>
      </c>
      <c r="E2630" s="204" t="s">
        <v>3209</v>
      </c>
      <c r="F2630" s="152" t="s">
        <v>2276</v>
      </c>
      <c r="G2630" s="152" t="s">
        <v>2276</v>
      </c>
      <c r="H2630" s="204" t="s">
        <v>523</v>
      </c>
      <c r="I2630" s="204">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1">
        <f>4000*0.493</f>
        <v>1972</v>
      </c>
      <c r="U2630" s="204" t="s">
        <v>2276</v>
      </c>
      <c r="V2630" s="204" t="s">
        <v>2276</v>
      </c>
      <c r="W2630" s="204" t="s">
        <v>2276</v>
      </c>
      <c r="X2630" s="21">
        <f>T2630/'Record info'!K$1117</f>
        <v>6.1987237921604377E-2</v>
      </c>
      <c r="Y2630" s="204" t="s">
        <v>2276</v>
      </c>
      <c r="Z2630" s="204" t="s">
        <v>35</v>
      </c>
      <c r="AA2630" s="204" t="s">
        <v>38</v>
      </c>
      <c r="AB2630" s="204" t="s">
        <v>64</v>
      </c>
      <c r="AC2630" s="204" t="s">
        <v>7627</v>
      </c>
      <c r="AD2630" s="204"/>
    </row>
    <row r="2631" spans="1:30" ht="30" customHeight="1">
      <c r="A2631" s="19" t="s">
        <v>7291</v>
      </c>
      <c r="B2631" s="19" t="s">
        <v>7372</v>
      </c>
      <c r="C2631" s="204" t="s">
        <v>24</v>
      </c>
      <c r="D2631" s="204" t="s">
        <v>1242</v>
      </c>
      <c r="E2631" s="204" t="s">
        <v>3209</v>
      </c>
      <c r="F2631" s="152" t="s">
        <v>2276</v>
      </c>
      <c r="G2631" s="152" t="s">
        <v>2276</v>
      </c>
      <c r="H2631" s="204" t="s">
        <v>523</v>
      </c>
      <c r="I2631" s="204">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1">
        <f>4000*0.375</f>
        <v>1500</v>
      </c>
      <c r="U2631" s="204" t="s">
        <v>2276</v>
      </c>
      <c r="V2631" s="204" t="s">
        <v>2276</v>
      </c>
      <c r="W2631" s="204" t="s">
        <v>2276</v>
      </c>
      <c r="X2631" s="21">
        <f>T2631/'Record info'!K$1118</f>
        <v>0.12487512487512488</v>
      </c>
      <c r="Y2631" s="204" t="s">
        <v>2276</v>
      </c>
      <c r="Z2631" s="204" t="s">
        <v>35</v>
      </c>
      <c r="AA2631" s="204" t="s">
        <v>38</v>
      </c>
      <c r="AB2631" s="204" t="s">
        <v>64</v>
      </c>
      <c r="AC2631" s="204" t="s">
        <v>7627</v>
      </c>
      <c r="AD2631" s="204"/>
    </row>
    <row r="2632" spans="1:30" ht="30" customHeight="1">
      <c r="A2632" s="19" t="s">
        <v>7292</v>
      </c>
      <c r="B2632" s="19" t="s">
        <v>7373</v>
      </c>
      <c r="C2632" s="204" t="s">
        <v>24</v>
      </c>
      <c r="D2632" s="204" t="s">
        <v>1242</v>
      </c>
      <c r="E2632" s="204" t="s">
        <v>3209</v>
      </c>
      <c r="F2632" s="152" t="s">
        <v>2276</v>
      </c>
      <c r="G2632" s="152" t="s">
        <v>2276</v>
      </c>
      <c r="H2632" s="204" t="s">
        <v>523</v>
      </c>
      <c r="I2632" s="204">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1">
        <f>4000*0.058</f>
        <v>232</v>
      </c>
      <c r="U2632" s="204" t="s">
        <v>2276</v>
      </c>
      <c r="V2632" s="204" t="s">
        <v>2276</v>
      </c>
      <c r="W2632" s="204" t="s">
        <v>2276</v>
      </c>
      <c r="X2632" s="21">
        <f>T2632/'Record info'!K$1119</f>
        <v>4.0394894921038423E-3</v>
      </c>
      <c r="Y2632" s="204" t="s">
        <v>2276</v>
      </c>
      <c r="Z2632" s="204" t="s">
        <v>35</v>
      </c>
      <c r="AA2632" s="204" t="s">
        <v>38</v>
      </c>
      <c r="AB2632" s="204" t="s">
        <v>64</v>
      </c>
      <c r="AC2632" s="204" t="s">
        <v>7627</v>
      </c>
      <c r="AD2632" s="204"/>
    </row>
    <row r="2633" spans="1:30" ht="30" customHeight="1">
      <c r="A2633" s="19" t="s">
        <v>7288</v>
      </c>
      <c r="B2633" s="19" t="s">
        <v>7374</v>
      </c>
      <c r="C2633" s="204" t="s">
        <v>24</v>
      </c>
      <c r="D2633" s="204" t="s">
        <v>1242</v>
      </c>
      <c r="E2633" s="204" t="s">
        <v>3209</v>
      </c>
      <c r="F2633" s="152" t="s">
        <v>2276</v>
      </c>
      <c r="G2633" s="152" t="s">
        <v>2276</v>
      </c>
      <c r="H2633" s="204" t="s">
        <v>523</v>
      </c>
      <c r="I2633" s="204">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1">
        <f>4061*0.068</f>
        <v>276.14800000000002</v>
      </c>
      <c r="U2633" s="204" t="s">
        <v>2276</v>
      </c>
      <c r="V2633" s="204" t="s">
        <v>2276</v>
      </c>
      <c r="W2633" s="204" t="s">
        <v>2276</v>
      </c>
      <c r="X2633" s="21">
        <f>T2633/'Record info'!K$1115</f>
        <v>1.0149514848573949E-2</v>
      </c>
      <c r="Y2633" s="204" t="s">
        <v>2276</v>
      </c>
      <c r="Z2633" s="204" t="s">
        <v>35</v>
      </c>
      <c r="AA2633" s="204" t="s">
        <v>38</v>
      </c>
      <c r="AB2633" s="204" t="s">
        <v>64</v>
      </c>
      <c r="AC2633" s="204" t="s">
        <v>7627</v>
      </c>
      <c r="AD2633" s="204"/>
    </row>
    <row r="2634" spans="1:30" ht="30" customHeight="1">
      <c r="A2634" s="19" t="s">
        <v>7289</v>
      </c>
      <c r="B2634" s="19" t="s">
        <v>7375</v>
      </c>
      <c r="C2634" s="204" t="s">
        <v>24</v>
      </c>
      <c r="D2634" s="204" t="s">
        <v>1242</v>
      </c>
      <c r="E2634" s="204" t="s">
        <v>3209</v>
      </c>
      <c r="F2634" s="152" t="s">
        <v>2276</v>
      </c>
      <c r="G2634" s="152" t="s">
        <v>2276</v>
      </c>
      <c r="H2634" s="204" t="s">
        <v>523</v>
      </c>
      <c r="I2634" s="204">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1">
        <f>4061*0.05</f>
        <v>203.05</v>
      </c>
      <c r="U2634" s="204" t="s">
        <v>2276</v>
      </c>
      <c r="V2634" s="204" t="s">
        <v>2276</v>
      </c>
      <c r="W2634" s="204" t="s">
        <v>2276</v>
      </c>
      <c r="X2634" s="21">
        <f>T2634/'Record info'!K$1116</f>
        <v>6.7896074366347895E-3</v>
      </c>
      <c r="Y2634" s="204" t="s">
        <v>2276</v>
      </c>
      <c r="Z2634" s="204" t="s">
        <v>35</v>
      </c>
      <c r="AA2634" s="204" t="s">
        <v>38</v>
      </c>
      <c r="AB2634" s="204" t="s">
        <v>64</v>
      </c>
      <c r="AC2634" s="204" t="s">
        <v>7627</v>
      </c>
      <c r="AD2634" s="204"/>
    </row>
    <row r="2635" spans="1:30" ht="30" customHeight="1">
      <c r="A2635" s="19" t="s">
        <v>7290</v>
      </c>
      <c r="B2635" s="19" t="s">
        <v>7376</v>
      </c>
      <c r="C2635" s="204" t="s">
        <v>24</v>
      </c>
      <c r="D2635" s="204" t="s">
        <v>1242</v>
      </c>
      <c r="E2635" s="204" t="s">
        <v>3209</v>
      </c>
      <c r="F2635" s="152" t="s">
        <v>2276</v>
      </c>
      <c r="G2635" s="152" t="s">
        <v>2276</v>
      </c>
      <c r="H2635" s="204" t="s">
        <v>523</v>
      </c>
      <c r="I2635" s="204">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4061*0.493</f>
        <v>2002.0729999999999</v>
      </c>
      <c r="U2635" s="204" t="s">
        <v>2276</v>
      </c>
      <c r="V2635" s="204" t="s">
        <v>2276</v>
      </c>
      <c r="W2635" s="204" t="s">
        <v>2276</v>
      </c>
      <c r="X2635" s="21">
        <f>T2635/'Record info'!K$1117</f>
        <v>6.2932543299908841E-2</v>
      </c>
      <c r="Y2635" s="204" t="s">
        <v>2276</v>
      </c>
      <c r="Z2635" s="204" t="s">
        <v>35</v>
      </c>
      <c r="AA2635" s="204" t="s">
        <v>38</v>
      </c>
      <c r="AB2635" s="204" t="s">
        <v>64</v>
      </c>
      <c r="AC2635" s="204" t="s">
        <v>7627</v>
      </c>
      <c r="AD2635" s="204"/>
    </row>
    <row r="2636" spans="1:30" ht="30" customHeight="1">
      <c r="A2636" s="19" t="s">
        <v>7291</v>
      </c>
      <c r="B2636" s="19" t="s">
        <v>7377</v>
      </c>
      <c r="C2636" s="204" t="s">
        <v>24</v>
      </c>
      <c r="D2636" s="204" t="s">
        <v>1242</v>
      </c>
      <c r="E2636" s="204" t="s">
        <v>3209</v>
      </c>
      <c r="F2636" s="152" t="s">
        <v>2276</v>
      </c>
      <c r="G2636" s="152" t="s">
        <v>2276</v>
      </c>
      <c r="H2636" s="204" t="s">
        <v>523</v>
      </c>
      <c r="I2636" s="204">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4061*0.375</f>
        <v>1522.875</v>
      </c>
      <c r="U2636" s="204" t="s">
        <v>2276</v>
      </c>
      <c r="V2636" s="204" t="s">
        <v>2276</v>
      </c>
      <c r="W2636" s="204" t="s">
        <v>2276</v>
      </c>
      <c r="X2636" s="21">
        <f>T2636/'Record info'!K$1118</f>
        <v>0.12677947052947053</v>
      </c>
      <c r="Y2636" s="204" t="s">
        <v>2276</v>
      </c>
      <c r="Z2636" s="204" t="s">
        <v>35</v>
      </c>
      <c r="AA2636" s="204" t="s">
        <v>38</v>
      </c>
      <c r="AB2636" s="204" t="s">
        <v>64</v>
      </c>
      <c r="AC2636" s="204" t="s">
        <v>7627</v>
      </c>
      <c r="AD2636" s="204"/>
    </row>
    <row r="2637" spans="1:30" ht="30" customHeight="1">
      <c r="A2637" s="19" t="s">
        <v>7292</v>
      </c>
      <c r="B2637" s="19" t="s">
        <v>7378</v>
      </c>
      <c r="C2637" s="204" t="s">
        <v>24</v>
      </c>
      <c r="D2637" s="204" t="s">
        <v>1242</v>
      </c>
      <c r="E2637" s="204" t="s">
        <v>3209</v>
      </c>
      <c r="F2637" s="152" t="s">
        <v>2276</v>
      </c>
      <c r="G2637" s="152" t="s">
        <v>2276</v>
      </c>
      <c r="H2637" s="204" t="s">
        <v>523</v>
      </c>
      <c r="I2637" s="204">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4061*0.058</f>
        <v>235.53800000000001</v>
      </c>
      <c r="U2637" s="204" t="s">
        <v>2276</v>
      </c>
      <c r="V2637" s="204" t="s">
        <v>2276</v>
      </c>
      <c r="W2637" s="204" t="s">
        <v>2276</v>
      </c>
      <c r="X2637" s="21">
        <f>T2637/'Record info'!K$1119</f>
        <v>4.1010917068584262E-3</v>
      </c>
      <c r="Y2637" s="204" t="s">
        <v>2276</v>
      </c>
      <c r="Z2637" s="204" t="s">
        <v>35</v>
      </c>
      <c r="AA2637" s="204" t="s">
        <v>38</v>
      </c>
      <c r="AB2637" s="204" t="s">
        <v>64</v>
      </c>
      <c r="AC2637" s="204" t="s">
        <v>7627</v>
      </c>
      <c r="AD2637" s="204"/>
    </row>
    <row r="2638" spans="1:30" ht="33.5" customHeight="1">
      <c r="A2638" s="19" t="s">
        <v>7293</v>
      </c>
      <c r="B2638" s="19" t="s">
        <v>7413</v>
      </c>
      <c r="C2638" s="204" t="s">
        <v>24</v>
      </c>
      <c r="D2638" s="204" t="s">
        <v>1242</v>
      </c>
      <c r="E2638" s="204" t="s">
        <v>3209</v>
      </c>
      <c r="F2638" s="152" t="s">
        <v>2276</v>
      </c>
      <c r="G2638" s="152" t="s">
        <v>2276</v>
      </c>
      <c r="H2638" s="204" t="s">
        <v>523</v>
      </c>
      <c r="I2638" s="204">
        <v>2006</v>
      </c>
      <c r="J2638" s="204" t="s">
        <v>2276</v>
      </c>
      <c r="K2638" s="204" t="s">
        <v>2276</v>
      </c>
      <c r="L2638" s="204" t="s">
        <v>2276</v>
      </c>
      <c r="M2638" s="204" t="s">
        <v>2276</v>
      </c>
      <c r="N2638" s="204" t="s">
        <v>2276</v>
      </c>
      <c r="O2638" s="204" t="s">
        <v>2276</v>
      </c>
      <c r="P2638" s="204" t="s">
        <v>2276</v>
      </c>
      <c r="Q2638" s="204" t="s">
        <v>2276</v>
      </c>
      <c r="R2638" s="204" t="s">
        <v>2276</v>
      </c>
      <c r="S2638" s="204" t="s">
        <v>2276</v>
      </c>
      <c r="T2638" s="21">
        <f>200*0.027</f>
        <v>5.4</v>
      </c>
      <c r="U2638" s="204" t="s">
        <v>2276</v>
      </c>
      <c r="V2638" s="204" t="s">
        <v>2276</v>
      </c>
      <c r="W2638" s="204" t="s">
        <v>2276</v>
      </c>
      <c r="X2638" s="21">
        <f>T2638/'Record info'!K$1128</f>
        <v>1.9285714285714288E-3</v>
      </c>
      <c r="Y2638" s="204" t="s">
        <v>2276</v>
      </c>
      <c r="Z2638" s="38" t="s">
        <v>68</v>
      </c>
      <c r="AA2638" s="204" t="s">
        <v>86</v>
      </c>
      <c r="AB2638" s="203" t="s">
        <v>76</v>
      </c>
      <c r="AC2638" s="204"/>
      <c r="AD2638" s="204"/>
    </row>
    <row r="2639" spans="1:30" ht="33.5" customHeight="1">
      <c r="A2639" s="19" t="s">
        <v>7379</v>
      </c>
      <c r="B2639" s="19" t="s">
        <v>7414</v>
      </c>
      <c r="C2639" s="204" t="s">
        <v>24</v>
      </c>
      <c r="D2639" s="204" t="s">
        <v>1242</v>
      </c>
      <c r="E2639" s="204" t="s">
        <v>3209</v>
      </c>
      <c r="F2639" s="152" t="s">
        <v>2276</v>
      </c>
      <c r="G2639" s="152" t="s">
        <v>2276</v>
      </c>
      <c r="H2639" s="204" t="s">
        <v>523</v>
      </c>
      <c r="I2639" s="204">
        <v>2006</v>
      </c>
      <c r="J2639" s="204" t="s">
        <v>2276</v>
      </c>
      <c r="K2639" s="204" t="s">
        <v>2276</v>
      </c>
      <c r="L2639" s="204" t="s">
        <v>2276</v>
      </c>
      <c r="M2639" s="204" t="s">
        <v>2276</v>
      </c>
      <c r="N2639" s="204" t="s">
        <v>2276</v>
      </c>
      <c r="O2639" s="204" t="s">
        <v>2276</v>
      </c>
      <c r="P2639" s="204" t="s">
        <v>2276</v>
      </c>
      <c r="Q2639" s="204" t="s">
        <v>2276</v>
      </c>
      <c r="R2639" s="204" t="s">
        <v>2276</v>
      </c>
      <c r="S2639" s="204" t="s">
        <v>2276</v>
      </c>
      <c r="T2639" s="21">
        <f>200*0.041</f>
        <v>8.2000000000000011</v>
      </c>
      <c r="U2639" s="204" t="s">
        <v>2276</v>
      </c>
      <c r="V2639" s="204" t="s">
        <v>2276</v>
      </c>
      <c r="W2639" s="204" t="s">
        <v>2276</v>
      </c>
      <c r="X2639" s="21">
        <f>T2639/'Record info'!K$1129</f>
        <v>2.3328591749644384E-3</v>
      </c>
      <c r="Y2639" s="204" t="s">
        <v>2276</v>
      </c>
      <c r="Z2639" s="204" t="s">
        <v>68</v>
      </c>
      <c r="AA2639" s="204" t="s">
        <v>86</v>
      </c>
      <c r="AB2639" s="204" t="s">
        <v>76</v>
      </c>
      <c r="AC2639" s="204"/>
      <c r="AD2639" s="204"/>
    </row>
    <row r="2640" spans="1:30" ht="33.5" customHeight="1">
      <c r="A2640" s="19" t="s">
        <v>7380</v>
      </c>
      <c r="B2640" s="19" t="s">
        <v>7415</v>
      </c>
      <c r="C2640" s="204" t="s">
        <v>24</v>
      </c>
      <c r="D2640" s="204" t="s">
        <v>1242</v>
      </c>
      <c r="E2640" s="204" t="s">
        <v>3209</v>
      </c>
      <c r="F2640" s="152" t="s">
        <v>2276</v>
      </c>
      <c r="G2640" s="152" t="s">
        <v>2276</v>
      </c>
      <c r="H2640" s="204" t="s">
        <v>523</v>
      </c>
      <c r="I2640" s="204">
        <v>2006</v>
      </c>
      <c r="J2640" s="204" t="s">
        <v>2276</v>
      </c>
      <c r="K2640" s="204" t="s">
        <v>2276</v>
      </c>
      <c r="L2640" s="204" t="s">
        <v>2276</v>
      </c>
      <c r="M2640" s="204" t="s">
        <v>2276</v>
      </c>
      <c r="N2640" s="204" t="s">
        <v>2276</v>
      </c>
      <c r="O2640" s="204" t="s">
        <v>2276</v>
      </c>
      <c r="P2640" s="204" t="s">
        <v>2276</v>
      </c>
      <c r="Q2640" s="204" t="s">
        <v>2276</v>
      </c>
      <c r="R2640" s="204" t="s">
        <v>2276</v>
      </c>
      <c r="S2640" s="204" t="s">
        <v>2276</v>
      </c>
      <c r="T2640" s="21">
        <f>200*0.004</f>
        <v>0.8</v>
      </c>
      <c r="U2640" s="204" t="s">
        <v>2276</v>
      </c>
      <c r="V2640" s="204" t="s">
        <v>2276</v>
      </c>
      <c r="W2640" s="204" t="s">
        <v>2276</v>
      </c>
      <c r="X2640" s="21">
        <f>T2640/'Record info'!K$1130</f>
        <v>1.185712168371128E-4</v>
      </c>
      <c r="Y2640" s="204" t="s">
        <v>2276</v>
      </c>
      <c r="Z2640" s="204" t="s">
        <v>68</v>
      </c>
      <c r="AA2640" s="204" t="s">
        <v>86</v>
      </c>
      <c r="AB2640" s="204" t="s">
        <v>76</v>
      </c>
      <c r="AC2640" s="204"/>
      <c r="AD2640" s="204"/>
    </row>
    <row r="2641" spans="1:30" ht="33.5" customHeight="1">
      <c r="A2641" s="19" t="s">
        <v>7381</v>
      </c>
      <c r="B2641" s="19" t="s">
        <v>7416</v>
      </c>
      <c r="C2641" s="204" t="s">
        <v>24</v>
      </c>
      <c r="D2641" s="204" t="s">
        <v>1242</v>
      </c>
      <c r="E2641" s="204" t="s">
        <v>3209</v>
      </c>
      <c r="F2641" s="152" t="s">
        <v>2276</v>
      </c>
      <c r="G2641" s="152" t="s">
        <v>2276</v>
      </c>
      <c r="H2641" s="204" t="s">
        <v>523</v>
      </c>
      <c r="I2641" s="204">
        <v>2006</v>
      </c>
      <c r="J2641" s="204" t="s">
        <v>2276</v>
      </c>
      <c r="K2641" s="204" t="s">
        <v>2276</v>
      </c>
      <c r="L2641" s="204" t="s">
        <v>2276</v>
      </c>
      <c r="M2641" s="204" t="s">
        <v>2276</v>
      </c>
      <c r="N2641" s="204" t="s">
        <v>2276</v>
      </c>
      <c r="O2641" s="204" t="s">
        <v>2276</v>
      </c>
      <c r="P2641" s="204" t="s">
        <v>2276</v>
      </c>
      <c r="Q2641" s="204" t="s">
        <v>2276</v>
      </c>
      <c r="R2641" s="204" t="s">
        <v>2276</v>
      </c>
      <c r="S2641" s="204" t="s">
        <v>2276</v>
      </c>
      <c r="T2641" s="21">
        <f>200*0.004</f>
        <v>0.8</v>
      </c>
      <c r="U2641" s="204" t="s">
        <v>2276</v>
      </c>
      <c r="V2641" s="204" t="s">
        <v>2276</v>
      </c>
      <c r="W2641" s="204" t="s">
        <v>2276</v>
      </c>
      <c r="X2641" s="21">
        <f>T2641/'Record info'!K$1131</f>
        <v>1.5797788309636652E-4</v>
      </c>
      <c r="Y2641" s="204" t="s">
        <v>2276</v>
      </c>
      <c r="Z2641" s="204" t="s">
        <v>68</v>
      </c>
      <c r="AA2641" s="204" t="s">
        <v>86</v>
      </c>
      <c r="AB2641" s="204" t="s">
        <v>76</v>
      </c>
      <c r="AC2641" s="204"/>
      <c r="AD2641" s="204"/>
    </row>
    <row r="2642" spans="1:30" ht="33.5" customHeight="1">
      <c r="A2642" s="19" t="s">
        <v>7382</v>
      </c>
      <c r="B2642" s="19" t="s">
        <v>7417</v>
      </c>
      <c r="C2642" s="204" t="s">
        <v>24</v>
      </c>
      <c r="D2642" s="204" t="s">
        <v>1242</v>
      </c>
      <c r="E2642" s="204" t="s">
        <v>3209</v>
      </c>
      <c r="F2642" s="152" t="s">
        <v>2276</v>
      </c>
      <c r="G2642" s="152" t="s">
        <v>2276</v>
      </c>
      <c r="H2642" s="204" t="s">
        <v>524</v>
      </c>
      <c r="I2642" s="204">
        <v>2006</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f>T2642/'Record info'!K$1132</f>
        <v>0</v>
      </c>
      <c r="Y2642" s="204" t="s">
        <v>2276</v>
      </c>
      <c r="Z2642" s="204" t="s">
        <v>68</v>
      </c>
      <c r="AA2642" s="204" t="s">
        <v>86</v>
      </c>
      <c r="AB2642" s="204" t="s">
        <v>76</v>
      </c>
      <c r="AC2642" s="204"/>
      <c r="AD2642" s="204"/>
    </row>
    <row r="2643" spans="1:30" ht="33.5" customHeight="1">
      <c r="A2643" s="19" t="s">
        <v>7383</v>
      </c>
      <c r="B2643" s="19" t="s">
        <v>7418</v>
      </c>
      <c r="C2643" s="204" t="s">
        <v>24</v>
      </c>
      <c r="D2643" s="204" t="s">
        <v>1242</v>
      </c>
      <c r="E2643" s="204" t="s">
        <v>3209</v>
      </c>
      <c r="F2643" s="152" t="s">
        <v>2276</v>
      </c>
      <c r="G2643" s="152" t="s">
        <v>2276</v>
      </c>
      <c r="H2643" s="204" t="s">
        <v>524</v>
      </c>
      <c r="I2643" s="204">
        <v>2006</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f>T2643/'Record info'!K$1133</f>
        <v>0</v>
      </c>
      <c r="Y2643" s="204" t="s">
        <v>2276</v>
      </c>
      <c r="Z2643" s="204" t="s">
        <v>68</v>
      </c>
      <c r="AA2643" s="204" t="s">
        <v>86</v>
      </c>
      <c r="AB2643" s="204" t="s">
        <v>76</v>
      </c>
      <c r="AC2643" s="204"/>
      <c r="AD2643" s="204"/>
    </row>
    <row r="2644" spans="1:30" ht="33.5" customHeight="1">
      <c r="A2644" s="19" t="s">
        <v>7384</v>
      </c>
      <c r="B2644" s="19" t="s">
        <v>7419</v>
      </c>
      <c r="C2644" s="204" t="s">
        <v>24</v>
      </c>
      <c r="D2644" s="204" t="s">
        <v>1242</v>
      </c>
      <c r="E2644" s="204" t="s">
        <v>3209</v>
      </c>
      <c r="F2644" s="152" t="s">
        <v>2276</v>
      </c>
      <c r="G2644" s="152" t="s">
        <v>2276</v>
      </c>
      <c r="H2644" s="204" t="s">
        <v>524</v>
      </c>
      <c r="I2644" s="204">
        <v>2006</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f>T2644/'Record info'!K$1134</f>
        <v>0</v>
      </c>
      <c r="Y2644" s="204" t="s">
        <v>2276</v>
      </c>
      <c r="Z2644" s="204" t="s">
        <v>68</v>
      </c>
      <c r="AA2644" s="204" t="s">
        <v>86</v>
      </c>
      <c r="AB2644" s="204" t="s">
        <v>76</v>
      </c>
      <c r="AC2644" s="204"/>
      <c r="AD2644" s="204"/>
    </row>
    <row r="2645" spans="1:30" ht="33.5" customHeight="1">
      <c r="A2645" s="19" t="s">
        <v>7385</v>
      </c>
      <c r="B2645" s="19" t="s">
        <v>7420</v>
      </c>
      <c r="C2645" s="204" t="s">
        <v>24</v>
      </c>
      <c r="D2645" s="204" t="s">
        <v>1242</v>
      </c>
      <c r="E2645" s="204" t="s">
        <v>3209</v>
      </c>
      <c r="F2645" s="152" t="s">
        <v>2276</v>
      </c>
      <c r="G2645" s="152" t="s">
        <v>2276</v>
      </c>
      <c r="H2645" s="204" t="s">
        <v>523</v>
      </c>
      <c r="I2645" s="204">
        <v>2006</v>
      </c>
      <c r="J2645" s="204" t="s">
        <v>2276</v>
      </c>
      <c r="K2645" s="204" t="s">
        <v>2276</v>
      </c>
      <c r="L2645" s="204" t="s">
        <v>2276</v>
      </c>
      <c r="M2645" s="204" t="s">
        <v>2276</v>
      </c>
      <c r="N2645" s="204" t="s">
        <v>2276</v>
      </c>
      <c r="O2645" s="204" t="s">
        <v>2276</v>
      </c>
      <c r="P2645" s="204" t="s">
        <v>2276</v>
      </c>
      <c r="Q2645" s="204" t="s">
        <v>2276</v>
      </c>
      <c r="R2645" s="204" t="s">
        <v>2276</v>
      </c>
      <c r="S2645" s="204" t="s">
        <v>2276</v>
      </c>
      <c r="T2645" s="21">
        <f>200*0.035</f>
        <v>7.0000000000000009</v>
      </c>
      <c r="U2645" s="204" t="s">
        <v>2276</v>
      </c>
      <c r="V2645" s="204" t="s">
        <v>2276</v>
      </c>
      <c r="W2645" s="204" t="s">
        <v>2276</v>
      </c>
      <c r="X2645" s="21">
        <f>T2645/'Record info'!K$1135</f>
        <v>1.1541632316570487E-3</v>
      </c>
      <c r="Y2645" s="204" t="s">
        <v>2276</v>
      </c>
      <c r="Z2645" s="204" t="s">
        <v>68</v>
      </c>
      <c r="AA2645" s="204" t="s">
        <v>86</v>
      </c>
      <c r="AB2645" s="204" t="s">
        <v>76</v>
      </c>
      <c r="AC2645" s="204"/>
      <c r="AD2645" s="204"/>
    </row>
    <row r="2646" spans="1:30" ht="33.5" customHeight="1">
      <c r="A2646" s="19" t="s">
        <v>7386</v>
      </c>
      <c r="B2646" s="19" t="s">
        <v>7421</v>
      </c>
      <c r="C2646" s="204" t="s">
        <v>24</v>
      </c>
      <c r="D2646" s="204" t="s">
        <v>1242</v>
      </c>
      <c r="E2646" s="204" t="s">
        <v>3209</v>
      </c>
      <c r="F2646" s="152" t="s">
        <v>2276</v>
      </c>
      <c r="G2646" s="152" t="s">
        <v>2276</v>
      </c>
      <c r="H2646" s="204" t="s">
        <v>523</v>
      </c>
      <c r="I2646" s="204">
        <v>2006</v>
      </c>
      <c r="J2646" s="204" t="s">
        <v>2276</v>
      </c>
      <c r="K2646" s="204" t="s">
        <v>2276</v>
      </c>
      <c r="L2646" s="204" t="s">
        <v>2276</v>
      </c>
      <c r="M2646" s="204" t="s">
        <v>2276</v>
      </c>
      <c r="N2646" s="204" t="s">
        <v>2276</v>
      </c>
      <c r="O2646" s="204" t="s">
        <v>2276</v>
      </c>
      <c r="P2646" s="204" t="s">
        <v>2276</v>
      </c>
      <c r="Q2646" s="204" t="s">
        <v>2276</v>
      </c>
      <c r="R2646" s="204" t="s">
        <v>2276</v>
      </c>
      <c r="S2646" s="204" t="s">
        <v>2276</v>
      </c>
      <c r="T2646" s="21">
        <f>200*0.079</f>
        <v>15.8</v>
      </c>
      <c r="U2646" s="204" t="s">
        <v>2276</v>
      </c>
      <c r="V2646" s="204" t="s">
        <v>2276</v>
      </c>
      <c r="W2646" s="204" t="s">
        <v>2276</v>
      </c>
      <c r="X2646" s="21">
        <f>T2646/'Record info'!K$1136</f>
        <v>2.3670411985018728E-3</v>
      </c>
      <c r="Y2646" s="204" t="s">
        <v>2276</v>
      </c>
      <c r="Z2646" s="204" t="s">
        <v>68</v>
      </c>
      <c r="AA2646" s="204" t="s">
        <v>86</v>
      </c>
      <c r="AB2646" s="204" t="s">
        <v>76</v>
      </c>
      <c r="AC2646" s="204"/>
      <c r="AD2646" s="204"/>
    </row>
    <row r="2647" spans="1:30" ht="33.5" customHeight="1">
      <c r="A2647" s="19" t="s">
        <v>7387</v>
      </c>
      <c r="B2647" s="19" t="s">
        <v>7422</v>
      </c>
      <c r="C2647" s="204" t="s">
        <v>24</v>
      </c>
      <c r="D2647" s="204" t="s">
        <v>1242</v>
      </c>
      <c r="E2647" s="204" t="s">
        <v>3209</v>
      </c>
      <c r="F2647" s="152" t="s">
        <v>2276</v>
      </c>
      <c r="G2647" s="152" t="s">
        <v>2276</v>
      </c>
      <c r="H2647" s="204" t="s">
        <v>523</v>
      </c>
      <c r="I2647" s="204">
        <v>2006</v>
      </c>
      <c r="J2647" s="204" t="s">
        <v>2276</v>
      </c>
      <c r="K2647" s="204" t="s">
        <v>2276</v>
      </c>
      <c r="L2647" s="204" t="s">
        <v>2276</v>
      </c>
      <c r="M2647" s="204" t="s">
        <v>2276</v>
      </c>
      <c r="N2647" s="204" t="s">
        <v>2276</v>
      </c>
      <c r="O2647" s="204" t="s">
        <v>2276</v>
      </c>
      <c r="P2647" s="204" t="s">
        <v>2276</v>
      </c>
      <c r="Q2647" s="204" t="s">
        <v>2276</v>
      </c>
      <c r="R2647" s="204" t="s">
        <v>2276</v>
      </c>
      <c r="S2647" s="204" t="s">
        <v>2276</v>
      </c>
      <c r="T2647" s="21">
        <f>200*0.132</f>
        <v>26.400000000000002</v>
      </c>
      <c r="U2647" s="204" t="s">
        <v>2276</v>
      </c>
      <c r="V2647" s="204" t="s">
        <v>2276</v>
      </c>
      <c r="W2647" s="204" t="s">
        <v>2276</v>
      </c>
      <c r="X2647" s="21">
        <f>T2647/'Record info'!K$1137</f>
        <v>4.7843421529539694E-3</v>
      </c>
      <c r="Y2647" s="204" t="s">
        <v>2276</v>
      </c>
      <c r="Z2647" s="204" t="s">
        <v>68</v>
      </c>
      <c r="AA2647" s="204" t="s">
        <v>86</v>
      </c>
      <c r="AB2647" s="204" t="s">
        <v>76</v>
      </c>
      <c r="AC2647" s="204"/>
      <c r="AD2647" s="204"/>
    </row>
    <row r="2648" spans="1:30" ht="33.5" customHeight="1">
      <c r="A2648" s="19" t="s">
        <v>7388</v>
      </c>
      <c r="B2648" s="19" t="s">
        <v>7423</v>
      </c>
      <c r="C2648" s="204" t="s">
        <v>24</v>
      </c>
      <c r="D2648" s="204" t="s">
        <v>1242</v>
      </c>
      <c r="E2648" s="204" t="s">
        <v>3209</v>
      </c>
      <c r="F2648" s="152" t="s">
        <v>2276</v>
      </c>
      <c r="G2648" s="152" t="s">
        <v>2276</v>
      </c>
      <c r="H2648" s="204" t="s">
        <v>523</v>
      </c>
      <c r="I2648" s="204">
        <v>2006</v>
      </c>
      <c r="J2648" s="204" t="s">
        <v>2276</v>
      </c>
      <c r="K2648" s="204" t="s">
        <v>2276</v>
      </c>
      <c r="L2648" s="204" t="s">
        <v>2276</v>
      </c>
      <c r="M2648" s="204" t="s">
        <v>2276</v>
      </c>
      <c r="N2648" s="204" t="s">
        <v>2276</v>
      </c>
      <c r="O2648" s="204" t="s">
        <v>2276</v>
      </c>
      <c r="P2648" s="204" t="s">
        <v>2276</v>
      </c>
      <c r="Q2648" s="204" t="s">
        <v>2276</v>
      </c>
      <c r="R2648" s="204" t="s">
        <v>2276</v>
      </c>
      <c r="S2648" s="204" t="s">
        <v>2276</v>
      </c>
      <c r="T2648" s="21">
        <f>200*0.057</f>
        <v>11.4</v>
      </c>
      <c r="U2648" s="204" t="s">
        <v>2276</v>
      </c>
      <c r="V2648" s="204" t="s">
        <v>2276</v>
      </c>
      <c r="W2648" s="204" t="s">
        <v>2276</v>
      </c>
      <c r="X2648" s="21">
        <f>T2648/'Record info'!K$1138</f>
        <v>2.8882695718267038E-3</v>
      </c>
      <c r="Y2648" s="204" t="s">
        <v>2276</v>
      </c>
      <c r="Z2648" s="204" t="s">
        <v>68</v>
      </c>
      <c r="AA2648" s="204" t="s">
        <v>86</v>
      </c>
      <c r="AB2648" s="204" t="s">
        <v>76</v>
      </c>
      <c r="AC2648" s="204"/>
      <c r="AD2648" s="204"/>
    </row>
    <row r="2649" spans="1:30" ht="33.5" customHeight="1">
      <c r="A2649" s="19" t="s">
        <v>7389</v>
      </c>
      <c r="B2649" s="19" t="s">
        <v>7424</v>
      </c>
      <c r="C2649" s="204" t="s">
        <v>24</v>
      </c>
      <c r="D2649" s="204" t="s">
        <v>1242</v>
      </c>
      <c r="E2649" s="204" t="s">
        <v>3209</v>
      </c>
      <c r="F2649" s="152" t="s">
        <v>2276</v>
      </c>
      <c r="G2649" s="152" t="s">
        <v>2276</v>
      </c>
      <c r="H2649" s="204" t="s">
        <v>523</v>
      </c>
      <c r="I2649" s="204">
        <v>2006</v>
      </c>
      <c r="J2649" s="204" t="s">
        <v>2276</v>
      </c>
      <c r="K2649" s="204" t="s">
        <v>2276</v>
      </c>
      <c r="L2649" s="204" t="s">
        <v>2276</v>
      </c>
      <c r="M2649" s="204" t="s">
        <v>2276</v>
      </c>
      <c r="N2649" s="204" t="s">
        <v>2276</v>
      </c>
      <c r="O2649" s="204" t="s">
        <v>2276</v>
      </c>
      <c r="P2649" s="204" t="s">
        <v>2276</v>
      </c>
      <c r="Q2649" s="204" t="s">
        <v>2276</v>
      </c>
      <c r="R2649" s="204" t="s">
        <v>2276</v>
      </c>
      <c r="S2649" s="204" t="s">
        <v>2276</v>
      </c>
      <c r="T2649" s="21">
        <f>200*0.024</f>
        <v>4.8</v>
      </c>
      <c r="U2649" s="204" t="s">
        <v>2276</v>
      </c>
      <c r="V2649" s="204" t="s">
        <v>2276</v>
      </c>
      <c r="W2649" s="204" t="s">
        <v>2276</v>
      </c>
      <c r="X2649" s="21">
        <f>T2649/'Record info'!K$1139</f>
        <v>1.7094017094017094E-3</v>
      </c>
      <c r="Y2649" s="204" t="s">
        <v>2276</v>
      </c>
      <c r="Z2649" s="204" t="s">
        <v>68</v>
      </c>
      <c r="AA2649" s="204" t="s">
        <v>86</v>
      </c>
      <c r="AB2649" s="204" t="s">
        <v>76</v>
      </c>
      <c r="AC2649" s="204"/>
      <c r="AD2649" s="204"/>
    </row>
    <row r="2650" spans="1:30" ht="33.5" customHeight="1">
      <c r="A2650" s="19" t="s">
        <v>7390</v>
      </c>
      <c r="B2650" s="19" t="s">
        <v>7425</v>
      </c>
      <c r="C2650" s="204" t="s">
        <v>24</v>
      </c>
      <c r="D2650" s="204" t="s">
        <v>1242</v>
      </c>
      <c r="E2650" s="204" t="s">
        <v>3209</v>
      </c>
      <c r="F2650" s="152" t="s">
        <v>2276</v>
      </c>
      <c r="G2650" s="152" t="s">
        <v>2276</v>
      </c>
      <c r="H2650" s="204" t="s">
        <v>523</v>
      </c>
      <c r="I2650" s="204">
        <v>2006</v>
      </c>
      <c r="J2650" s="204" t="s">
        <v>2276</v>
      </c>
      <c r="K2650" s="204" t="s">
        <v>2276</v>
      </c>
      <c r="L2650" s="204" t="s">
        <v>2276</v>
      </c>
      <c r="M2650" s="204" t="s">
        <v>2276</v>
      </c>
      <c r="N2650" s="204" t="s">
        <v>2276</v>
      </c>
      <c r="O2650" s="204" t="s">
        <v>2276</v>
      </c>
      <c r="P2650" s="204" t="s">
        <v>2276</v>
      </c>
      <c r="Q2650" s="204" t="s">
        <v>2276</v>
      </c>
      <c r="R2650" s="204" t="s">
        <v>2276</v>
      </c>
      <c r="S2650" s="204" t="s">
        <v>2276</v>
      </c>
      <c r="T2650" s="21">
        <f>200*0.072</f>
        <v>14.399999999999999</v>
      </c>
      <c r="U2650" s="204" t="s">
        <v>2276</v>
      </c>
      <c r="V2650" s="204" t="s">
        <v>2276</v>
      </c>
      <c r="W2650" s="204" t="s">
        <v>2276</v>
      </c>
      <c r="X2650" s="21">
        <f>T2650/'Record info'!K$1140</f>
        <v>2.8759736369083281E-3</v>
      </c>
      <c r="Y2650" s="204" t="s">
        <v>2276</v>
      </c>
      <c r="Z2650" s="204" t="s">
        <v>68</v>
      </c>
      <c r="AA2650" s="204" t="s">
        <v>86</v>
      </c>
      <c r="AB2650" s="204" t="s">
        <v>76</v>
      </c>
      <c r="AC2650" s="204"/>
      <c r="AD2650" s="204"/>
    </row>
    <row r="2651" spans="1:30" ht="33.5" customHeight="1">
      <c r="A2651" s="19" t="s">
        <v>7391</v>
      </c>
      <c r="B2651" s="19" t="s">
        <v>7426</v>
      </c>
      <c r="C2651" s="204" t="s">
        <v>24</v>
      </c>
      <c r="D2651" s="204" t="s">
        <v>1242</v>
      </c>
      <c r="E2651" s="204" t="s">
        <v>3209</v>
      </c>
      <c r="F2651" s="152" t="s">
        <v>2276</v>
      </c>
      <c r="G2651" s="152" t="s">
        <v>2276</v>
      </c>
      <c r="H2651" s="204" t="s">
        <v>523</v>
      </c>
      <c r="I2651" s="204">
        <v>2006</v>
      </c>
      <c r="J2651" s="204" t="s">
        <v>2276</v>
      </c>
      <c r="K2651" s="204" t="s">
        <v>2276</v>
      </c>
      <c r="L2651" s="204" t="s">
        <v>2276</v>
      </c>
      <c r="M2651" s="204" t="s">
        <v>2276</v>
      </c>
      <c r="N2651" s="204" t="s">
        <v>2276</v>
      </c>
      <c r="O2651" s="204" t="s">
        <v>2276</v>
      </c>
      <c r="P2651" s="204" t="s">
        <v>2276</v>
      </c>
      <c r="Q2651" s="204" t="s">
        <v>2276</v>
      </c>
      <c r="R2651" s="204" t="s">
        <v>2276</v>
      </c>
      <c r="S2651" s="204" t="s">
        <v>2276</v>
      </c>
      <c r="T2651" s="21">
        <f>200*0.068</f>
        <v>13.600000000000001</v>
      </c>
      <c r="U2651" s="204" t="s">
        <v>2276</v>
      </c>
      <c r="V2651" s="204" t="s">
        <v>2276</v>
      </c>
      <c r="W2651" s="204" t="s">
        <v>2276</v>
      </c>
      <c r="X2651" s="21">
        <f>T2651/'Record info'!K$1141</f>
        <v>1.1584327086882455E-2</v>
      </c>
      <c r="Y2651" s="204" t="s">
        <v>2276</v>
      </c>
      <c r="Z2651" s="204" t="s">
        <v>68</v>
      </c>
      <c r="AA2651" s="204" t="s">
        <v>86</v>
      </c>
      <c r="AB2651" s="204" t="s">
        <v>76</v>
      </c>
      <c r="AC2651" s="204"/>
      <c r="AD2651" s="204"/>
    </row>
    <row r="2652" spans="1:30" ht="33.5" customHeight="1">
      <c r="A2652" s="19" t="s">
        <v>7392</v>
      </c>
      <c r="B2652" s="19" t="s">
        <v>7427</v>
      </c>
      <c r="C2652" s="204" t="s">
        <v>24</v>
      </c>
      <c r="D2652" s="204" t="s">
        <v>1242</v>
      </c>
      <c r="E2652" s="204" t="s">
        <v>3209</v>
      </c>
      <c r="F2652" s="152" t="s">
        <v>2276</v>
      </c>
      <c r="G2652" s="152" t="s">
        <v>2276</v>
      </c>
      <c r="H2652" s="204" t="s">
        <v>523</v>
      </c>
      <c r="I2652" s="204">
        <v>2006</v>
      </c>
      <c r="J2652" s="204" t="s">
        <v>2276</v>
      </c>
      <c r="K2652" s="204" t="s">
        <v>2276</v>
      </c>
      <c r="L2652" s="204" t="s">
        <v>2276</v>
      </c>
      <c r="M2652" s="204" t="s">
        <v>2276</v>
      </c>
      <c r="N2652" s="204" t="s">
        <v>2276</v>
      </c>
      <c r="O2652" s="204" t="s">
        <v>2276</v>
      </c>
      <c r="P2652" s="204" t="s">
        <v>2276</v>
      </c>
      <c r="Q2652" s="204" t="s">
        <v>2276</v>
      </c>
      <c r="R2652" s="204" t="s">
        <v>2276</v>
      </c>
      <c r="S2652" s="204" t="s">
        <v>2276</v>
      </c>
      <c r="T2652" s="21">
        <f>200*0.075</f>
        <v>15</v>
      </c>
      <c r="U2652" s="204" t="s">
        <v>2276</v>
      </c>
      <c r="V2652" s="204" t="s">
        <v>2276</v>
      </c>
      <c r="W2652" s="204" t="s">
        <v>2276</v>
      </c>
      <c r="X2652" s="21">
        <f>T2652/'Record info'!K$1142</f>
        <v>3.4658040665434381E-3</v>
      </c>
      <c r="Y2652" s="204" t="s">
        <v>2276</v>
      </c>
      <c r="Z2652" s="204" t="s">
        <v>68</v>
      </c>
      <c r="AA2652" s="204" t="s">
        <v>86</v>
      </c>
      <c r="AB2652" s="204" t="s">
        <v>76</v>
      </c>
      <c r="AC2652" s="204"/>
      <c r="AD2652" s="204"/>
    </row>
    <row r="2653" spans="1:30" ht="33.5" customHeight="1">
      <c r="A2653" s="19" t="s">
        <v>7393</v>
      </c>
      <c r="B2653" s="19" t="s">
        <v>7428</v>
      </c>
      <c r="C2653" s="204" t="s">
        <v>24</v>
      </c>
      <c r="D2653" s="204" t="s">
        <v>1242</v>
      </c>
      <c r="E2653" s="204" t="s">
        <v>3209</v>
      </c>
      <c r="F2653" s="152" t="s">
        <v>2276</v>
      </c>
      <c r="G2653" s="152" t="s">
        <v>2276</v>
      </c>
      <c r="H2653" s="204" t="s">
        <v>523</v>
      </c>
      <c r="I2653" s="204">
        <v>2006</v>
      </c>
      <c r="J2653" s="204" t="s">
        <v>2276</v>
      </c>
      <c r="K2653" s="204" t="s">
        <v>2276</v>
      </c>
      <c r="L2653" s="204" t="s">
        <v>2276</v>
      </c>
      <c r="M2653" s="204" t="s">
        <v>2276</v>
      </c>
      <c r="N2653" s="204" t="s">
        <v>2276</v>
      </c>
      <c r="O2653" s="204" t="s">
        <v>2276</v>
      </c>
      <c r="P2653" s="204" t="s">
        <v>2276</v>
      </c>
      <c r="Q2653" s="204" t="s">
        <v>2276</v>
      </c>
      <c r="R2653" s="204" t="s">
        <v>2276</v>
      </c>
      <c r="S2653" s="204" t="s">
        <v>2276</v>
      </c>
      <c r="T2653" s="21">
        <f>200*0.111</f>
        <v>22.2</v>
      </c>
      <c r="U2653" s="204" t="s">
        <v>2276</v>
      </c>
      <c r="V2653" s="204" t="s">
        <v>2276</v>
      </c>
      <c r="W2653" s="204" t="s">
        <v>2276</v>
      </c>
      <c r="X2653" s="21">
        <f>T2653/'Record info'!K$1143</f>
        <v>9.2693110647181619E-3</v>
      </c>
      <c r="Y2653" s="204" t="s">
        <v>2276</v>
      </c>
      <c r="Z2653" s="204" t="s">
        <v>68</v>
      </c>
      <c r="AA2653" s="204" t="s">
        <v>86</v>
      </c>
      <c r="AB2653" s="204" t="s">
        <v>76</v>
      </c>
      <c r="AC2653" s="204"/>
      <c r="AD2653" s="204"/>
    </row>
    <row r="2654" spans="1:30" ht="33.5" customHeight="1">
      <c r="A2654" s="19" t="s">
        <v>7394</v>
      </c>
      <c r="B2654" s="19" t="s">
        <v>7429</v>
      </c>
      <c r="C2654" s="204" t="s">
        <v>24</v>
      </c>
      <c r="D2654" s="204" t="s">
        <v>1242</v>
      </c>
      <c r="E2654" s="204" t="s">
        <v>3209</v>
      </c>
      <c r="F2654" s="152" t="s">
        <v>2276</v>
      </c>
      <c r="G2654" s="152" t="s">
        <v>2276</v>
      </c>
      <c r="H2654" s="204" t="s">
        <v>523</v>
      </c>
      <c r="I2654" s="204">
        <v>2006</v>
      </c>
      <c r="J2654" s="204" t="s">
        <v>2276</v>
      </c>
      <c r="K2654" s="204" t="s">
        <v>2276</v>
      </c>
      <c r="L2654" s="204" t="s">
        <v>2276</v>
      </c>
      <c r="M2654" s="204" t="s">
        <v>2276</v>
      </c>
      <c r="N2654" s="204" t="s">
        <v>2276</v>
      </c>
      <c r="O2654" s="204" t="s">
        <v>2276</v>
      </c>
      <c r="P2654" s="204" t="s">
        <v>2276</v>
      </c>
      <c r="Q2654" s="204" t="s">
        <v>2276</v>
      </c>
      <c r="R2654" s="204" t="s">
        <v>2276</v>
      </c>
      <c r="S2654" s="204" t="s">
        <v>2276</v>
      </c>
      <c r="T2654" s="21">
        <f>200*0.106</f>
        <v>21.2</v>
      </c>
      <c r="U2654" s="204" t="s">
        <v>2276</v>
      </c>
      <c r="V2654" s="204" t="s">
        <v>2276</v>
      </c>
      <c r="W2654" s="204" t="s">
        <v>2276</v>
      </c>
      <c r="X2654" s="21">
        <f>T2654/'Record info'!K$1144</f>
        <v>7.9311634867190416E-3</v>
      </c>
      <c r="Y2654" s="204" t="s">
        <v>2276</v>
      </c>
      <c r="Z2654" s="204" t="s">
        <v>68</v>
      </c>
      <c r="AA2654" s="204" t="s">
        <v>86</v>
      </c>
      <c r="AB2654" s="204" t="s">
        <v>76</v>
      </c>
      <c r="AC2654" s="204"/>
      <c r="AD2654" s="204"/>
    </row>
    <row r="2655" spans="1:30" ht="33.5" customHeight="1">
      <c r="A2655" s="19" t="s">
        <v>7395</v>
      </c>
      <c r="B2655" s="19" t="s">
        <v>7430</v>
      </c>
      <c r="C2655" s="204" t="s">
        <v>24</v>
      </c>
      <c r="D2655" s="204" t="s">
        <v>1242</v>
      </c>
      <c r="E2655" s="204" t="s">
        <v>3209</v>
      </c>
      <c r="F2655" s="152" t="s">
        <v>2276</v>
      </c>
      <c r="G2655" s="152" t="s">
        <v>2276</v>
      </c>
      <c r="H2655" s="204" t="s">
        <v>523</v>
      </c>
      <c r="I2655" s="204">
        <v>2006</v>
      </c>
      <c r="J2655" s="204" t="s">
        <v>2276</v>
      </c>
      <c r="K2655" s="204" t="s">
        <v>2276</v>
      </c>
      <c r="L2655" s="204" t="s">
        <v>2276</v>
      </c>
      <c r="M2655" s="204" t="s">
        <v>2276</v>
      </c>
      <c r="N2655" s="204" t="s">
        <v>2276</v>
      </c>
      <c r="O2655" s="204" t="s">
        <v>2276</v>
      </c>
      <c r="P2655" s="204" t="s">
        <v>2276</v>
      </c>
      <c r="Q2655" s="204" t="s">
        <v>2276</v>
      </c>
      <c r="R2655" s="204" t="s">
        <v>2276</v>
      </c>
      <c r="S2655" s="204" t="s">
        <v>2276</v>
      </c>
      <c r="T2655" s="21">
        <f>200*0.166</f>
        <v>33.200000000000003</v>
      </c>
      <c r="U2655" s="204" t="s">
        <v>2276</v>
      </c>
      <c r="V2655" s="204" t="s">
        <v>2276</v>
      </c>
      <c r="W2655" s="204" t="s">
        <v>2276</v>
      </c>
      <c r="X2655" s="21">
        <f>T2655/'Record info'!K$1145</f>
        <v>1.4722838137472286E-2</v>
      </c>
      <c r="Y2655" s="204" t="s">
        <v>2276</v>
      </c>
      <c r="Z2655" s="204" t="s">
        <v>68</v>
      </c>
      <c r="AA2655" s="204" t="s">
        <v>86</v>
      </c>
      <c r="AB2655" s="204" t="s">
        <v>76</v>
      </c>
      <c r="AC2655" s="204"/>
      <c r="AD2655" s="204"/>
    </row>
    <row r="2656" spans="1:30" ht="29" customHeight="1">
      <c r="A2656" s="19" t="s">
        <v>7293</v>
      </c>
      <c r="B2656" s="19" t="s">
        <v>7431</v>
      </c>
      <c r="C2656" s="204" t="s">
        <v>24</v>
      </c>
      <c r="D2656" s="204" t="s">
        <v>1242</v>
      </c>
      <c r="E2656" s="204" t="s">
        <v>3209</v>
      </c>
      <c r="F2656" s="152" t="s">
        <v>2276</v>
      </c>
      <c r="G2656" s="152" t="s">
        <v>2276</v>
      </c>
      <c r="H2656" s="204" t="s">
        <v>523</v>
      </c>
      <c r="I2656" s="204">
        <v>2007</v>
      </c>
      <c r="J2656" s="204" t="s">
        <v>2276</v>
      </c>
      <c r="K2656" s="204" t="s">
        <v>2276</v>
      </c>
      <c r="L2656" s="204" t="s">
        <v>2276</v>
      </c>
      <c r="M2656" s="204" t="s">
        <v>2276</v>
      </c>
      <c r="N2656" s="204" t="s">
        <v>2276</v>
      </c>
      <c r="O2656" s="204" t="s">
        <v>2276</v>
      </c>
      <c r="P2656" s="204" t="s">
        <v>2276</v>
      </c>
      <c r="Q2656" s="204" t="s">
        <v>2276</v>
      </c>
      <c r="R2656" s="204" t="s">
        <v>2276</v>
      </c>
      <c r="S2656" s="204" t="s">
        <v>2276</v>
      </c>
      <c r="T2656" s="21">
        <f>550*0.027</f>
        <v>14.85</v>
      </c>
      <c r="U2656" s="204" t="s">
        <v>2276</v>
      </c>
      <c r="V2656" s="204" t="s">
        <v>2276</v>
      </c>
      <c r="W2656" s="204" t="s">
        <v>2276</v>
      </c>
      <c r="X2656" s="21">
        <f>T2656/'Record info'!K$1128</f>
        <v>5.3035714285714283E-3</v>
      </c>
      <c r="Y2656" s="204" t="s">
        <v>2276</v>
      </c>
      <c r="Z2656" s="204" t="s">
        <v>68</v>
      </c>
      <c r="AA2656" s="204" t="s">
        <v>86</v>
      </c>
      <c r="AB2656" s="204" t="s">
        <v>76</v>
      </c>
      <c r="AC2656" s="204"/>
      <c r="AD2656" s="204"/>
    </row>
    <row r="2657" spans="1:30" ht="29" customHeight="1">
      <c r="A2657" s="19" t="s">
        <v>7379</v>
      </c>
      <c r="B2657" s="19" t="s">
        <v>7432</v>
      </c>
      <c r="C2657" s="204" t="s">
        <v>24</v>
      </c>
      <c r="D2657" s="204" t="s">
        <v>1242</v>
      </c>
      <c r="E2657" s="204" t="s">
        <v>3209</v>
      </c>
      <c r="F2657" s="152" t="s">
        <v>2276</v>
      </c>
      <c r="G2657" s="152" t="s">
        <v>2276</v>
      </c>
      <c r="H2657" s="204" t="s">
        <v>523</v>
      </c>
      <c r="I2657" s="204">
        <v>2007</v>
      </c>
      <c r="J2657" s="204" t="s">
        <v>2276</v>
      </c>
      <c r="K2657" s="204" t="s">
        <v>2276</v>
      </c>
      <c r="L2657" s="204" t="s">
        <v>2276</v>
      </c>
      <c r="M2657" s="204" t="s">
        <v>2276</v>
      </c>
      <c r="N2657" s="204" t="s">
        <v>2276</v>
      </c>
      <c r="O2657" s="204" t="s">
        <v>2276</v>
      </c>
      <c r="P2657" s="204" t="s">
        <v>2276</v>
      </c>
      <c r="Q2657" s="204" t="s">
        <v>2276</v>
      </c>
      <c r="R2657" s="204" t="s">
        <v>2276</v>
      </c>
      <c r="S2657" s="204" t="s">
        <v>2276</v>
      </c>
      <c r="T2657" s="21">
        <f>550*0.041</f>
        <v>22.55</v>
      </c>
      <c r="U2657" s="204" t="s">
        <v>2276</v>
      </c>
      <c r="V2657" s="204" t="s">
        <v>2276</v>
      </c>
      <c r="W2657" s="204" t="s">
        <v>2276</v>
      </c>
      <c r="X2657" s="21">
        <f>T2657/'Record info'!K$1129</f>
        <v>6.4153627311522047E-3</v>
      </c>
      <c r="Y2657" s="204" t="s">
        <v>2276</v>
      </c>
      <c r="Z2657" s="204" t="s">
        <v>68</v>
      </c>
      <c r="AA2657" s="204" t="s">
        <v>86</v>
      </c>
      <c r="AB2657" s="204" t="s">
        <v>76</v>
      </c>
      <c r="AC2657" s="204"/>
      <c r="AD2657" s="204"/>
    </row>
    <row r="2658" spans="1:30" ht="29" customHeight="1">
      <c r="A2658" s="19" t="s">
        <v>7380</v>
      </c>
      <c r="B2658" s="19" t="s">
        <v>7433</v>
      </c>
      <c r="C2658" s="204" t="s">
        <v>24</v>
      </c>
      <c r="D2658" s="204" t="s">
        <v>1242</v>
      </c>
      <c r="E2658" s="204" t="s">
        <v>3209</v>
      </c>
      <c r="F2658" s="152" t="s">
        <v>2276</v>
      </c>
      <c r="G2658" s="152" t="s">
        <v>2276</v>
      </c>
      <c r="H2658" s="204" t="s">
        <v>523</v>
      </c>
      <c r="I2658" s="204">
        <v>2007</v>
      </c>
      <c r="J2658" s="204" t="s">
        <v>2276</v>
      </c>
      <c r="K2658" s="204" t="s">
        <v>2276</v>
      </c>
      <c r="L2658" s="204" t="s">
        <v>2276</v>
      </c>
      <c r="M2658" s="204" t="s">
        <v>2276</v>
      </c>
      <c r="N2658" s="204" t="s">
        <v>2276</v>
      </c>
      <c r="O2658" s="204" t="s">
        <v>2276</v>
      </c>
      <c r="P2658" s="204" t="s">
        <v>2276</v>
      </c>
      <c r="Q2658" s="204" t="s">
        <v>2276</v>
      </c>
      <c r="R2658" s="204" t="s">
        <v>2276</v>
      </c>
      <c r="S2658" s="204" t="s">
        <v>2276</v>
      </c>
      <c r="T2658" s="21">
        <f>550*0.004</f>
        <v>2.2000000000000002</v>
      </c>
      <c r="U2658" s="204" t="s">
        <v>2276</v>
      </c>
      <c r="V2658" s="204" t="s">
        <v>2276</v>
      </c>
      <c r="W2658" s="204" t="s">
        <v>2276</v>
      </c>
      <c r="X2658" s="21">
        <f>T2658/'Record info'!K$1130</f>
        <v>3.260708463020602E-4</v>
      </c>
      <c r="Y2658" s="204" t="s">
        <v>2276</v>
      </c>
      <c r="Z2658" s="204" t="s">
        <v>68</v>
      </c>
      <c r="AA2658" s="204" t="s">
        <v>86</v>
      </c>
      <c r="AB2658" s="204" t="s">
        <v>76</v>
      </c>
      <c r="AC2658" s="204"/>
      <c r="AD2658" s="204"/>
    </row>
    <row r="2659" spans="1:30" ht="29" customHeight="1">
      <c r="A2659" s="19" t="s">
        <v>7381</v>
      </c>
      <c r="B2659" s="19" t="s">
        <v>7434</v>
      </c>
      <c r="C2659" s="204" t="s">
        <v>24</v>
      </c>
      <c r="D2659" s="204" t="s">
        <v>1242</v>
      </c>
      <c r="E2659" s="204" t="s">
        <v>3209</v>
      </c>
      <c r="F2659" s="152" t="s">
        <v>2276</v>
      </c>
      <c r="G2659" s="152" t="s">
        <v>2276</v>
      </c>
      <c r="H2659" s="204" t="s">
        <v>523</v>
      </c>
      <c r="I2659" s="204">
        <v>2007</v>
      </c>
      <c r="J2659" s="204" t="s">
        <v>2276</v>
      </c>
      <c r="K2659" s="204" t="s">
        <v>2276</v>
      </c>
      <c r="L2659" s="204" t="s">
        <v>2276</v>
      </c>
      <c r="M2659" s="204" t="s">
        <v>2276</v>
      </c>
      <c r="N2659" s="204" t="s">
        <v>2276</v>
      </c>
      <c r="O2659" s="204" t="s">
        <v>2276</v>
      </c>
      <c r="P2659" s="204" t="s">
        <v>2276</v>
      </c>
      <c r="Q2659" s="204" t="s">
        <v>2276</v>
      </c>
      <c r="R2659" s="204" t="s">
        <v>2276</v>
      </c>
      <c r="S2659" s="204" t="s">
        <v>2276</v>
      </c>
      <c r="T2659" s="21">
        <f>550*0.004</f>
        <v>2.2000000000000002</v>
      </c>
      <c r="U2659" s="204" t="s">
        <v>2276</v>
      </c>
      <c r="V2659" s="204" t="s">
        <v>2276</v>
      </c>
      <c r="W2659" s="204" t="s">
        <v>2276</v>
      </c>
      <c r="X2659" s="21">
        <f>T2659/'Record info'!K$1131</f>
        <v>4.3443917851500796E-4</v>
      </c>
      <c r="Y2659" s="204" t="s">
        <v>2276</v>
      </c>
      <c r="Z2659" s="204" t="s">
        <v>68</v>
      </c>
      <c r="AA2659" s="204" t="s">
        <v>86</v>
      </c>
      <c r="AB2659" s="204" t="s">
        <v>76</v>
      </c>
      <c r="AC2659" s="204"/>
      <c r="AD2659" s="204"/>
    </row>
    <row r="2660" spans="1:30" ht="29" customHeight="1">
      <c r="A2660" s="19" t="s">
        <v>7382</v>
      </c>
      <c r="B2660" s="19" t="s">
        <v>7435</v>
      </c>
      <c r="C2660" s="204" t="s">
        <v>24</v>
      </c>
      <c r="D2660" s="204" t="s">
        <v>1242</v>
      </c>
      <c r="E2660" s="204" t="s">
        <v>3209</v>
      </c>
      <c r="F2660" s="152" t="s">
        <v>2276</v>
      </c>
      <c r="G2660" s="152" t="s">
        <v>2276</v>
      </c>
      <c r="H2660" s="204" t="s">
        <v>524</v>
      </c>
      <c r="I2660" s="204">
        <v>2007</v>
      </c>
      <c r="J2660" s="21">
        <v>0</v>
      </c>
      <c r="K2660" s="21">
        <v>0</v>
      </c>
      <c r="L2660" s="21">
        <v>0</v>
      </c>
      <c r="M2660" s="21">
        <v>0</v>
      </c>
      <c r="N2660" s="21">
        <v>0</v>
      </c>
      <c r="O2660" s="21">
        <v>0</v>
      </c>
      <c r="P2660" s="21">
        <v>0</v>
      </c>
      <c r="Q2660" s="21">
        <v>0</v>
      </c>
      <c r="R2660" s="21">
        <v>0</v>
      </c>
      <c r="S2660" s="21">
        <v>0</v>
      </c>
      <c r="T2660" s="21">
        <v>0</v>
      </c>
      <c r="U2660" s="21">
        <v>0</v>
      </c>
      <c r="V2660" s="21">
        <v>0</v>
      </c>
      <c r="W2660" s="21">
        <v>0</v>
      </c>
      <c r="X2660" s="21">
        <f>T2660/'Record info'!K$1132</f>
        <v>0</v>
      </c>
      <c r="Y2660" s="204" t="s">
        <v>2276</v>
      </c>
      <c r="Z2660" s="204" t="s">
        <v>68</v>
      </c>
      <c r="AA2660" s="204" t="s">
        <v>86</v>
      </c>
      <c r="AB2660" s="204" t="s">
        <v>76</v>
      </c>
      <c r="AC2660" s="204"/>
      <c r="AD2660" s="204"/>
    </row>
    <row r="2661" spans="1:30" ht="29" customHeight="1">
      <c r="A2661" s="19" t="s">
        <v>7383</v>
      </c>
      <c r="B2661" s="19" t="s">
        <v>7436</v>
      </c>
      <c r="C2661" s="204" t="s">
        <v>24</v>
      </c>
      <c r="D2661" s="204" t="s">
        <v>1242</v>
      </c>
      <c r="E2661" s="204" t="s">
        <v>3209</v>
      </c>
      <c r="F2661" s="152" t="s">
        <v>2276</v>
      </c>
      <c r="G2661" s="152" t="s">
        <v>2276</v>
      </c>
      <c r="H2661" s="204" t="s">
        <v>524</v>
      </c>
      <c r="I2661" s="204">
        <v>2007</v>
      </c>
      <c r="J2661" s="21">
        <v>0</v>
      </c>
      <c r="K2661" s="21">
        <v>0</v>
      </c>
      <c r="L2661" s="21">
        <v>0</v>
      </c>
      <c r="M2661" s="21">
        <v>0</v>
      </c>
      <c r="N2661" s="21">
        <v>0</v>
      </c>
      <c r="O2661" s="21">
        <v>0</v>
      </c>
      <c r="P2661" s="21">
        <v>0</v>
      </c>
      <c r="Q2661" s="21">
        <v>0</v>
      </c>
      <c r="R2661" s="21">
        <v>0</v>
      </c>
      <c r="S2661" s="21">
        <v>0</v>
      </c>
      <c r="T2661" s="21">
        <v>0</v>
      </c>
      <c r="U2661" s="21">
        <v>0</v>
      </c>
      <c r="V2661" s="21">
        <v>0</v>
      </c>
      <c r="W2661" s="21">
        <v>0</v>
      </c>
      <c r="X2661" s="21">
        <f>T2661/'Record info'!K$1133</f>
        <v>0</v>
      </c>
      <c r="Y2661" s="204" t="s">
        <v>2276</v>
      </c>
      <c r="Z2661" s="204" t="s">
        <v>68</v>
      </c>
      <c r="AA2661" s="204" t="s">
        <v>86</v>
      </c>
      <c r="AB2661" s="204" t="s">
        <v>76</v>
      </c>
      <c r="AC2661" s="204"/>
      <c r="AD2661" s="204"/>
    </row>
    <row r="2662" spans="1:30" ht="29" customHeight="1">
      <c r="A2662" s="19" t="s">
        <v>7384</v>
      </c>
      <c r="B2662" s="19" t="s">
        <v>7437</v>
      </c>
      <c r="C2662" s="204" t="s">
        <v>24</v>
      </c>
      <c r="D2662" s="204" t="s">
        <v>1242</v>
      </c>
      <c r="E2662" s="204" t="s">
        <v>3209</v>
      </c>
      <c r="F2662" s="152" t="s">
        <v>2276</v>
      </c>
      <c r="G2662" s="152" t="s">
        <v>2276</v>
      </c>
      <c r="H2662" s="204" t="s">
        <v>524</v>
      </c>
      <c r="I2662" s="204">
        <v>2007</v>
      </c>
      <c r="J2662" s="21">
        <v>0</v>
      </c>
      <c r="K2662" s="21">
        <v>0</v>
      </c>
      <c r="L2662" s="21">
        <v>0</v>
      </c>
      <c r="M2662" s="21">
        <v>0</v>
      </c>
      <c r="N2662" s="21">
        <v>0</v>
      </c>
      <c r="O2662" s="21">
        <v>0</v>
      </c>
      <c r="P2662" s="21">
        <v>0</v>
      </c>
      <c r="Q2662" s="21">
        <v>0</v>
      </c>
      <c r="R2662" s="21">
        <v>0</v>
      </c>
      <c r="S2662" s="21">
        <v>0</v>
      </c>
      <c r="T2662" s="21">
        <v>0</v>
      </c>
      <c r="U2662" s="21">
        <v>0</v>
      </c>
      <c r="V2662" s="21">
        <v>0</v>
      </c>
      <c r="W2662" s="21">
        <v>0</v>
      </c>
      <c r="X2662" s="21">
        <f>T2662/'Record info'!K$1134</f>
        <v>0</v>
      </c>
      <c r="Y2662" s="204" t="s">
        <v>2276</v>
      </c>
      <c r="Z2662" s="204" t="s">
        <v>68</v>
      </c>
      <c r="AA2662" s="204" t="s">
        <v>86</v>
      </c>
      <c r="AB2662" s="204" t="s">
        <v>76</v>
      </c>
      <c r="AC2662" s="204"/>
      <c r="AD2662" s="204"/>
    </row>
    <row r="2663" spans="1:30" ht="29" customHeight="1">
      <c r="A2663" s="19" t="s">
        <v>7385</v>
      </c>
      <c r="B2663" s="19" t="s">
        <v>7438</v>
      </c>
      <c r="C2663" s="204" t="s">
        <v>24</v>
      </c>
      <c r="D2663" s="204" t="s">
        <v>1242</v>
      </c>
      <c r="E2663" s="204" t="s">
        <v>3209</v>
      </c>
      <c r="F2663" s="152" t="s">
        <v>2276</v>
      </c>
      <c r="G2663" s="152" t="s">
        <v>2276</v>
      </c>
      <c r="H2663" s="204" t="s">
        <v>523</v>
      </c>
      <c r="I2663" s="204">
        <v>2007</v>
      </c>
      <c r="J2663" s="204" t="s">
        <v>2276</v>
      </c>
      <c r="K2663" s="204" t="s">
        <v>2276</v>
      </c>
      <c r="L2663" s="204" t="s">
        <v>2276</v>
      </c>
      <c r="M2663" s="204" t="s">
        <v>2276</v>
      </c>
      <c r="N2663" s="204" t="s">
        <v>2276</v>
      </c>
      <c r="O2663" s="204" t="s">
        <v>2276</v>
      </c>
      <c r="P2663" s="204" t="s">
        <v>2276</v>
      </c>
      <c r="Q2663" s="204" t="s">
        <v>2276</v>
      </c>
      <c r="R2663" s="204" t="s">
        <v>2276</v>
      </c>
      <c r="S2663" s="204" t="s">
        <v>2276</v>
      </c>
      <c r="T2663" s="21">
        <f>550*0.035</f>
        <v>19.250000000000004</v>
      </c>
      <c r="U2663" s="204" t="s">
        <v>2276</v>
      </c>
      <c r="V2663" s="204" t="s">
        <v>2276</v>
      </c>
      <c r="W2663" s="204" t="s">
        <v>2276</v>
      </c>
      <c r="X2663" s="21">
        <f>T2663/'Record info'!K$1135</f>
        <v>3.1739488870568843E-3</v>
      </c>
      <c r="Y2663" s="204" t="s">
        <v>2276</v>
      </c>
      <c r="Z2663" s="204" t="s">
        <v>68</v>
      </c>
      <c r="AA2663" s="204" t="s">
        <v>86</v>
      </c>
      <c r="AB2663" s="204" t="s">
        <v>76</v>
      </c>
      <c r="AC2663" s="204"/>
      <c r="AD2663" s="204"/>
    </row>
    <row r="2664" spans="1:30" ht="29" customHeight="1">
      <c r="A2664" s="19" t="s">
        <v>7386</v>
      </c>
      <c r="B2664" s="19" t="s">
        <v>7439</v>
      </c>
      <c r="C2664" s="204" t="s">
        <v>24</v>
      </c>
      <c r="D2664" s="204" t="s">
        <v>1242</v>
      </c>
      <c r="E2664" s="204" t="s">
        <v>3209</v>
      </c>
      <c r="F2664" s="152" t="s">
        <v>2276</v>
      </c>
      <c r="G2664" s="152" t="s">
        <v>2276</v>
      </c>
      <c r="H2664" s="204" t="s">
        <v>523</v>
      </c>
      <c r="I2664" s="204">
        <v>2007</v>
      </c>
      <c r="J2664" s="204" t="s">
        <v>2276</v>
      </c>
      <c r="K2664" s="204" t="s">
        <v>2276</v>
      </c>
      <c r="L2664" s="204" t="s">
        <v>2276</v>
      </c>
      <c r="M2664" s="204" t="s">
        <v>2276</v>
      </c>
      <c r="N2664" s="204" t="s">
        <v>2276</v>
      </c>
      <c r="O2664" s="204" t="s">
        <v>2276</v>
      </c>
      <c r="P2664" s="204" t="s">
        <v>2276</v>
      </c>
      <c r="Q2664" s="204" t="s">
        <v>2276</v>
      </c>
      <c r="R2664" s="204" t="s">
        <v>2276</v>
      </c>
      <c r="S2664" s="204" t="s">
        <v>2276</v>
      </c>
      <c r="T2664" s="21">
        <f>550*0.079</f>
        <v>43.45</v>
      </c>
      <c r="U2664" s="204" t="s">
        <v>2276</v>
      </c>
      <c r="V2664" s="204" t="s">
        <v>2276</v>
      </c>
      <c r="W2664" s="204" t="s">
        <v>2276</v>
      </c>
      <c r="X2664" s="21">
        <f>T2664/'Record info'!K$1136</f>
        <v>6.50936329588015E-3</v>
      </c>
      <c r="Y2664" s="204" t="s">
        <v>2276</v>
      </c>
      <c r="Z2664" s="204" t="s">
        <v>68</v>
      </c>
      <c r="AA2664" s="204" t="s">
        <v>86</v>
      </c>
      <c r="AB2664" s="204" t="s">
        <v>76</v>
      </c>
      <c r="AC2664" s="204"/>
      <c r="AD2664" s="204"/>
    </row>
    <row r="2665" spans="1:30" ht="29" customHeight="1">
      <c r="A2665" s="19" t="s">
        <v>7387</v>
      </c>
      <c r="B2665" s="19" t="s">
        <v>7440</v>
      </c>
      <c r="C2665" s="204" t="s">
        <v>24</v>
      </c>
      <c r="D2665" s="204" t="s">
        <v>1242</v>
      </c>
      <c r="E2665" s="204" t="s">
        <v>3209</v>
      </c>
      <c r="F2665" s="152" t="s">
        <v>2276</v>
      </c>
      <c r="G2665" s="152" t="s">
        <v>2276</v>
      </c>
      <c r="H2665" s="204" t="s">
        <v>523</v>
      </c>
      <c r="I2665" s="204">
        <v>2007</v>
      </c>
      <c r="J2665" s="204" t="s">
        <v>2276</v>
      </c>
      <c r="K2665" s="204" t="s">
        <v>2276</v>
      </c>
      <c r="L2665" s="204" t="s">
        <v>2276</v>
      </c>
      <c r="M2665" s="204" t="s">
        <v>2276</v>
      </c>
      <c r="N2665" s="204" t="s">
        <v>2276</v>
      </c>
      <c r="O2665" s="204" t="s">
        <v>2276</v>
      </c>
      <c r="P2665" s="204" t="s">
        <v>2276</v>
      </c>
      <c r="Q2665" s="204" t="s">
        <v>2276</v>
      </c>
      <c r="R2665" s="204" t="s">
        <v>2276</v>
      </c>
      <c r="S2665" s="204" t="s">
        <v>2276</v>
      </c>
      <c r="T2665" s="21">
        <f>550*0.132</f>
        <v>72.600000000000009</v>
      </c>
      <c r="U2665" s="204" t="s">
        <v>2276</v>
      </c>
      <c r="V2665" s="204" t="s">
        <v>2276</v>
      </c>
      <c r="W2665" s="204" t="s">
        <v>2276</v>
      </c>
      <c r="X2665" s="21">
        <f>T2665/'Record info'!K$1137</f>
        <v>1.3156940920623417E-2</v>
      </c>
      <c r="Y2665" s="204" t="s">
        <v>2276</v>
      </c>
      <c r="Z2665" s="204" t="s">
        <v>68</v>
      </c>
      <c r="AA2665" s="204" t="s">
        <v>86</v>
      </c>
      <c r="AB2665" s="204" t="s">
        <v>76</v>
      </c>
      <c r="AC2665" s="204"/>
      <c r="AD2665" s="204"/>
    </row>
    <row r="2666" spans="1:30" ht="29" customHeight="1">
      <c r="A2666" s="19" t="s">
        <v>7388</v>
      </c>
      <c r="B2666" s="19" t="s">
        <v>7441</v>
      </c>
      <c r="C2666" s="204" t="s">
        <v>24</v>
      </c>
      <c r="D2666" s="204" t="s">
        <v>1242</v>
      </c>
      <c r="E2666" s="204" t="s">
        <v>3209</v>
      </c>
      <c r="F2666" s="152" t="s">
        <v>2276</v>
      </c>
      <c r="G2666" s="152" t="s">
        <v>2276</v>
      </c>
      <c r="H2666" s="204" t="s">
        <v>523</v>
      </c>
      <c r="I2666" s="204">
        <v>2007</v>
      </c>
      <c r="J2666" s="204" t="s">
        <v>2276</v>
      </c>
      <c r="K2666" s="204" t="s">
        <v>2276</v>
      </c>
      <c r="L2666" s="204" t="s">
        <v>2276</v>
      </c>
      <c r="M2666" s="204" t="s">
        <v>2276</v>
      </c>
      <c r="N2666" s="204" t="s">
        <v>2276</v>
      </c>
      <c r="O2666" s="204" t="s">
        <v>2276</v>
      </c>
      <c r="P2666" s="204" t="s">
        <v>2276</v>
      </c>
      <c r="Q2666" s="204" t="s">
        <v>2276</v>
      </c>
      <c r="R2666" s="204" t="s">
        <v>2276</v>
      </c>
      <c r="S2666" s="204" t="s">
        <v>2276</v>
      </c>
      <c r="T2666" s="21">
        <f>550*0.057</f>
        <v>31.35</v>
      </c>
      <c r="U2666" s="204" t="s">
        <v>2276</v>
      </c>
      <c r="V2666" s="204" t="s">
        <v>2276</v>
      </c>
      <c r="W2666" s="204" t="s">
        <v>2276</v>
      </c>
      <c r="X2666" s="21">
        <f>T2666/'Record info'!K$1138</f>
        <v>7.9427413225234365E-3</v>
      </c>
      <c r="Y2666" s="204" t="s">
        <v>2276</v>
      </c>
      <c r="Z2666" s="204" t="s">
        <v>68</v>
      </c>
      <c r="AA2666" s="204" t="s">
        <v>86</v>
      </c>
      <c r="AB2666" s="204" t="s">
        <v>76</v>
      </c>
      <c r="AC2666" s="204"/>
      <c r="AD2666" s="204"/>
    </row>
    <row r="2667" spans="1:30" ht="29" customHeight="1">
      <c r="A2667" s="19" t="s">
        <v>7389</v>
      </c>
      <c r="B2667" s="19" t="s">
        <v>7442</v>
      </c>
      <c r="C2667" s="204" t="s">
        <v>24</v>
      </c>
      <c r="D2667" s="204" t="s">
        <v>1242</v>
      </c>
      <c r="E2667" s="204" t="s">
        <v>3209</v>
      </c>
      <c r="F2667" s="152" t="s">
        <v>2276</v>
      </c>
      <c r="G2667" s="152" t="s">
        <v>2276</v>
      </c>
      <c r="H2667" s="204" t="s">
        <v>523</v>
      </c>
      <c r="I2667" s="204">
        <v>2007</v>
      </c>
      <c r="J2667" s="204" t="s">
        <v>2276</v>
      </c>
      <c r="K2667" s="204" t="s">
        <v>2276</v>
      </c>
      <c r="L2667" s="204" t="s">
        <v>2276</v>
      </c>
      <c r="M2667" s="204" t="s">
        <v>2276</v>
      </c>
      <c r="N2667" s="204" t="s">
        <v>2276</v>
      </c>
      <c r="O2667" s="204" t="s">
        <v>2276</v>
      </c>
      <c r="P2667" s="204" t="s">
        <v>2276</v>
      </c>
      <c r="Q2667" s="204" t="s">
        <v>2276</v>
      </c>
      <c r="R2667" s="204" t="s">
        <v>2276</v>
      </c>
      <c r="S2667" s="204" t="s">
        <v>2276</v>
      </c>
      <c r="T2667" s="21">
        <f>550*0.024</f>
        <v>13.200000000000001</v>
      </c>
      <c r="U2667" s="204" t="s">
        <v>2276</v>
      </c>
      <c r="V2667" s="204" t="s">
        <v>2276</v>
      </c>
      <c r="W2667" s="204" t="s">
        <v>2276</v>
      </c>
      <c r="X2667" s="21">
        <f>T2667/'Record info'!K$1139</f>
        <v>4.7008547008547015E-3</v>
      </c>
      <c r="Y2667" s="204" t="s">
        <v>2276</v>
      </c>
      <c r="Z2667" s="204" t="s">
        <v>68</v>
      </c>
      <c r="AA2667" s="204" t="s">
        <v>86</v>
      </c>
      <c r="AB2667" s="204" t="s">
        <v>76</v>
      </c>
      <c r="AC2667" s="204"/>
      <c r="AD2667" s="204"/>
    </row>
    <row r="2668" spans="1:30" ht="29" customHeight="1">
      <c r="A2668" s="19" t="s">
        <v>7390</v>
      </c>
      <c r="B2668" s="19" t="s">
        <v>7443</v>
      </c>
      <c r="C2668" s="204" t="s">
        <v>24</v>
      </c>
      <c r="D2668" s="204" t="s">
        <v>1242</v>
      </c>
      <c r="E2668" s="204" t="s">
        <v>3209</v>
      </c>
      <c r="F2668" s="152" t="s">
        <v>2276</v>
      </c>
      <c r="G2668" s="152" t="s">
        <v>2276</v>
      </c>
      <c r="H2668" s="204" t="s">
        <v>523</v>
      </c>
      <c r="I2668" s="204">
        <v>2007</v>
      </c>
      <c r="J2668" s="204" t="s">
        <v>2276</v>
      </c>
      <c r="K2668" s="204" t="s">
        <v>2276</v>
      </c>
      <c r="L2668" s="204" t="s">
        <v>2276</v>
      </c>
      <c r="M2668" s="204" t="s">
        <v>2276</v>
      </c>
      <c r="N2668" s="204" t="s">
        <v>2276</v>
      </c>
      <c r="O2668" s="204" t="s">
        <v>2276</v>
      </c>
      <c r="P2668" s="204" t="s">
        <v>2276</v>
      </c>
      <c r="Q2668" s="204" t="s">
        <v>2276</v>
      </c>
      <c r="R2668" s="204" t="s">
        <v>2276</v>
      </c>
      <c r="S2668" s="204" t="s">
        <v>2276</v>
      </c>
      <c r="T2668" s="21">
        <f>550*0.072</f>
        <v>39.599999999999994</v>
      </c>
      <c r="U2668" s="204" t="s">
        <v>2276</v>
      </c>
      <c r="V2668" s="204" t="s">
        <v>2276</v>
      </c>
      <c r="W2668" s="204" t="s">
        <v>2276</v>
      </c>
      <c r="X2668" s="21">
        <f>T2668/'Record info'!K$1140</f>
        <v>7.9089275014979019E-3</v>
      </c>
      <c r="Y2668" s="204" t="s">
        <v>2276</v>
      </c>
      <c r="Z2668" s="204" t="s">
        <v>68</v>
      </c>
      <c r="AA2668" s="204" t="s">
        <v>86</v>
      </c>
      <c r="AB2668" s="204" t="s">
        <v>76</v>
      </c>
      <c r="AC2668" s="204"/>
      <c r="AD2668" s="204"/>
    </row>
    <row r="2669" spans="1:30" ht="29" customHeight="1">
      <c r="A2669" s="19" t="s">
        <v>7391</v>
      </c>
      <c r="B2669" s="19" t="s">
        <v>7444</v>
      </c>
      <c r="C2669" s="204" t="s">
        <v>24</v>
      </c>
      <c r="D2669" s="204" t="s">
        <v>1242</v>
      </c>
      <c r="E2669" s="204" t="s">
        <v>3209</v>
      </c>
      <c r="F2669" s="152" t="s">
        <v>2276</v>
      </c>
      <c r="G2669" s="152" t="s">
        <v>2276</v>
      </c>
      <c r="H2669" s="204" t="s">
        <v>523</v>
      </c>
      <c r="I2669" s="204">
        <v>2007</v>
      </c>
      <c r="J2669" s="204" t="s">
        <v>2276</v>
      </c>
      <c r="K2669" s="204" t="s">
        <v>2276</v>
      </c>
      <c r="L2669" s="204" t="s">
        <v>2276</v>
      </c>
      <c r="M2669" s="204" t="s">
        <v>2276</v>
      </c>
      <c r="N2669" s="204" t="s">
        <v>2276</v>
      </c>
      <c r="O2669" s="204" t="s">
        <v>2276</v>
      </c>
      <c r="P2669" s="204" t="s">
        <v>2276</v>
      </c>
      <c r="Q2669" s="204" t="s">
        <v>2276</v>
      </c>
      <c r="R2669" s="204" t="s">
        <v>2276</v>
      </c>
      <c r="S2669" s="204" t="s">
        <v>2276</v>
      </c>
      <c r="T2669" s="21">
        <f>550*0.068</f>
        <v>37.400000000000006</v>
      </c>
      <c r="U2669" s="204" t="s">
        <v>2276</v>
      </c>
      <c r="V2669" s="204" t="s">
        <v>2276</v>
      </c>
      <c r="W2669" s="204" t="s">
        <v>2276</v>
      </c>
      <c r="X2669" s="21">
        <f>T2669/'Record info'!K$1141</f>
        <v>3.1856899488926754E-2</v>
      </c>
      <c r="Y2669" s="204" t="s">
        <v>2276</v>
      </c>
      <c r="Z2669" s="204" t="s">
        <v>68</v>
      </c>
      <c r="AA2669" s="204" t="s">
        <v>86</v>
      </c>
      <c r="AB2669" s="204" t="s">
        <v>76</v>
      </c>
      <c r="AC2669" s="204"/>
      <c r="AD2669" s="204"/>
    </row>
    <row r="2670" spans="1:30" ht="29" customHeight="1">
      <c r="A2670" s="19" t="s">
        <v>7392</v>
      </c>
      <c r="B2670" s="19" t="s">
        <v>7445</v>
      </c>
      <c r="C2670" s="204" t="s">
        <v>24</v>
      </c>
      <c r="D2670" s="204" t="s">
        <v>1242</v>
      </c>
      <c r="E2670" s="204" t="s">
        <v>3209</v>
      </c>
      <c r="F2670" s="152" t="s">
        <v>2276</v>
      </c>
      <c r="G2670" s="152" t="s">
        <v>2276</v>
      </c>
      <c r="H2670" s="204" t="s">
        <v>523</v>
      </c>
      <c r="I2670" s="204">
        <v>2007</v>
      </c>
      <c r="J2670" s="204" t="s">
        <v>2276</v>
      </c>
      <c r="K2670" s="204" t="s">
        <v>2276</v>
      </c>
      <c r="L2670" s="204" t="s">
        <v>2276</v>
      </c>
      <c r="M2670" s="204" t="s">
        <v>2276</v>
      </c>
      <c r="N2670" s="204" t="s">
        <v>2276</v>
      </c>
      <c r="O2670" s="204" t="s">
        <v>2276</v>
      </c>
      <c r="P2670" s="204" t="s">
        <v>2276</v>
      </c>
      <c r="Q2670" s="204" t="s">
        <v>2276</v>
      </c>
      <c r="R2670" s="204" t="s">
        <v>2276</v>
      </c>
      <c r="S2670" s="204" t="s">
        <v>2276</v>
      </c>
      <c r="T2670" s="21">
        <f>550*0.075</f>
        <v>41.25</v>
      </c>
      <c r="U2670" s="204" t="s">
        <v>2276</v>
      </c>
      <c r="V2670" s="204" t="s">
        <v>2276</v>
      </c>
      <c r="W2670" s="204" t="s">
        <v>2276</v>
      </c>
      <c r="X2670" s="21">
        <f>T2670/'Record info'!K$1142</f>
        <v>9.5309611829944539E-3</v>
      </c>
      <c r="Y2670" s="204" t="s">
        <v>2276</v>
      </c>
      <c r="Z2670" s="204" t="s">
        <v>68</v>
      </c>
      <c r="AA2670" s="204" t="s">
        <v>86</v>
      </c>
      <c r="AB2670" s="204" t="s">
        <v>76</v>
      </c>
      <c r="AC2670" s="204"/>
      <c r="AD2670" s="204"/>
    </row>
    <row r="2671" spans="1:30" ht="29" customHeight="1">
      <c r="A2671" s="19" t="s">
        <v>7393</v>
      </c>
      <c r="B2671" s="19" t="s">
        <v>7446</v>
      </c>
      <c r="C2671" s="204" t="s">
        <v>24</v>
      </c>
      <c r="D2671" s="204" t="s">
        <v>1242</v>
      </c>
      <c r="E2671" s="204" t="s">
        <v>3209</v>
      </c>
      <c r="F2671" s="152" t="s">
        <v>2276</v>
      </c>
      <c r="G2671" s="152" t="s">
        <v>2276</v>
      </c>
      <c r="H2671" s="204" t="s">
        <v>523</v>
      </c>
      <c r="I2671" s="204">
        <v>2007</v>
      </c>
      <c r="J2671" s="204" t="s">
        <v>2276</v>
      </c>
      <c r="K2671" s="204" t="s">
        <v>2276</v>
      </c>
      <c r="L2671" s="204" t="s">
        <v>2276</v>
      </c>
      <c r="M2671" s="204" t="s">
        <v>2276</v>
      </c>
      <c r="N2671" s="204" t="s">
        <v>2276</v>
      </c>
      <c r="O2671" s="204" t="s">
        <v>2276</v>
      </c>
      <c r="P2671" s="204" t="s">
        <v>2276</v>
      </c>
      <c r="Q2671" s="204" t="s">
        <v>2276</v>
      </c>
      <c r="R2671" s="204" t="s">
        <v>2276</v>
      </c>
      <c r="S2671" s="204" t="s">
        <v>2276</v>
      </c>
      <c r="T2671" s="21">
        <f>550*0.111</f>
        <v>61.050000000000004</v>
      </c>
      <c r="U2671" s="204" t="s">
        <v>2276</v>
      </c>
      <c r="V2671" s="204" t="s">
        <v>2276</v>
      </c>
      <c r="W2671" s="204" t="s">
        <v>2276</v>
      </c>
      <c r="X2671" s="21">
        <f>T2671/'Record info'!K$1143</f>
        <v>2.549060542797495E-2</v>
      </c>
      <c r="Y2671" s="204" t="s">
        <v>2276</v>
      </c>
      <c r="Z2671" s="204" t="s">
        <v>68</v>
      </c>
      <c r="AA2671" s="204" t="s">
        <v>86</v>
      </c>
      <c r="AB2671" s="204" t="s">
        <v>76</v>
      </c>
      <c r="AC2671" s="204"/>
      <c r="AD2671" s="204"/>
    </row>
    <row r="2672" spans="1:30" ht="29" customHeight="1">
      <c r="A2672" s="19" t="s">
        <v>7394</v>
      </c>
      <c r="B2672" s="19" t="s">
        <v>7447</v>
      </c>
      <c r="C2672" s="204" t="s">
        <v>24</v>
      </c>
      <c r="D2672" s="204" t="s">
        <v>1242</v>
      </c>
      <c r="E2672" s="204" t="s">
        <v>3209</v>
      </c>
      <c r="F2672" s="152" t="s">
        <v>2276</v>
      </c>
      <c r="G2672" s="152" t="s">
        <v>2276</v>
      </c>
      <c r="H2672" s="204" t="s">
        <v>523</v>
      </c>
      <c r="I2672" s="204">
        <v>2007</v>
      </c>
      <c r="J2672" s="204" t="s">
        <v>2276</v>
      </c>
      <c r="K2672" s="204" t="s">
        <v>2276</v>
      </c>
      <c r="L2672" s="204" t="s">
        <v>2276</v>
      </c>
      <c r="M2672" s="204" t="s">
        <v>2276</v>
      </c>
      <c r="N2672" s="204" t="s">
        <v>2276</v>
      </c>
      <c r="O2672" s="204" t="s">
        <v>2276</v>
      </c>
      <c r="P2672" s="204" t="s">
        <v>2276</v>
      </c>
      <c r="Q2672" s="204" t="s">
        <v>2276</v>
      </c>
      <c r="R2672" s="204" t="s">
        <v>2276</v>
      </c>
      <c r="S2672" s="204" t="s">
        <v>2276</v>
      </c>
      <c r="T2672" s="21">
        <f>550*0.106</f>
        <v>58.3</v>
      </c>
      <c r="U2672" s="204" t="s">
        <v>2276</v>
      </c>
      <c r="V2672" s="204" t="s">
        <v>2276</v>
      </c>
      <c r="W2672" s="204" t="s">
        <v>2276</v>
      </c>
      <c r="X2672" s="21">
        <f>T2672/'Record info'!K$1144</f>
        <v>2.1810699588477367E-2</v>
      </c>
      <c r="Y2672" s="204" t="s">
        <v>2276</v>
      </c>
      <c r="Z2672" s="204" t="s">
        <v>68</v>
      </c>
      <c r="AA2672" s="204" t="s">
        <v>86</v>
      </c>
      <c r="AB2672" s="204" t="s">
        <v>76</v>
      </c>
      <c r="AC2672" s="204"/>
      <c r="AD2672" s="204"/>
    </row>
    <row r="2673" spans="1:30" ht="29" customHeight="1">
      <c r="A2673" s="19" t="s">
        <v>7395</v>
      </c>
      <c r="B2673" s="19" t="s">
        <v>7448</v>
      </c>
      <c r="C2673" s="204" t="s">
        <v>24</v>
      </c>
      <c r="D2673" s="204" t="s">
        <v>1242</v>
      </c>
      <c r="E2673" s="204" t="s">
        <v>3209</v>
      </c>
      <c r="F2673" s="152" t="s">
        <v>2276</v>
      </c>
      <c r="G2673" s="152" t="s">
        <v>2276</v>
      </c>
      <c r="H2673" s="204" t="s">
        <v>523</v>
      </c>
      <c r="I2673" s="204">
        <v>2007</v>
      </c>
      <c r="J2673" s="204" t="s">
        <v>2276</v>
      </c>
      <c r="K2673" s="204" t="s">
        <v>2276</v>
      </c>
      <c r="L2673" s="204" t="s">
        <v>2276</v>
      </c>
      <c r="M2673" s="204" t="s">
        <v>2276</v>
      </c>
      <c r="N2673" s="204" t="s">
        <v>2276</v>
      </c>
      <c r="O2673" s="204" t="s">
        <v>2276</v>
      </c>
      <c r="P2673" s="204" t="s">
        <v>2276</v>
      </c>
      <c r="Q2673" s="204" t="s">
        <v>2276</v>
      </c>
      <c r="R2673" s="204" t="s">
        <v>2276</v>
      </c>
      <c r="S2673" s="204" t="s">
        <v>2276</v>
      </c>
      <c r="T2673" s="21">
        <f>550*0.166</f>
        <v>91.300000000000011</v>
      </c>
      <c r="U2673" s="204" t="s">
        <v>2276</v>
      </c>
      <c r="V2673" s="204" t="s">
        <v>2276</v>
      </c>
      <c r="W2673" s="204" t="s">
        <v>2276</v>
      </c>
      <c r="X2673" s="21">
        <f>T2673/'Record info'!K$1145</f>
        <v>4.0487804878048789E-2</v>
      </c>
      <c r="Y2673" s="204" t="s">
        <v>2276</v>
      </c>
      <c r="Z2673" s="204" t="s">
        <v>68</v>
      </c>
      <c r="AA2673" s="204" t="s">
        <v>86</v>
      </c>
      <c r="AB2673" s="204" t="s">
        <v>76</v>
      </c>
      <c r="AC2673" s="204"/>
      <c r="AD2673" s="204"/>
    </row>
    <row r="2674" spans="1:30" ht="32" customHeight="1">
      <c r="A2674" s="19" t="s">
        <v>7293</v>
      </c>
      <c r="B2674" s="19" t="s">
        <v>7449</v>
      </c>
      <c r="C2674" s="204" t="s">
        <v>24</v>
      </c>
      <c r="D2674" s="204" t="s">
        <v>1242</v>
      </c>
      <c r="E2674" s="204" t="s">
        <v>3209</v>
      </c>
      <c r="F2674" s="152" t="s">
        <v>2276</v>
      </c>
      <c r="G2674" s="152" t="s">
        <v>2276</v>
      </c>
      <c r="H2674" s="204" t="s">
        <v>523</v>
      </c>
      <c r="I2674" s="204">
        <v>2008</v>
      </c>
      <c r="J2674" s="204" t="s">
        <v>2276</v>
      </c>
      <c r="K2674" s="204" t="s">
        <v>2276</v>
      </c>
      <c r="L2674" s="204" t="s">
        <v>2276</v>
      </c>
      <c r="M2674" s="204" t="s">
        <v>2276</v>
      </c>
      <c r="N2674" s="204" t="s">
        <v>2276</v>
      </c>
      <c r="O2674" s="204" t="s">
        <v>2276</v>
      </c>
      <c r="P2674" s="204" t="s">
        <v>2276</v>
      </c>
      <c r="Q2674" s="204" t="s">
        <v>2276</v>
      </c>
      <c r="R2674" s="204" t="s">
        <v>2276</v>
      </c>
      <c r="S2674" s="204" t="s">
        <v>2276</v>
      </c>
      <c r="T2674" s="21">
        <f>950*0.027</f>
        <v>25.65</v>
      </c>
      <c r="U2674" s="204" t="s">
        <v>2276</v>
      </c>
      <c r="V2674" s="204" t="s">
        <v>2276</v>
      </c>
      <c r="W2674" s="204" t="s">
        <v>2276</v>
      </c>
      <c r="X2674" s="21">
        <f>T2674/'Record info'!K$1128</f>
        <v>9.1607142857142859E-3</v>
      </c>
      <c r="Y2674" s="204" t="s">
        <v>2276</v>
      </c>
      <c r="Z2674" s="204" t="s">
        <v>68</v>
      </c>
      <c r="AA2674" s="204" t="s">
        <v>86</v>
      </c>
      <c r="AB2674" s="204" t="s">
        <v>76</v>
      </c>
      <c r="AC2674" s="204"/>
      <c r="AD2674" s="204"/>
    </row>
    <row r="2675" spans="1:30" ht="32" customHeight="1">
      <c r="A2675" s="19" t="s">
        <v>7379</v>
      </c>
      <c r="B2675" s="19" t="s">
        <v>7450</v>
      </c>
      <c r="C2675" s="204" t="s">
        <v>24</v>
      </c>
      <c r="D2675" s="204" t="s">
        <v>1242</v>
      </c>
      <c r="E2675" s="204" t="s">
        <v>3209</v>
      </c>
      <c r="F2675" s="152" t="s">
        <v>2276</v>
      </c>
      <c r="G2675" s="152" t="s">
        <v>2276</v>
      </c>
      <c r="H2675" s="204" t="s">
        <v>523</v>
      </c>
      <c r="I2675" s="204">
        <v>2008</v>
      </c>
      <c r="J2675" s="204" t="s">
        <v>2276</v>
      </c>
      <c r="K2675" s="204" t="s">
        <v>2276</v>
      </c>
      <c r="L2675" s="204" t="s">
        <v>2276</v>
      </c>
      <c r="M2675" s="204" t="s">
        <v>2276</v>
      </c>
      <c r="N2675" s="204" t="s">
        <v>2276</v>
      </c>
      <c r="O2675" s="204" t="s">
        <v>2276</v>
      </c>
      <c r="P2675" s="204" t="s">
        <v>2276</v>
      </c>
      <c r="Q2675" s="204" t="s">
        <v>2276</v>
      </c>
      <c r="R2675" s="204" t="s">
        <v>2276</v>
      </c>
      <c r="S2675" s="204" t="s">
        <v>2276</v>
      </c>
      <c r="T2675" s="21">
        <f>950*0.041</f>
        <v>38.950000000000003</v>
      </c>
      <c r="U2675" s="204" t="s">
        <v>2276</v>
      </c>
      <c r="V2675" s="204" t="s">
        <v>2276</v>
      </c>
      <c r="W2675" s="204" t="s">
        <v>2276</v>
      </c>
      <c r="X2675" s="21">
        <f>T2675/'Record info'!K$1129</f>
        <v>1.1081081081081082E-2</v>
      </c>
      <c r="Y2675" s="204" t="s">
        <v>2276</v>
      </c>
      <c r="Z2675" s="204" t="s">
        <v>68</v>
      </c>
      <c r="AA2675" s="204" t="s">
        <v>86</v>
      </c>
      <c r="AB2675" s="204" t="s">
        <v>76</v>
      </c>
      <c r="AC2675" s="204"/>
      <c r="AD2675" s="204"/>
    </row>
    <row r="2676" spans="1:30" ht="32" customHeight="1">
      <c r="A2676" s="19" t="s">
        <v>7380</v>
      </c>
      <c r="B2676" s="19" t="s">
        <v>7451</v>
      </c>
      <c r="C2676" s="204" t="s">
        <v>24</v>
      </c>
      <c r="D2676" s="204" t="s">
        <v>1242</v>
      </c>
      <c r="E2676" s="204" t="s">
        <v>3209</v>
      </c>
      <c r="F2676" s="152" t="s">
        <v>2276</v>
      </c>
      <c r="G2676" s="152" t="s">
        <v>2276</v>
      </c>
      <c r="H2676" s="204" t="s">
        <v>523</v>
      </c>
      <c r="I2676" s="204">
        <v>2008</v>
      </c>
      <c r="J2676" s="204" t="s">
        <v>2276</v>
      </c>
      <c r="K2676" s="204" t="s">
        <v>2276</v>
      </c>
      <c r="L2676" s="204" t="s">
        <v>2276</v>
      </c>
      <c r="M2676" s="204" t="s">
        <v>2276</v>
      </c>
      <c r="N2676" s="204" t="s">
        <v>2276</v>
      </c>
      <c r="O2676" s="204" t="s">
        <v>2276</v>
      </c>
      <c r="P2676" s="204" t="s">
        <v>2276</v>
      </c>
      <c r="Q2676" s="204" t="s">
        <v>2276</v>
      </c>
      <c r="R2676" s="204" t="s">
        <v>2276</v>
      </c>
      <c r="S2676" s="204" t="s">
        <v>2276</v>
      </c>
      <c r="T2676" s="21">
        <f>950*0.004</f>
        <v>3.8000000000000003</v>
      </c>
      <c r="U2676" s="204" t="s">
        <v>2276</v>
      </c>
      <c r="V2676" s="204" t="s">
        <v>2276</v>
      </c>
      <c r="W2676" s="204" t="s">
        <v>2276</v>
      </c>
      <c r="X2676" s="21">
        <f>T2676/'Record info'!K$1130</f>
        <v>5.6321327997628577E-4</v>
      </c>
      <c r="Y2676" s="204" t="s">
        <v>2276</v>
      </c>
      <c r="Z2676" s="204" t="s">
        <v>68</v>
      </c>
      <c r="AA2676" s="204" t="s">
        <v>86</v>
      </c>
      <c r="AB2676" s="204" t="s">
        <v>76</v>
      </c>
      <c r="AC2676" s="204"/>
      <c r="AD2676" s="204"/>
    </row>
    <row r="2677" spans="1:30" ht="32" customHeight="1">
      <c r="A2677" s="19" t="s">
        <v>7381</v>
      </c>
      <c r="B2677" s="19" t="s">
        <v>7452</v>
      </c>
      <c r="C2677" s="204" t="s">
        <v>24</v>
      </c>
      <c r="D2677" s="204" t="s">
        <v>1242</v>
      </c>
      <c r="E2677" s="204" t="s">
        <v>3209</v>
      </c>
      <c r="F2677" s="152" t="s">
        <v>2276</v>
      </c>
      <c r="G2677" s="152" t="s">
        <v>2276</v>
      </c>
      <c r="H2677" s="204" t="s">
        <v>523</v>
      </c>
      <c r="I2677" s="204">
        <v>2008</v>
      </c>
      <c r="J2677" s="204" t="s">
        <v>2276</v>
      </c>
      <c r="K2677" s="204" t="s">
        <v>2276</v>
      </c>
      <c r="L2677" s="204" t="s">
        <v>2276</v>
      </c>
      <c r="M2677" s="204" t="s">
        <v>2276</v>
      </c>
      <c r="N2677" s="204" t="s">
        <v>2276</v>
      </c>
      <c r="O2677" s="204" t="s">
        <v>2276</v>
      </c>
      <c r="P2677" s="204" t="s">
        <v>2276</v>
      </c>
      <c r="Q2677" s="204" t="s">
        <v>2276</v>
      </c>
      <c r="R2677" s="204" t="s">
        <v>2276</v>
      </c>
      <c r="S2677" s="204" t="s">
        <v>2276</v>
      </c>
      <c r="T2677" s="21">
        <f>950*0.004</f>
        <v>3.8000000000000003</v>
      </c>
      <c r="U2677" s="204" t="s">
        <v>2276</v>
      </c>
      <c r="V2677" s="204" t="s">
        <v>2276</v>
      </c>
      <c r="W2677" s="204" t="s">
        <v>2276</v>
      </c>
      <c r="X2677" s="21">
        <f>T2677/'Record info'!K$1131</f>
        <v>7.50394944707741E-4</v>
      </c>
      <c r="Y2677" s="204" t="s">
        <v>2276</v>
      </c>
      <c r="Z2677" s="204" t="s">
        <v>68</v>
      </c>
      <c r="AA2677" s="204" t="s">
        <v>86</v>
      </c>
      <c r="AB2677" s="204" t="s">
        <v>76</v>
      </c>
      <c r="AC2677" s="204"/>
      <c r="AD2677" s="204"/>
    </row>
    <row r="2678" spans="1:30" ht="32" customHeight="1">
      <c r="A2678" s="19" t="s">
        <v>7382</v>
      </c>
      <c r="B2678" s="19" t="s">
        <v>7453</v>
      </c>
      <c r="C2678" s="204" t="s">
        <v>24</v>
      </c>
      <c r="D2678" s="204" t="s">
        <v>1242</v>
      </c>
      <c r="E2678" s="204" t="s">
        <v>3209</v>
      </c>
      <c r="F2678" s="152" t="s">
        <v>2276</v>
      </c>
      <c r="G2678" s="152" t="s">
        <v>2276</v>
      </c>
      <c r="H2678" s="204" t="s">
        <v>524</v>
      </c>
      <c r="I2678" s="204">
        <v>2008</v>
      </c>
      <c r="J2678" s="21">
        <v>0</v>
      </c>
      <c r="K2678" s="21">
        <v>0</v>
      </c>
      <c r="L2678" s="21">
        <v>0</v>
      </c>
      <c r="M2678" s="21">
        <v>0</v>
      </c>
      <c r="N2678" s="21">
        <v>0</v>
      </c>
      <c r="O2678" s="21">
        <v>0</v>
      </c>
      <c r="P2678" s="21">
        <v>0</v>
      </c>
      <c r="Q2678" s="21">
        <v>0</v>
      </c>
      <c r="R2678" s="21">
        <v>0</v>
      </c>
      <c r="S2678" s="21">
        <v>0</v>
      </c>
      <c r="T2678" s="21">
        <v>0</v>
      </c>
      <c r="U2678" s="21">
        <v>0</v>
      </c>
      <c r="V2678" s="21">
        <v>0</v>
      </c>
      <c r="W2678" s="21">
        <v>0</v>
      </c>
      <c r="X2678" s="21">
        <f>T2678/'Record info'!K$1132</f>
        <v>0</v>
      </c>
      <c r="Y2678" s="204" t="s">
        <v>2276</v>
      </c>
      <c r="Z2678" s="204" t="s">
        <v>68</v>
      </c>
      <c r="AA2678" s="204" t="s">
        <v>86</v>
      </c>
      <c r="AB2678" s="204" t="s">
        <v>76</v>
      </c>
      <c r="AC2678" s="204"/>
      <c r="AD2678" s="204"/>
    </row>
    <row r="2679" spans="1:30" ht="32" customHeight="1">
      <c r="A2679" s="19" t="s">
        <v>7383</v>
      </c>
      <c r="B2679" s="19" t="s">
        <v>7454</v>
      </c>
      <c r="C2679" s="204" t="s">
        <v>24</v>
      </c>
      <c r="D2679" s="204" t="s">
        <v>1242</v>
      </c>
      <c r="E2679" s="204" t="s">
        <v>3209</v>
      </c>
      <c r="F2679" s="152" t="s">
        <v>2276</v>
      </c>
      <c r="G2679" s="152" t="s">
        <v>2276</v>
      </c>
      <c r="H2679" s="204" t="s">
        <v>524</v>
      </c>
      <c r="I2679" s="204">
        <v>2008</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info'!K$1133</f>
        <v>0</v>
      </c>
      <c r="Y2679" s="204" t="s">
        <v>2276</v>
      </c>
      <c r="Z2679" s="204" t="s">
        <v>68</v>
      </c>
      <c r="AA2679" s="204" t="s">
        <v>86</v>
      </c>
      <c r="AB2679" s="204" t="s">
        <v>76</v>
      </c>
      <c r="AC2679" s="204"/>
      <c r="AD2679" s="204"/>
    </row>
    <row r="2680" spans="1:30" ht="32" customHeight="1">
      <c r="A2680" s="19" t="s">
        <v>7384</v>
      </c>
      <c r="B2680" s="19" t="s">
        <v>7455</v>
      </c>
      <c r="C2680" s="204" t="s">
        <v>24</v>
      </c>
      <c r="D2680" s="204" t="s">
        <v>1242</v>
      </c>
      <c r="E2680" s="204" t="s">
        <v>3209</v>
      </c>
      <c r="F2680" s="152" t="s">
        <v>2276</v>
      </c>
      <c r="G2680" s="152" t="s">
        <v>2276</v>
      </c>
      <c r="H2680" s="204" t="s">
        <v>524</v>
      </c>
      <c r="I2680" s="204">
        <v>2008</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info'!K$1134</f>
        <v>0</v>
      </c>
      <c r="Y2680" s="204" t="s">
        <v>2276</v>
      </c>
      <c r="Z2680" s="204" t="s">
        <v>68</v>
      </c>
      <c r="AA2680" s="204" t="s">
        <v>86</v>
      </c>
      <c r="AB2680" s="204" t="s">
        <v>76</v>
      </c>
      <c r="AC2680" s="204"/>
      <c r="AD2680" s="204"/>
    </row>
    <row r="2681" spans="1:30" ht="32" customHeight="1">
      <c r="A2681" s="19" t="s">
        <v>7385</v>
      </c>
      <c r="B2681" s="19" t="s">
        <v>7456</v>
      </c>
      <c r="C2681" s="204" t="s">
        <v>24</v>
      </c>
      <c r="D2681" s="204" t="s">
        <v>1242</v>
      </c>
      <c r="E2681" s="204" t="s">
        <v>3209</v>
      </c>
      <c r="F2681" s="152" t="s">
        <v>2276</v>
      </c>
      <c r="G2681" s="152" t="s">
        <v>2276</v>
      </c>
      <c r="H2681" s="204" t="s">
        <v>523</v>
      </c>
      <c r="I2681" s="204">
        <v>2008</v>
      </c>
      <c r="J2681" s="204" t="s">
        <v>2276</v>
      </c>
      <c r="K2681" s="204" t="s">
        <v>2276</v>
      </c>
      <c r="L2681" s="204" t="s">
        <v>2276</v>
      </c>
      <c r="M2681" s="204" t="s">
        <v>2276</v>
      </c>
      <c r="N2681" s="204" t="s">
        <v>2276</v>
      </c>
      <c r="O2681" s="204" t="s">
        <v>2276</v>
      </c>
      <c r="P2681" s="204" t="s">
        <v>2276</v>
      </c>
      <c r="Q2681" s="204" t="s">
        <v>2276</v>
      </c>
      <c r="R2681" s="204" t="s">
        <v>2276</v>
      </c>
      <c r="S2681" s="204" t="s">
        <v>2276</v>
      </c>
      <c r="T2681" s="21">
        <f>950*0.035</f>
        <v>33.25</v>
      </c>
      <c r="U2681" s="204" t="s">
        <v>2276</v>
      </c>
      <c r="V2681" s="204" t="s">
        <v>2276</v>
      </c>
      <c r="W2681" s="204" t="s">
        <v>2276</v>
      </c>
      <c r="X2681" s="21">
        <f>T2681/'Record info'!K$1135</f>
        <v>5.4822753503709814E-3</v>
      </c>
      <c r="Y2681" s="204" t="s">
        <v>2276</v>
      </c>
      <c r="Z2681" s="204" t="s">
        <v>68</v>
      </c>
      <c r="AA2681" s="204" t="s">
        <v>86</v>
      </c>
      <c r="AB2681" s="204" t="s">
        <v>76</v>
      </c>
      <c r="AC2681" s="204"/>
      <c r="AD2681" s="204"/>
    </row>
    <row r="2682" spans="1:30" ht="32" customHeight="1">
      <c r="A2682" s="19" t="s">
        <v>7386</v>
      </c>
      <c r="B2682" s="19" t="s">
        <v>7457</v>
      </c>
      <c r="C2682" s="204" t="s">
        <v>24</v>
      </c>
      <c r="D2682" s="204" t="s">
        <v>1242</v>
      </c>
      <c r="E2682" s="204" t="s">
        <v>3209</v>
      </c>
      <c r="F2682" s="152" t="s">
        <v>2276</v>
      </c>
      <c r="G2682" s="152" t="s">
        <v>2276</v>
      </c>
      <c r="H2682" s="204" t="s">
        <v>523</v>
      </c>
      <c r="I2682" s="204">
        <v>2008</v>
      </c>
      <c r="J2682" s="204" t="s">
        <v>2276</v>
      </c>
      <c r="K2682" s="204" t="s">
        <v>2276</v>
      </c>
      <c r="L2682" s="204" t="s">
        <v>2276</v>
      </c>
      <c r="M2682" s="204" t="s">
        <v>2276</v>
      </c>
      <c r="N2682" s="204" t="s">
        <v>2276</v>
      </c>
      <c r="O2682" s="204" t="s">
        <v>2276</v>
      </c>
      <c r="P2682" s="204" t="s">
        <v>2276</v>
      </c>
      <c r="Q2682" s="204" t="s">
        <v>2276</v>
      </c>
      <c r="R2682" s="204" t="s">
        <v>2276</v>
      </c>
      <c r="S2682" s="204" t="s">
        <v>2276</v>
      </c>
      <c r="T2682" s="21">
        <f>950*0.079</f>
        <v>75.05</v>
      </c>
      <c r="U2682" s="204" t="s">
        <v>2276</v>
      </c>
      <c r="V2682" s="204" t="s">
        <v>2276</v>
      </c>
      <c r="W2682" s="204" t="s">
        <v>2276</v>
      </c>
      <c r="X2682" s="21">
        <f>T2682/'Record info'!K$1136</f>
        <v>1.1243445692883894E-2</v>
      </c>
      <c r="Y2682" s="204" t="s">
        <v>2276</v>
      </c>
      <c r="Z2682" s="204" t="s">
        <v>68</v>
      </c>
      <c r="AA2682" s="204" t="s">
        <v>86</v>
      </c>
      <c r="AB2682" s="204" t="s">
        <v>76</v>
      </c>
      <c r="AC2682" s="204"/>
      <c r="AD2682" s="204"/>
    </row>
    <row r="2683" spans="1:30" ht="32" customHeight="1">
      <c r="A2683" s="19" t="s">
        <v>7387</v>
      </c>
      <c r="B2683" s="19" t="s">
        <v>7458</v>
      </c>
      <c r="C2683" s="204" t="s">
        <v>24</v>
      </c>
      <c r="D2683" s="204" t="s">
        <v>1242</v>
      </c>
      <c r="E2683" s="204" t="s">
        <v>3209</v>
      </c>
      <c r="F2683" s="152" t="s">
        <v>2276</v>
      </c>
      <c r="G2683" s="152" t="s">
        <v>2276</v>
      </c>
      <c r="H2683" s="204" t="s">
        <v>523</v>
      </c>
      <c r="I2683" s="204">
        <v>2008</v>
      </c>
      <c r="J2683" s="204" t="s">
        <v>2276</v>
      </c>
      <c r="K2683" s="204" t="s">
        <v>2276</v>
      </c>
      <c r="L2683" s="204" t="s">
        <v>2276</v>
      </c>
      <c r="M2683" s="204" t="s">
        <v>2276</v>
      </c>
      <c r="N2683" s="204" t="s">
        <v>2276</v>
      </c>
      <c r="O2683" s="204" t="s">
        <v>2276</v>
      </c>
      <c r="P2683" s="204" t="s">
        <v>2276</v>
      </c>
      <c r="Q2683" s="204" t="s">
        <v>2276</v>
      </c>
      <c r="R2683" s="204" t="s">
        <v>2276</v>
      </c>
      <c r="S2683" s="204" t="s">
        <v>2276</v>
      </c>
      <c r="T2683" s="21">
        <f>950*0.132</f>
        <v>125.4</v>
      </c>
      <c r="U2683" s="204" t="s">
        <v>2276</v>
      </c>
      <c r="V2683" s="204" t="s">
        <v>2276</v>
      </c>
      <c r="W2683" s="204" t="s">
        <v>2276</v>
      </c>
      <c r="X2683" s="21">
        <f>T2683/'Record info'!K$1137</f>
        <v>2.2725625226531352E-2</v>
      </c>
      <c r="Y2683" s="204" t="s">
        <v>2276</v>
      </c>
      <c r="Z2683" s="204" t="s">
        <v>68</v>
      </c>
      <c r="AA2683" s="204" t="s">
        <v>86</v>
      </c>
      <c r="AB2683" s="204" t="s">
        <v>76</v>
      </c>
      <c r="AC2683" s="204"/>
      <c r="AD2683" s="204"/>
    </row>
    <row r="2684" spans="1:30" ht="32" customHeight="1">
      <c r="A2684" s="19" t="s">
        <v>7388</v>
      </c>
      <c r="B2684" s="19" t="s">
        <v>7459</v>
      </c>
      <c r="C2684" s="204" t="s">
        <v>24</v>
      </c>
      <c r="D2684" s="204" t="s">
        <v>1242</v>
      </c>
      <c r="E2684" s="204" t="s">
        <v>3209</v>
      </c>
      <c r="F2684" s="152" t="s">
        <v>2276</v>
      </c>
      <c r="G2684" s="152" t="s">
        <v>2276</v>
      </c>
      <c r="H2684" s="204" t="s">
        <v>523</v>
      </c>
      <c r="I2684" s="204">
        <v>2008</v>
      </c>
      <c r="J2684" s="204" t="s">
        <v>2276</v>
      </c>
      <c r="K2684" s="204" t="s">
        <v>2276</v>
      </c>
      <c r="L2684" s="204" t="s">
        <v>2276</v>
      </c>
      <c r="M2684" s="204" t="s">
        <v>2276</v>
      </c>
      <c r="N2684" s="204" t="s">
        <v>2276</v>
      </c>
      <c r="O2684" s="204" t="s">
        <v>2276</v>
      </c>
      <c r="P2684" s="204" t="s">
        <v>2276</v>
      </c>
      <c r="Q2684" s="204" t="s">
        <v>2276</v>
      </c>
      <c r="R2684" s="204" t="s">
        <v>2276</v>
      </c>
      <c r="S2684" s="204" t="s">
        <v>2276</v>
      </c>
      <c r="T2684" s="21">
        <f>950*0.057</f>
        <v>54.15</v>
      </c>
      <c r="U2684" s="204" t="s">
        <v>2276</v>
      </c>
      <c r="V2684" s="204" t="s">
        <v>2276</v>
      </c>
      <c r="W2684" s="204" t="s">
        <v>2276</v>
      </c>
      <c r="X2684" s="21">
        <f>T2684/'Record info'!K$1138</f>
        <v>1.3719280466176842E-2</v>
      </c>
      <c r="Y2684" s="204" t="s">
        <v>2276</v>
      </c>
      <c r="Z2684" s="204" t="s">
        <v>68</v>
      </c>
      <c r="AA2684" s="204" t="s">
        <v>86</v>
      </c>
      <c r="AB2684" s="204" t="s">
        <v>76</v>
      </c>
      <c r="AC2684" s="204"/>
      <c r="AD2684" s="204"/>
    </row>
    <row r="2685" spans="1:30" ht="32" customHeight="1">
      <c r="A2685" s="19" t="s">
        <v>7389</v>
      </c>
      <c r="B2685" s="19" t="s">
        <v>7460</v>
      </c>
      <c r="C2685" s="204" t="s">
        <v>24</v>
      </c>
      <c r="D2685" s="204" t="s">
        <v>1242</v>
      </c>
      <c r="E2685" s="204" t="s">
        <v>3209</v>
      </c>
      <c r="F2685" s="152" t="s">
        <v>2276</v>
      </c>
      <c r="G2685" s="152" t="s">
        <v>2276</v>
      </c>
      <c r="H2685" s="204" t="s">
        <v>523</v>
      </c>
      <c r="I2685" s="204">
        <v>2008</v>
      </c>
      <c r="J2685" s="204" t="s">
        <v>2276</v>
      </c>
      <c r="K2685" s="204" t="s">
        <v>2276</v>
      </c>
      <c r="L2685" s="204" t="s">
        <v>2276</v>
      </c>
      <c r="M2685" s="204" t="s">
        <v>2276</v>
      </c>
      <c r="N2685" s="204" t="s">
        <v>2276</v>
      </c>
      <c r="O2685" s="204" t="s">
        <v>2276</v>
      </c>
      <c r="P2685" s="204" t="s">
        <v>2276</v>
      </c>
      <c r="Q2685" s="204" t="s">
        <v>2276</v>
      </c>
      <c r="R2685" s="204" t="s">
        <v>2276</v>
      </c>
      <c r="S2685" s="204" t="s">
        <v>2276</v>
      </c>
      <c r="T2685" s="21">
        <f>950*0.024</f>
        <v>22.8</v>
      </c>
      <c r="U2685" s="204" t="s">
        <v>2276</v>
      </c>
      <c r="V2685" s="204" t="s">
        <v>2276</v>
      </c>
      <c r="W2685" s="204" t="s">
        <v>2276</v>
      </c>
      <c r="X2685" s="21">
        <f>T2685/'Record info'!K$1139</f>
        <v>8.1196581196581203E-3</v>
      </c>
      <c r="Y2685" s="204" t="s">
        <v>2276</v>
      </c>
      <c r="Z2685" s="204" t="s">
        <v>68</v>
      </c>
      <c r="AA2685" s="204" t="s">
        <v>86</v>
      </c>
      <c r="AB2685" s="204" t="s">
        <v>76</v>
      </c>
      <c r="AC2685" s="204"/>
      <c r="AD2685" s="204"/>
    </row>
    <row r="2686" spans="1:30" ht="32" customHeight="1">
      <c r="A2686" s="19" t="s">
        <v>7390</v>
      </c>
      <c r="B2686" s="19" t="s">
        <v>7461</v>
      </c>
      <c r="C2686" s="204" t="s">
        <v>24</v>
      </c>
      <c r="D2686" s="204" t="s">
        <v>1242</v>
      </c>
      <c r="E2686" s="204" t="s">
        <v>3209</v>
      </c>
      <c r="F2686" s="152" t="s">
        <v>2276</v>
      </c>
      <c r="G2686" s="152" t="s">
        <v>2276</v>
      </c>
      <c r="H2686" s="204" t="s">
        <v>523</v>
      </c>
      <c r="I2686" s="204">
        <v>2008</v>
      </c>
      <c r="J2686" s="204" t="s">
        <v>2276</v>
      </c>
      <c r="K2686" s="204" t="s">
        <v>2276</v>
      </c>
      <c r="L2686" s="204" t="s">
        <v>2276</v>
      </c>
      <c r="M2686" s="204" t="s">
        <v>2276</v>
      </c>
      <c r="N2686" s="204" t="s">
        <v>2276</v>
      </c>
      <c r="O2686" s="204" t="s">
        <v>2276</v>
      </c>
      <c r="P2686" s="204" t="s">
        <v>2276</v>
      </c>
      <c r="Q2686" s="204" t="s">
        <v>2276</v>
      </c>
      <c r="R2686" s="204" t="s">
        <v>2276</v>
      </c>
      <c r="S2686" s="204" t="s">
        <v>2276</v>
      </c>
      <c r="T2686" s="21">
        <f>950*0.072</f>
        <v>68.399999999999991</v>
      </c>
      <c r="U2686" s="204" t="s">
        <v>2276</v>
      </c>
      <c r="V2686" s="204" t="s">
        <v>2276</v>
      </c>
      <c r="W2686" s="204" t="s">
        <v>2276</v>
      </c>
      <c r="X2686" s="21">
        <f>T2686/'Record info'!K$1140</f>
        <v>1.3660874775314557E-2</v>
      </c>
      <c r="Y2686" s="204" t="s">
        <v>2276</v>
      </c>
      <c r="Z2686" s="204" t="s">
        <v>68</v>
      </c>
      <c r="AA2686" s="204" t="s">
        <v>86</v>
      </c>
      <c r="AB2686" s="204" t="s">
        <v>76</v>
      </c>
      <c r="AC2686" s="204"/>
      <c r="AD2686" s="204"/>
    </row>
    <row r="2687" spans="1:30" ht="32" customHeight="1">
      <c r="A2687" s="19" t="s">
        <v>7391</v>
      </c>
      <c r="B2687" s="19" t="s">
        <v>7462</v>
      </c>
      <c r="C2687" s="204" t="s">
        <v>24</v>
      </c>
      <c r="D2687" s="204" t="s">
        <v>1242</v>
      </c>
      <c r="E2687" s="204" t="s">
        <v>3209</v>
      </c>
      <c r="F2687" s="152" t="s">
        <v>2276</v>
      </c>
      <c r="G2687" s="152" t="s">
        <v>2276</v>
      </c>
      <c r="H2687" s="204" t="s">
        <v>523</v>
      </c>
      <c r="I2687" s="204">
        <v>2008</v>
      </c>
      <c r="J2687" s="204" t="s">
        <v>2276</v>
      </c>
      <c r="K2687" s="204" t="s">
        <v>2276</v>
      </c>
      <c r="L2687" s="204" t="s">
        <v>2276</v>
      </c>
      <c r="M2687" s="204" t="s">
        <v>2276</v>
      </c>
      <c r="N2687" s="204" t="s">
        <v>2276</v>
      </c>
      <c r="O2687" s="204" t="s">
        <v>2276</v>
      </c>
      <c r="P2687" s="204" t="s">
        <v>2276</v>
      </c>
      <c r="Q2687" s="204" t="s">
        <v>2276</v>
      </c>
      <c r="R2687" s="204" t="s">
        <v>2276</v>
      </c>
      <c r="S2687" s="204" t="s">
        <v>2276</v>
      </c>
      <c r="T2687" s="21">
        <f>950*0.068</f>
        <v>64.600000000000009</v>
      </c>
      <c r="U2687" s="204" t="s">
        <v>2276</v>
      </c>
      <c r="V2687" s="204" t="s">
        <v>2276</v>
      </c>
      <c r="W2687" s="204" t="s">
        <v>2276</v>
      </c>
      <c r="X2687" s="21">
        <f>T2687/'Record info'!K$1141</f>
        <v>5.5025553662691656E-2</v>
      </c>
      <c r="Y2687" s="204" t="s">
        <v>2276</v>
      </c>
      <c r="Z2687" s="204" t="s">
        <v>68</v>
      </c>
      <c r="AA2687" s="204" t="s">
        <v>86</v>
      </c>
      <c r="AB2687" s="204" t="s">
        <v>76</v>
      </c>
      <c r="AC2687" s="204"/>
      <c r="AD2687" s="204"/>
    </row>
    <row r="2688" spans="1:30" ht="32" customHeight="1">
      <c r="A2688" s="19" t="s">
        <v>7392</v>
      </c>
      <c r="B2688" s="19" t="s">
        <v>7463</v>
      </c>
      <c r="C2688" s="204" t="s">
        <v>24</v>
      </c>
      <c r="D2688" s="204" t="s">
        <v>1242</v>
      </c>
      <c r="E2688" s="204" t="s">
        <v>3209</v>
      </c>
      <c r="F2688" s="152" t="s">
        <v>2276</v>
      </c>
      <c r="G2688" s="152" t="s">
        <v>2276</v>
      </c>
      <c r="H2688" s="204" t="s">
        <v>523</v>
      </c>
      <c r="I2688" s="204">
        <v>2008</v>
      </c>
      <c r="J2688" s="204" t="s">
        <v>2276</v>
      </c>
      <c r="K2688" s="204" t="s">
        <v>2276</v>
      </c>
      <c r="L2688" s="204" t="s">
        <v>2276</v>
      </c>
      <c r="M2688" s="204" t="s">
        <v>2276</v>
      </c>
      <c r="N2688" s="204" t="s">
        <v>2276</v>
      </c>
      <c r="O2688" s="204" t="s">
        <v>2276</v>
      </c>
      <c r="P2688" s="204" t="s">
        <v>2276</v>
      </c>
      <c r="Q2688" s="204" t="s">
        <v>2276</v>
      </c>
      <c r="R2688" s="204" t="s">
        <v>2276</v>
      </c>
      <c r="S2688" s="204" t="s">
        <v>2276</v>
      </c>
      <c r="T2688" s="21">
        <f>950*0.075</f>
        <v>71.25</v>
      </c>
      <c r="U2688" s="204" t="s">
        <v>2276</v>
      </c>
      <c r="V2688" s="204" t="s">
        <v>2276</v>
      </c>
      <c r="W2688" s="204" t="s">
        <v>2276</v>
      </c>
      <c r="X2688" s="21">
        <f>T2688/'Record info'!K$1142</f>
        <v>1.6462569316081331E-2</v>
      </c>
      <c r="Y2688" s="204" t="s">
        <v>2276</v>
      </c>
      <c r="Z2688" s="204" t="s">
        <v>68</v>
      </c>
      <c r="AA2688" s="204" t="s">
        <v>86</v>
      </c>
      <c r="AB2688" s="204" t="s">
        <v>76</v>
      </c>
      <c r="AC2688" s="204"/>
      <c r="AD2688" s="204"/>
    </row>
    <row r="2689" spans="1:30" ht="32" customHeight="1">
      <c r="A2689" s="19" t="s">
        <v>7393</v>
      </c>
      <c r="B2689" s="19" t="s">
        <v>7464</v>
      </c>
      <c r="C2689" s="204" t="s">
        <v>24</v>
      </c>
      <c r="D2689" s="204" t="s">
        <v>1242</v>
      </c>
      <c r="E2689" s="204" t="s">
        <v>3209</v>
      </c>
      <c r="F2689" s="152" t="s">
        <v>2276</v>
      </c>
      <c r="G2689" s="152" t="s">
        <v>2276</v>
      </c>
      <c r="H2689" s="204" t="s">
        <v>523</v>
      </c>
      <c r="I2689" s="204">
        <v>2008</v>
      </c>
      <c r="J2689" s="204" t="s">
        <v>2276</v>
      </c>
      <c r="K2689" s="204" t="s">
        <v>2276</v>
      </c>
      <c r="L2689" s="204" t="s">
        <v>2276</v>
      </c>
      <c r="M2689" s="204" t="s">
        <v>2276</v>
      </c>
      <c r="N2689" s="204" t="s">
        <v>2276</v>
      </c>
      <c r="O2689" s="204" t="s">
        <v>2276</v>
      </c>
      <c r="P2689" s="204" t="s">
        <v>2276</v>
      </c>
      <c r="Q2689" s="204" t="s">
        <v>2276</v>
      </c>
      <c r="R2689" s="204" t="s">
        <v>2276</v>
      </c>
      <c r="S2689" s="204" t="s">
        <v>2276</v>
      </c>
      <c r="T2689" s="21">
        <f>950*0.111</f>
        <v>105.45</v>
      </c>
      <c r="U2689" s="204" t="s">
        <v>2276</v>
      </c>
      <c r="V2689" s="204" t="s">
        <v>2276</v>
      </c>
      <c r="W2689" s="204" t="s">
        <v>2276</v>
      </c>
      <c r="X2689" s="21">
        <f>T2689/'Record info'!K$1143</f>
        <v>4.4029227557411274E-2</v>
      </c>
      <c r="Y2689" s="204" t="s">
        <v>2276</v>
      </c>
      <c r="Z2689" s="204" t="s">
        <v>68</v>
      </c>
      <c r="AA2689" s="204" t="s">
        <v>86</v>
      </c>
      <c r="AB2689" s="204" t="s">
        <v>76</v>
      </c>
      <c r="AC2689" s="204"/>
      <c r="AD2689" s="204"/>
    </row>
    <row r="2690" spans="1:30" ht="32" customHeight="1">
      <c r="A2690" s="19" t="s">
        <v>7394</v>
      </c>
      <c r="B2690" s="19" t="s">
        <v>7465</v>
      </c>
      <c r="C2690" s="204" t="s">
        <v>24</v>
      </c>
      <c r="D2690" s="204" t="s">
        <v>1242</v>
      </c>
      <c r="E2690" s="204" t="s">
        <v>3209</v>
      </c>
      <c r="F2690" s="152" t="s">
        <v>2276</v>
      </c>
      <c r="G2690" s="152" t="s">
        <v>2276</v>
      </c>
      <c r="H2690" s="204" t="s">
        <v>523</v>
      </c>
      <c r="I2690" s="204">
        <v>2008</v>
      </c>
      <c r="J2690" s="204" t="s">
        <v>2276</v>
      </c>
      <c r="K2690" s="204" t="s">
        <v>2276</v>
      </c>
      <c r="L2690" s="204" t="s">
        <v>2276</v>
      </c>
      <c r="M2690" s="204" t="s">
        <v>2276</v>
      </c>
      <c r="N2690" s="204" t="s">
        <v>2276</v>
      </c>
      <c r="O2690" s="204" t="s">
        <v>2276</v>
      </c>
      <c r="P2690" s="204" t="s">
        <v>2276</v>
      </c>
      <c r="Q2690" s="204" t="s">
        <v>2276</v>
      </c>
      <c r="R2690" s="204" t="s">
        <v>2276</v>
      </c>
      <c r="S2690" s="204" t="s">
        <v>2276</v>
      </c>
      <c r="T2690" s="21">
        <f>950*0.106</f>
        <v>100.7</v>
      </c>
      <c r="U2690" s="204" t="s">
        <v>2276</v>
      </c>
      <c r="V2690" s="204" t="s">
        <v>2276</v>
      </c>
      <c r="W2690" s="204" t="s">
        <v>2276</v>
      </c>
      <c r="X2690" s="21">
        <f>T2690/'Record info'!K$1144</f>
        <v>3.767302656191545E-2</v>
      </c>
      <c r="Y2690" s="204" t="s">
        <v>2276</v>
      </c>
      <c r="Z2690" s="204" t="s">
        <v>68</v>
      </c>
      <c r="AA2690" s="204" t="s">
        <v>86</v>
      </c>
      <c r="AB2690" s="204" t="s">
        <v>76</v>
      </c>
      <c r="AC2690" s="204"/>
      <c r="AD2690" s="204"/>
    </row>
    <row r="2691" spans="1:30" ht="35.5" customHeight="1">
      <c r="A2691" s="19" t="s">
        <v>7395</v>
      </c>
      <c r="B2691" s="19" t="s">
        <v>7484</v>
      </c>
      <c r="C2691" s="204" t="s">
        <v>24</v>
      </c>
      <c r="D2691" s="204" t="s">
        <v>1242</v>
      </c>
      <c r="E2691" s="204" t="s">
        <v>3209</v>
      </c>
      <c r="F2691" s="152" t="s">
        <v>2276</v>
      </c>
      <c r="G2691" s="152" t="s">
        <v>2276</v>
      </c>
      <c r="H2691" s="204" t="s">
        <v>523</v>
      </c>
      <c r="I2691" s="204">
        <v>2008</v>
      </c>
      <c r="J2691" s="204" t="s">
        <v>2276</v>
      </c>
      <c r="K2691" s="204" t="s">
        <v>2276</v>
      </c>
      <c r="L2691" s="204" t="s">
        <v>2276</v>
      </c>
      <c r="M2691" s="204" t="s">
        <v>2276</v>
      </c>
      <c r="N2691" s="204" t="s">
        <v>2276</v>
      </c>
      <c r="O2691" s="204" t="s">
        <v>2276</v>
      </c>
      <c r="P2691" s="204" t="s">
        <v>2276</v>
      </c>
      <c r="Q2691" s="204" t="s">
        <v>2276</v>
      </c>
      <c r="R2691" s="204" t="s">
        <v>2276</v>
      </c>
      <c r="S2691" s="204" t="s">
        <v>2276</v>
      </c>
      <c r="T2691" s="21">
        <f>950*0.166</f>
        <v>157.70000000000002</v>
      </c>
      <c r="U2691" s="204" t="s">
        <v>2276</v>
      </c>
      <c r="V2691" s="204" t="s">
        <v>2276</v>
      </c>
      <c r="W2691" s="204" t="s">
        <v>2276</v>
      </c>
      <c r="X2691" s="21">
        <f>T2691/'Record info'!K$1145</f>
        <v>6.993348115299336E-2</v>
      </c>
      <c r="Y2691" s="204" t="s">
        <v>2276</v>
      </c>
      <c r="Z2691" s="204" t="s">
        <v>68</v>
      </c>
      <c r="AA2691" s="204" t="s">
        <v>86</v>
      </c>
      <c r="AB2691" s="204" t="s">
        <v>76</v>
      </c>
      <c r="AC2691" s="204"/>
      <c r="AD2691" s="204"/>
    </row>
    <row r="2692" spans="1:30" ht="29" customHeight="1">
      <c r="A2692" s="19" t="s">
        <v>7293</v>
      </c>
      <c r="B2692" s="19" t="s">
        <v>7466</v>
      </c>
      <c r="C2692" s="204" t="s">
        <v>24</v>
      </c>
      <c r="D2692" s="204" t="s">
        <v>1242</v>
      </c>
      <c r="E2692" s="204" t="s">
        <v>3209</v>
      </c>
      <c r="F2692" s="152" t="s">
        <v>2276</v>
      </c>
      <c r="G2692" s="152" t="s">
        <v>2276</v>
      </c>
      <c r="H2692" s="204" t="s">
        <v>523</v>
      </c>
      <c r="I2692" s="204">
        <v>2009</v>
      </c>
      <c r="J2692" s="204" t="s">
        <v>2276</v>
      </c>
      <c r="K2692" s="204" t="s">
        <v>2276</v>
      </c>
      <c r="L2692" s="204" t="s">
        <v>2276</v>
      </c>
      <c r="M2692" s="204" t="s">
        <v>2276</v>
      </c>
      <c r="N2692" s="204" t="s">
        <v>2276</v>
      </c>
      <c r="O2692" s="204" t="s">
        <v>2276</v>
      </c>
      <c r="P2692" s="204" t="s">
        <v>2276</v>
      </c>
      <c r="Q2692" s="204" t="s">
        <v>2276</v>
      </c>
      <c r="R2692" s="204" t="s">
        <v>2276</v>
      </c>
      <c r="S2692" s="204" t="s">
        <v>2276</v>
      </c>
      <c r="T2692" s="21">
        <f>1020*0.027</f>
        <v>27.54</v>
      </c>
      <c r="U2692" s="204" t="s">
        <v>2276</v>
      </c>
      <c r="V2692" s="204" t="s">
        <v>2276</v>
      </c>
      <c r="W2692" s="204" t="s">
        <v>2276</v>
      </c>
      <c r="X2692" s="21">
        <f>T2692/'Record info'!K$1128</f>
        <v>9.8357142857142862E-3</v>
      </c>
      <c r="Y2692" s="204" t="s">
        <v>2276</v>
      </c>
      <c r="Z2692" s="204" t="s">
        <v>68</v>
      </c>
      <c r="AA2692" s="204" t="s">
        <v>86</v>
      </c>
      <c r="AB2692" s="204" t="s">
        <v>76</v>
      </c>
      <c r="AC2692" s="204"/>
      <c r="AD2692" s="204"/>
    </row>
    <row r="2693" spans="1:30" ht="29" customHeight="1">
      <c r="A2693" s="19" t="s">
        <v>7379</v>
      </c>
      <c r="B2693" s="19" t="s">
        <v>7467</v>
      </c>
      <c r="C2693" s="204" t="s">
        <v>24</v>
      </c>
      <c r="D2693" s="204" t="s">
        <v>1242</v>
      </c>
      <c r="E2693" s="204" t="s">
        <v>3209</v>
      </c>
      <c r="F2693" s="152" t="s">
        <v>2276</v>
      </c>
      <c r="G2693" s="152" t="s">
        <v>2276</v>
      </c>
      <c r="H2693" s="204" t="s">
        <v>523</v>
      </c>
      <c r="I2693" s="204">
        <v>2009</v>
      </c>
      <c r="J2693" s="204" t="s">
        <v>2276</v>
      </c>
      <c r="K2693" s="204" t="s">
        <v>2276</v>
      </c>
      <c r="L2693" s="204" t="s">
        <v>2276</v>
      </c>
      <c r="M2693" s="204" t="s">
        <v>2276</v>
      </c>
      <c r="N2693" s="204" t="s">
        <v>2276</v>
      </c>
      <c r="O2693" s="204" t="s">
        <v>2276</v>
      </c>
      <c r="P2693" s="204" t="s">
        <v>2276</v>
      </c>
      <c r="Q2693" s="204" t="s">
        <v>2276</v>
      </c>
      <c r="R2693" s="204" t="s">
        <v>2276</v>
      </c>
      <c r="S2693" s="204" t="s">
        <v>2276</v>
      </c>
      <c r="T2693" s="21">
        <f>1020*0.041</f>
        <v>41.82</v>
      </c>
      <c r="U2693" s="204" t="s">
        <v>2276</v>
      </c>
      <c r="V2693" s="204" t="s">
        <v>2276</v>
      </c>
      <c r="W2693" s="204" t="s">
        <v>2276</v>
      </c>
      <c r="X2693" s="21">
        <f>T2693/'Record info'!K$1129</f>
        <v>1.1897581792318635E-2</v>
      </c>
      <c r="Y2693" s="204" t="s">
        <v>2276</v>
      </c>
      <c r="Z2693" s="204" t="s">
        <v>68</v>
      </c>
      <c r="AA2693" s="204" t="s">
        <v>86</v>
      </c>
      <c r="AB2693" s="204" t="s">
        <v>76</v>
      </c>
      <c r="AC2693" s="204"/>
      <c r="AD2693" s="204"/>
    </row>
    <row r="2694" spans="1:30" ht="29" customHeight="1">
      <c r="A2694" s="19" t="s">
        <v>7380</v>
      </c>
      <c r="B2694" s="19" t="s">
        <v>7468</v>
      </c>
      <c r="C2694" s="204" t="s">
        <v>24</v>
      </c>
      <c r="D2694" s="204" t="s">
        <v>1242</v>
      </c>
      <c r="E2694" s="204" t="s">
        <v>3209</v>
      </c>
      <c r="F2694" s="152" t="s">
        <v>2276</v>
      </c>
      <c r="G2694" s="152" t="s">
        <v>2276</v>
      </c>
      <c r="H2694" s="204" t="s">
        <v>523</v>
      </c>
      <c r="I2694" s="204">
        <v>2009</v>
      </c>
      <c r="J2694" s="204" t="s">
        <v>2276</v>
      </c>
      <c r="K2694" s="204" t="s">
        <v>2276</v>
      </c>
      <c r="L2694" s="204" t="s">
        <v>2276</v>
      </c>
      <c r="M2694" s="204" t="s">
        <v>2276</v>
      </c>
      <c r="N2694" s="204" t="s">
        <v>2276</v>
      </c>
      <c r="O2694" s="204" t="s">
        <v>2276</v>
      </c>
      <c r="P2694" s="204" t="s">
        <v>2276</v>
      </c>
      <c r="Q2694" s="204" t="s">
        <v>2276</v>
      </c>
      <c r="R2694" s="204" t="s">
        <v>2276</v>
      </c>
      <c r="S2694" s="204" t="s">
        <v>2276</v>
      </c>
      <c r="T2694" s="21">
        <f>1020*0.004</f>
        <v>4.08</v>
      </c>
      <c r="U2694" s="204" t="s">
        <v>2276</v>
      </c>
      <c r="V2694" s="204" t="s">
        <v>2276</v>
      </c>
      <c r="W2694" s="204" t="s">
        <v>2276</v>
      </c>
      <c r="X2694" s="21">
        <f>T2694/'Record info'!K$1130</f>
        <v>6.0471320586927529E-4</v>
      </c>
      <c r="Y2694" s="204" t="s">
        <v>2276</v>
      </c>
      <c r="Z2694" s="204" t="s">
        <v>68</v>
      </c>
      <c r="AA2694" s="204" t="s">
        <v>86</v>
      </c>
      <c r="AB2694" s="204" t="s">
        <v>76</v>
      </c>
      <c r="AC2694" s="204"/>
      <c r="AD2694" s="204"/>
    </row>
    <row r="2695" spans="1:30" ht="29" customHeight="1">
      <c r="A2695" s="19" t="s">
        <v>7381</v>
      </c>
      <c r="B2695" s="19" t="s">
        <v>7469</v>
      </c>
      <c r="C2695" s="204" t="s">
        <v>24</v>
      </c>
      <c r="D2695" s="204" t="s">
        <v>1242</v>
      </c>
      <c r="E2695" s="204" t="s">
        <v>3209</v>
      </c>
      <c r="F2695" s="152" t="s">
        <v>2276</v>
      </c>
      <c r="G2695" s="152" t="s">
        <v>2276</v>
      </c>
      <c r="H2695" s="204" t="s">
        <v>523</v>
      </c>
      <c r="I2695" s="204">
        <v>2009</v>
      </c>
      <c r="J2695" s="204" t="s">
        <v>2276</v>
      </c>
      <c r="K2695" s="204" t="s">
        <v>2276</v>
      </c>
      <c r="L2695" s="204" t="s">
        <v>2276</v>
      </c>
      <c r="M2695" s="204" t="s">
        <v>2276</v>
      </c>
      <c r="N2695" s="204" t="s">
        <v>2276</v>
      </c>
      <c r="O2695" s="204" t="s">
        <v>2276</v>
      </c>
      <c r="P2695" s="204" t="s">
        <v>2276</v>
      </c>
      <c r="Q2695" s="204" t="s">
        <v>2276</v>
      </c>
      <c r="R2695" s="204" t="s">
        <v>2276</v>
      </c>
      <c r="S2695" s="204" t="s">
        <v>2276</v>
      </c>
      <c r="T2695" s="21">
        <f>1020*0.004</f>
        <v>4.08</v>
      </c>
      <c r="U2695" s="204" t="s">
        <v>2276</v>
      </c>
      <c r="V2695" s="204" t="s">
        <v>2276</v>
      </c>
      <c r="W2695" s="204" t="s">
        <v>2276</v>
      </c>
      <c r="X2695" s="21">
        <f>T2695/'Record info'!K$1131</f>
        <v>8.0568720379146919E-4</v>
      </c>
      <c r="Y2695" s="204" t="s">
        <v>2276</v>
      </c>
      <c r="Z2695" s="204" t="s">
        <v>68</v>
      </c>
      <c r="AA2695" s="204" t="s">
        <v>86</v>
      </c>
      <c r="AB2695" s="204" t="s">
        <v>76</v>
      </c>
      <c r="AC2695" s="204"/>
      <c r="AD2695" s="204"/>
    </row>
    <row r="2696" spans="1:30" ht="29" customHeight="1">
      <c r="A2696" s="19" t="s">
        <v>7382</v>
      </c>
      <c r="B2696" s="19" t="s">
        <v>7470</v>
      </c>
      <c r="C2696" s="204" t="s">
        <v>24</v>
      </c>
      <c r="D2696" s="204" t="s">
        <v>1242</v>
      </c>
      <c r="E2696" s="204" t="s">
        <v>3209</v>
      </c>
      <c r="F2696" s="152" t="s">
        <v>2276</v>
      </c>
      <c r="G2696" s="152" t="s">
        <v>2276</v>
      </c>
      <c r="H2696" s="204" t="s">
        <v>524</v>
      </c>
      <c r="I2696" s="204">
        <v>2009</v>
      </c>
      <c r="J2696" s="21">
        <v>0</v>
      </c>
      <c r="K2696" s="21">
        <v>0</v>
      </c>
      <c r="L2696" s="21">
        <v>0</v>
      </c>
      <c r="M2696" s="21">
        <v>0</v>
      </c>
      <c r="N2696" s="21">
        <v>0</v>
      </c>
      <c r="O2696" s="21">
        <v>0</v>
      </c>
      <c r="P2696" s="21">
        <v>0</v>
      </c>
      <c r="Q2696" s="21">
        <v>0</v>
      </c>
      <c r="R2696" s="21">
        <v>0</v>
      </c>
      <c r="S2696" s="21">
        <v>0</v>
      </c>
      <c r="T2696" s="21">
        <v>0</v>
      </c>
      <c r="U2696" s="21">
        <v>0</v>
      </c>
      <c r="V2696" s="21">
        <v>0</v>
      </c>
      <c r="W2696" s="21">
        <v>0</v>
      </c>
      <c r="X2696" s="21">
        <f>T2696/'Record info'!K$1132</f>
        <v>0</v>
      </c>
      <c r="Y2696" s="204" t="s">
        <v>2276</v>
      </c>
      <c r="Z2696" s="204" t="s">
        <v>68</v>
      </c>
      <c r="AA2696" s="204" t="s">
        <v>86</v>
      </c>
      <c r="AB2696" s="204" t="s">
        <v>76</v>
      </c>
      <c r="AC2696" s="204"/>
      <c r="AD2696" s="204"/>
    </row>
    <row r="2697" spans="1:30" ht="29" customHeight="1">
      <c r="A2697" s="19" t="s">
        <v>7383</v>
      </c>
      <c r="B2697" s="19" t="s">
        <v>7471</v>
      </c>
      <c r="C2697" s="204" t="s">
        <v>24</v>
      </c>
      <c r="D2697" s="204" t="s">
        <v>1242</v>
      </c>
      <c r="E2697" s="204" t="s">
        <v>3209</v>
      </c>
      <c r="F2697" s="152" t="s">
        <v>2276</v>
      </c>
      <c r="G2697" s="152" t="s">
        <v>2276</v>
      </c>
      <c r="H2697" s="204" t="s">
        <v>524</v>
      </c>
      <c r="I2697" s="204">
        <v>2009</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info'!K$1133</f>
        <v>0</v>
      </c>
      <c r="Y2697" s="204" t="s">
        <v>2276</v>
      </c>
      <c r="Z2697" s="204" t="s">
        <v>68</v>
      </c>
      <c r="AA2697" s="204" t="s">
        <v>86</v>
      </c>
      <c r="AB2697" s="204" t="s">
        <v>76</v>
      </c>
      <c r="AC2697" s="204"/>
      <c r="AD2697" s="204"/>
    </row>
    <row r="2698" spans="1:30" ht="29" customHeight="1">
      <c r="A2698" s="19" t="s">
        <v>7384</v>
      </c>
      <c r="B2698" s="19" t="s">
        <v>7472</v>
      </c>
      <c r="C2698" s="204" t="s">
        <v>24</v>
      </c>
      <c r="D2698" s="204" t="s">
        <v>1242</v>
      </c>
      <c r="E2698" s="204" t="s">
        <v>3209</v>
      </c>
      <c r="F2698" s="152" t="s">
        <v>2276</v>
      </c>
      <c r="G2698" s="152" t="s">
        <v>2276</v>
      </c>
      <c r="H2698" s="204" t="s">
        <v>524</v>
      </c>
      <c r="I2698" s="204">
        <v>2009</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info'!K$1134</f>
        <v>0</v>
      </c>
      <c r="Y2698" s="204" t="s">
        <v>2276</v>
      </c>
      <c r="Z2698" s="204" t="s">
        <v>68</v>
      </c>
      <c r="AA2698" s="204" t="s">
        <v>86</v>
      </c>
      <c r="AB2698" s="204" t="s">
        <v>76</v>
      </c>
      <c r="AC2698" s="204"/>
      <c r="AD2698" s="204"/>
    </row>
    <row r="2699" spans="1:30" ht="29" customHeight="1">
      <c r="A2699" s="19" t="s">
        <v>7385</v>
      </c>
      <c r="B2699" s="19" t="s">
        <v>7473</v>
      </c>
      <c r="C2699" s="204" t="s">
        <v>24</v>
      </c>
      <c r="D2699" s="204" t="s">
        <v>1242</v>
      </c>
      <c r="E2699" s="204" t="s">
        <v>3209</v>
      </c>
      <c r="F2699" s="152" t="s">
        <v>2276</v>
      </c>
      <c r="G2699" s="152" t="s">
        <v>2276</v>
      </c>
      <c r="H2699" s="204" t="s">
        <v>523</v>
      </c>
      <c r="I2699" s="204">
        <v>2009</v>
      </c>
      <c r="J2699" s="204" t="s">
        <v>2276</v>
      </c>
      <c r="K2699" s="204" t="s">
        <v>2276</v>
      </c>
      <c r="L2699" s="204" t="s">
        <v>2276</v>
      </c>
      <c r="M2699" s="204" t="s">
        <v>2276</v>
      </c>
      <c r="N2699" s="204" t="s">
        <v>2276</v>
      </c>
      <c r="O2699" s="204" t="s">
        <v>2276</v>
      </c>
      <c r="P2699" s="204" t="s">
        <v>2276</v>
      </c>
      <c r="Q2699" s="204" t="s">
        <v>2276</v>
      </c>
      <c r="R2699" s="204" t="s">
        <v>2276</v>
      </c>
      <c r="S2699" s="204" t="s">
        <v>2276</v>
      </c>
      <c r="T2699" s="21">
        <f>1020*0.035</f>
        <v>35.700000000000003</v>
      </c>
      <c r="U2699" s="204" t="s">
        <v>2276</v>
      </c>
      <c r="V2699" s="204" t="s">
        <v>2276</v>
      </c>
      <c r="W2699" s="204" t="s">
        <v>2276</v>
      </c>
      <c r="X2699" s="21">
        <f>T2699/'Record info'!K$1135</f>
        <v>5.8862324814509485E-3</v>
      </c>
      <c r="Y2699" s="204" t="s">
        <v>2276</v>
      </c>
      <c r="Z2699" s="204" t="s">
        <v>68</v>
      </c>
      <c r="AA2699" s="204" t="s">
        <v>86</v>
      </c>
      <c r="AB2699" s="204" t="s">
        <v>76</v>
      </c>
      <c r="AC2699" s="204"/>
      <c r="AD2699" s="204"/>
    </row>
    <row r="2700" spans="1:30" ht="29" customHeight="1">
      <c r="A2700" s="19" t="s">
        <v>7386</v>
      </c>
      <c r="B2700" s="19" t="s">
        <v>7474</v>
      </c>
      <c r="C2700" s="204" t="s">
        <v>24</v>
      </c>
      <c r="D2700" s="204" t="s">
        <v>1242</v>
      </c>
      <c r="E2700" s="204" t="s">
        <v>3209</v>
      </c>
      <c r="F2700" s="152" t="s">
        <v>2276</v>
      </c>
      <c r="G2700" s="152" t="s">
        <v>2276</v>
      </c>
      <c r="H2700" s="204" t="s">
        <v>523</v>
      </c>
      <c r="I2700" s="204">
        <v>2009</v>
      </c>
      <c r="J2700" s="204" t="s">
        <v>2276</v>
      </c>
      <c r="K2700" s="204" t="s">
        <v>2276</v>
      </c>
      <c r="L2700" s="204" t="s">
        <v>2276</v>
      </c>
      <c r="M2700" s="204" t="s">
        <v>2276</v>
      </c>
      <c r="N2700" s="204" t="s">
        <v>2276</v>
      </c>
      <c r="O2700" s="204" t="s">
        <v>2276</v>
      </c>
      <c r="P2700" s="204" t="s">
        <v>2276</v>
      </c>
      <c r="Q2700" s="204" t="s">
        <v>2276</v>
      </c>
      <c r="R2700" s="204" t="s">
        <v>2276</v>
      </c>
      <c r="S2700" s="204" t="s">
        <v>2276</v>
      </c>
      <c r="T2700" s="21">
        <f>1020*0.079</f>
        <v>80.58</v>
      </c>
      <c r="U2700" s="204" t="s">
        <v>2276</v>
      </c>
      <c r="V2700" s="204" t="s">
        <v>2276</v>
      </c>
      <c r="W2700" s="204" t="s">
        <v>2276</v>
      </c>
      <c r="X2700" s="21">
        <f>T2700/'Record info'!K$1136</f>
        <v>1.207191011235955E-2</v>
      </c>
      <c r="Y2700" s="204" t="s">
        <v>2276</v>
      </c>
      <c r="Z2700" s="204" t="s">
        <v>68</v>
      </c>
      <c r="AA2700" s="204" t="s">
        <v>86</v>
      </c>
      <c r="AB2700" s="204" t="s">
        <v>76</v>
      </c>
      <c r="AC2700" s="204"/>
      <c r="AD2700" s="204"/>
    </row>
    <row r="2701" spans="1:30" ht="29" customHeight="1">
      <c r="A2701" s="19" t="s">
        <v>7387</v>
      </c>
      <c r="B2701" s="19" t="s">
        <v>7475</v>
      </c>
      <c r="C2701" s="204" t="s">
        <v>24</v>
      </c>
      <c r="D2701" s="204" t="s">
        <v>1242</v>
      </c>
      <c r="E2701" s="204" t="s">
        <v>3209</v>
      </c>
      <c r="F2701" s="152" t="s">
        <v>2276</v>
      </c>
      <c r="G2701" s="152" t="s">
        <v>2276</v>
      </c>
      <c r="H2701" s="204" t="s">
        <v>523</v>
      </c>
      <c r="I2701" s="204">
        <v>2009</v>
      </c>
      <c r="J2701" s="204" t="s">
        <v>2276</v>
      </c>
      <c r="K2701" s="204" t="s">
        <v>2276</v>
      </c>
      <c r="L2701" s="204" t="s">
        <v>2276</v>
      </c>
      <c r="M2701" s="204" t="s">
        <v>2276</v>
      </c>
      <c r="N2701" s="204" t="s">
        <v>2276</v>
      </c>
      <c r="O2701" s="204" t="s">
        <v>2276</v>
      </c>
      <c r="P2701" s="204" t="s">
        <v>2276</v>
      </c>
      <c r="Q2701" s="204" t="s">
        <v>2276</v>
      </c>
      <c r="R2701" s="204" t="s">
        <v>2276</v>
      </c>
      <c r="S2701" s="204" t="s">
        <v>2276</v>
      </c>
      <c r="T2701" s="21">
        <f>1020*0.132</f>
        <v>134.64000000000001</v>
      </c>
      <c r="U2701" s="204" t="s">
        <v>2276</v>
      </c>
      <c r="V2701" s="204" t="s">
        <v>2276</v>
      </c>
      <c r="W2701" s="204" t="s">
        <v>2276</v>
      </c>
      <c r="X2701" s="21">
        <f>T2701/'Record info'!K$1137</f>
        <v>2.4400144980065243E-2</v>
      </c>
      <c r="Y2701" s="204" t="s">
        <v>2276</v>
      </c>
      <c r="Z2701" s="204" t="s">
        <v>68</v>
      </c>
      <c r="AA2701" s="204" t="s">
        <v>86</v>
      </c>
      <c r="AB2701" s="204" t="s">
        <v>76</v>
      </c>
      <c r="AC2701" s="204"/>
      <c r="AD2701" s="204"/>
    </row>
    <row r="2702" spans="1:30" ht="29" customHeight="1">
      <c r="A2702" s="19" t="s">
        <v>7388</v>
      </c>
      <c r="B2702" s="19" t="s">
        <v>7476</v>
      </c>
      <c r="C2702" s="204" t="s">
        <v>24</v>
      </c>
      <c r="D2702" s="204" t="s">
        <v>1242</v>
      </c>
      <c r="E2702" s="204" t="s">
        <v>3209</v>
      </c>
      <c r="F2702" s="152" t="s">
        <v>2276</v>
      </c>
      <c r="G2702" s="152" t="s">
        <v>2276</v>
      </c>
      <c r="H2702" s="204" t="s">
        <v>523</v>
      </c>
      <c r="I2702" s="204">
        <v>2009</v>
      </c>
      <c r="J2702" s="204" t="s">
        <v>2276</v>
      </c>
      <c r="K2702" s="204" t="s">
        <v>2276</v>
      </c>
      <c r="L2702" s="204" t="s">
        <v>2276</v>
      </c>
      <c r="M2702" s="204" t="s">
        <v>2276</v>
      </c>
      <c r="N2702" s="204" t="s">
        <v>2276</v>
      </c>
      <c r="O2702" s="204" t="s">
        <v>2276</v>
      </c>
      <c r="P2702" s="204" t="s">
        <v>2276</v>
      </c>
      <c r="Q2702" s="204" t="s">
        <v>2276</v>
      </c>
      <c r="R2702" s="204" t="s">
        <v>2276</v>
      </c>
      <c r="S2702" s="204" t="s">
        <v>2276</v>
      </c>
      <c r="T2702" s="21">
        <f>1020*0.057</f>
        <v>58.14</v>
      </c>
      <c r="U2702" s="204" t="s">
        <v>2276</v>
      </c>
      <c r="V2702" s="204" t="s">
        <v>2276</v>
      </c>
      <c r="W2702" s="204" t="s">
        <v>2276</v>
      </c>
      <c r="X2702" s="21">
        <f>T2702/'Record info'!K$1138</f>
        <v>1.473017481631619E-2</v>
      </c>
      <c r="Y2702" s="204" t="s">
        <v>2276</v>
      </c>
      <c r="Z2702" s="204" t="s">
        <v>68</v>
      </c>
      <c r="AA2702" s="204" t="s">
        <v>86</v>
      </c>
      <c r="AB2702" s="204" t="s">
        <v>76</v>
      </c>
      <c r="AC2702" s="204"/>
      <c r="AD2702" s="204"/>
    </row>
    <row r="2703" spans="1:30" ht="29" customHeight="1">
      <c r="A2703" s="19" t="s">
        <v>7389</v>
      </c>
      <c r="B2703" s="19" t="s">
        <v>7477</v>
      </c>
      <c r="C2703" s="204" t="s">
        <v>24</v>
      </c>
      <c r="D2703" s="204" t="s">
        <v>1242</v>
      </c>
      <c r="E2703" s="204" t="s">
        <v>3209</v>
      </c>
      <c r="F2703" s="152" t="s">
        <v>2276</v>
      </c>
      <c r="G2703" s="152" t="s">
        <v>2276</v>
      </c>
      <c r="H2703" s="204" t="s">
        <v>523</v>
      </c>
      <c r="I2703" s="204">
        <v>2009</v>
      </c>
      <c r="J2703" s="204" t="s">
        <v>2276</v>
      </c>
      <c r="K2703" s="204" t="s">
        <v>2276</v>
      </c>
      <c r="L2703" s="204" t="s">
        <v>2276</v>
      </c>
      <c r="M2703" s="204" t="s">
        <v>2276</v>
      </c>
      <c r="N2703" s="204" t="s">
        <v>2276</v>
      </c>
      <c r="O2703" s="204" t="s">
        <v>2276</v>
      </c>
      <c r="P2703" s="204" t="s">
        <v>2276</v>
      </c>
      <c r="Q2703" s="204" t="s">
        <v>2276</v>
      </c>
      <c r="R2703" s="204" t="s">
        <v>2276</v>
      </c>
      <c r="S2703" s="204" t="s">
        <v>2276</v>
      </c>
      <c r="T2703" s="21">
        <f>1020*0.024</f>
        <v>24.48</v>
      </c>
      <c r="U2703" s="204" t="s">
        <v>2276</v>
      </c>
      <c r="V2703" s="204" t="s">
        <v>2276</v>
      </c>
      <c r="W2703" s="204" t="s">
        <v>2276</v>
      </c>
      <c r="X2703" s="21">
        <f>T2703/'Record info'!K$1139</f>
        <v>8.7179487179487175E-3</v>
      </c>
      <c r="Y2703" s="204" t="s">
        <v>2276</v>
      </c>
      <c r="Z2703" s="204" t="s">
        <v>68</v>
      </c>
      <c r="AA2703" s="204" t="s">
        <v>86</v>
      </c>
      <c r="AB2703" s="204" t="s">
        <v>76</v>
      </c>
      <c r="AC2703" s="204"/>
      <c r="AD2703" s="204"/>
    </row>
    <row r="2704" spans="1:30" ht="29" customHeight="1">
      <c r="A2704" s="19" t="s">
        <v>7390</v>
      </c>
      <c r="B2704" s="19" t="s">
        <v>7478</v>
      </c>
      <c r="C2704" s="204" t="s">
        <v>24</v>
      </c>
      <c r="D2704" s="204" t="s">
        <v>1242</v>
      </c>
      <c r="E2704" s="204" t="s">
        <v>3209</v>
      </c>
      <c r="F2704" s="152" t="s">
        <v>2276</v>
      </c>
      <c r="G2704" s="152" t="s">
        <v>2276</v>
      </c>
      <c r="H2704" s="204" t="s">
        <v>523</v>
      </c>
      <c r="I2704" s="204">
        <v>2009</v>
      </c>
      <c r="J2704" s="204" t="s">
        <v>2276</v>
      </c>
      <c r="K2704" s="204" t="s">
        <v>2276</v>
      </c>
      <c r="L2704" s="204" t="s">
        <v>2276</v>
      </c>
      <c r="M2704" s="204" t="s">
        <v>2276</v>
      </c>
      <c r="N2704" s="204" t="s">
        <v>2276</v>
      </c>
      <c r="O2704" s="204" t="s">
        <v>2276</v>
      </c>
      <c r="P2704" s="204" t="s">
        <v>2276</v>
      </c>
      <c r="Q2704" s="204" t="s">
        <v>2276</v>
      </c>
      <c r="R2704" s="204" t="s">
        <v>2276</v>
      </c>
      <c r="S2704" s="204" t="s">
        <v>2276</v>
      </c>
      <c r="T2704" s="21">
        <f>1020*0.072</f>
        <v>73.44</v>
      </c>
      <c r="U2704" s="204" t="s">
        <v>2276</v>
      </c>
      <c r="V2704" s="204" t="s">
        <v>2276</v>
      </c>
      <c r="W2704" s="204" t="s">
        <v>2276</v>
      </c>
      <c r="X2704" s="21">
        <f>T2704/'Record info'!K$1140</f>
        <v>1.4667465548232474E-2</v>
      </c>
      <c r="Y2704" s="204" t="s">
        <v>2276</v>
      </c>
      <c r="Z2704" s="204" t="s">
        <v>68</v>
      </c>
      <c r="AA2704" s="204" t="s">
        <v>86</v>
      </c>
      <c r="AB2704" s="204" t="s">
        <v>76</v>
      </c>
      <c r="AC2704" s="204"/>
      <c r="AD2704" s="204"/>
    </row>
    <row r="2705" spans="1:30" ht="29" customHeight="1">
      <c r="A2705" s="19" t="s">
        <v>7391</v>
      </c>
      <c r="B2705" s="19" t="s">
        <v>7479</v>
      </c>
      <c r="C2705" s="204" t="s">
        <v>24</v>
      </c>
      <c r="D2705" s="204" t="s">
        <v>1242</v>
      </c>
      <c r="E2705" s="204" t="s">
        <v>3209</v>
      </c>
      <c r="F2705" s="152" t="s">
        <v>2276</v>
      </c>
      <c r="G2705" s="152" t="s">
        <v>2276</v>
      </c>
      <c r="H2705" s="204" t="s">
        <v>523</v>
      </c>
      <c r="I2705" s="204">
        <v>2009</v>
      </c>
      <c r="J2705" s="204" t="s">
        <v>2276</v>
      </c>
      <c r="K2705" s="204" t="s">
        <v>2276</v>
      </c>
      <c r="L2705" s="204" t="s">
        <v>2276</v>
      </c>
      <c r="M2705" s="204" t="s">
        <v>2276</v>
      </c>
      <c r="N2705" s="204" t="s">
        <v>2276</v>
      </c>
      <c r="O2705" s="204" t="s">
        <v>2276</v>
      </c>
      <c r="P2705" s="204" t="s">
        <v>2276</v>
      </c>
      <c r="Q2705" s="204" t="s">
        <v>2276</v>
      </c>
      <c r="R2705" s="204" t="s">
        <v>2276</v>
      </c>
      <c r="S2705" s="204" t="s">
        <v>2276</v>
      </c>
      <c r="T2705" s="21">
        <f>1020*0.068</f>
        <v>69.36</v>
      </c>
      <c r="U2705" s="204" t="s">
        <v>2276</v>
      </c>
      <c r="V2705" s="204" t="s">
        <v>2276</v>
      </c>
      <c r="W2705" s="204" t="s">
        <v>2276</v>
      </c>
      <c r="X2705" s="21">
        <f>T2705/'Record info'!K$1141</f>
        <v>5.908006814310051E-2</v>
      </c>
      <c r="Y2705" s="204" t="s">
        <v>2276</v>
      </c>
      <c r="Z2705" s="204" t="s">
        <v>68</v>
      </c>
      <c r="AA2705" s="204" t="s">
        <v>86</v>
      </c>
      <c r="AB2705" s="204" t="s">
        <v>76</v>
      </c>
      <c r="AC2705" s="204"/>
      <c r="AD2705" s="204"/>
    </row>
    <row r="2706" spans="1:30" ht="29" customHeight="1">
      <c r="A2706" s="19" t="s">
        <v>7392</v>
      </c>
      <c r="B2706" s="19" t="s">
        <v>7480</v>
      </c>
      <c r="C2706" s="204" t="s">
        <v>24</v>
      </c>
      <c r="D2706" s="204" t="s">
        <v>1242</v>
      </c>
      <c r="E2706" s="204" t="s">
        <v>3209</v>
      </c>
      <c r="F2706" s="152" t="s">
        <v>2276</v>
      </c>
      <c r="G2706" s="152" t="s">
        <v>2276</v>
      </c>
      <c r="H2706" s="204" t="s">
        <v>523</v>
      </c>
      <c r="I2706" s="204">
        <v>2009</v>
      </c>
      <c r="J2706" s="204" t="s">
        <v>2276</v>
      </c>
      <c r="K2706" s="204" t="s">
        <v>2276</v>
      </c>
      <c r="L2706" s="204" t="s">
        <v>2276</v>
      </c>
      <c r="M2706" s="204" t="s">
        <v>2276</v>
      </c>
      <c r="N2706" s="204" t="s">
        <v>2276</v>
      </c>
      <c r="O2706" s="204" t="s">
        <v>2276</v>
      </c>
      <c r="P2706" s="204" t="s">
        <v>2276</v>
      </c>
      <c r="Q2706" s="204" t="s">
        <v>2276</v>
      </c>
      <c r="R2706" s="204" t="s">
        <v>2276</v>
      </c>
      <c r="S2706" s="204" t="s">
        <v>2276</v>
      </c>
      <c r="T2706" s="21">
        <f>1020*0.075</f>
        <v>76.5</v>
      </c>
      <c r="U2706" s="204" t="s">
        <v>2276</v>
      </c>
      <c r="V2706" s="204" t="s">
        <v>2276</v>
      </c>
      <c r="W2706" s="204" t="s">
        <v>2276</v>
      </c>
      <c r="X2706" s="21">
        <f>T2706/'Record info'!K$1142</f>
        <v>1.7675600739371536E-2</v>
      </c>
      <c r="Y2706" s="204" t="s">
        <v>2276</v>
      </c>
      <c r="Z2706" s="204" t="s">
        <v>68</v>
      </c>
      <c r="AA2706" s="204" t="s">
        <v>86</v>
      </c>
      <c r="AB2706" s="204" t="s">
        <v>76</v>
      </c>
      <c r="AC2706" s="204"/>
      <c r="AD2706" s="204"/>
    </row>
    <row r="2707" spans="1:30" ht="29" customHeight="1">
      <c r="A2707" s="19" t="s">
        <v>7393</v>
      </c>
      <c r="B2707" s="19" t="s">
        <v>7481</v>
      </c>
      <c r="C2707" s="204" t="s">
        <v>24</v>
      </c>
      <c r="D2707" s="204" t="s">
        <v>1242</v>
      </c>
      <c r="E2707" s="204" t="s">
        <v>3209</v>
      </c>
      <c r="F2707" s="152" t="s">
        <v>2276</v>
      </c>
      <c r="G2707" s="152" t="s">
        <v>2276</v>
      </c>
      <c r="H2707" s="204" t="s">
        <v>523</v>
      </c>
      <c r="I2707" s="204">
        <v>2009</v>
      </c>
      <c r="J2707" s="204" t="s">
        <v>2276</v>
      </c>
      <c r="K2707" s="204" t="s">
        <v>2276</v>
      </c>
      <c r="L2707" s="204" t="s">
        <v>2276</v>
      </c>
      <c r="M2707" s="204" t="s">
        <v>2276</v>
      </c>
      <c r="N2707" s="204" t="s">
        <v>2276</v>
      </c>
      <c r="O2707" s="204" t="s">
        <v>2276</v>
      </c>
      <c r="P2707" s="204" t="s">
        <v>2276</v>
      </c>
      <c r="Q2707" s="204" t="s">
        <v>2276</v>
      </c>
      <c r="R2707" s="204" t="s">
        <v>2276</v>
      </c>
      <c r="S2707" s="204" t="s">
        <v>2276</v>
      </c>
      <c r="T2707" s="21">
        <f>1020*0.111</f>
        <v>113.22</v>
      </c>
      <c r="U2707" s="204" t="s">
        <v>2276</v>
      </c>
      <c r="V2707" s="204" t="s">
        <v>2276</v>
      </c>
      <c r="W2707" s="204" t="s">
        <v>2276</v>
      </c>
      <c r="X2707" s="21">
        <f>T2707/'Record info'!K$1143</f>
        <v>4.7273486430062628E-2</v>
      </c>
      <c r="Y2707" s="204" t="s">
        <v>2276</v>
      </c>
      <c r="Z2707" s="204" t="s">
        <v>68</v>
      </c>
      <c r="AA2707" s="204" t="s">
        <v>86</v>
      </c>
      <c r="AB2707" s="204" t="s">
        <v>76</v>
      </c>
      <c r="AC2707" s="204"/>
      <c r="AD2707" s="204"/>
    </row>
    <row r="2708" spans="1:30" ht="29" customHeight="1">
      <c r="A2708" s="19" t="s">
        <v>7394</v>
      </c>
      <c r="B2708" s="19" t="s">
        <v>7482</v>
      </c>
      <c r="C2708" s="204" t="s">
        <v>24</v>
      </c>
      <c r="D2708" s="204" t="s">
        <v>1242</v>
      </c>
      <c r="E2708" s="204" t="s">
        <v>3209</v>
      </c>
      <c r="F2708" s="152" t="s">
        <v>2276</v>
      </c>
      <c r="G2708" s="152" t="s">
        <v>2276</v>
      </c>
      <c r="H2708" s="204" t="s">
        <v>523</v>
      </c>
      <c r="I2708" s="204">
        <v>2009</v>
      </c>
      <c r="J2708" s="204" t="s">
        <v>2276</v>
      </c>
      <c r="K2708" s="204" t="s">
        <v>2276</v>
      </c>
      <c r="L2708" s="204" t="s">
        <v>2276</v>
      </c>
      <c r="M2708" s="204" t="s">
        <v>2276</v>
      </c>
      <c r="N2708" s="204" t="s">
        <v>2276</v>
      </c>
      <c r="O2708" s="204" t="s">
        <v>2276</v>
      </c>
      <c r="P2708" s="204" t="s">
        <v>2276</v>
      </c>
      <c r="Q2708" s="204" t="s">
        <v>2276</v>
      </c>
      <c r="R2708" s="204" t="s">
        <v>2276</v>
      </c>
      <c r="S2708" s="204" t="s">
        <v>2276</v>
      </c>
      <c r="T2708" s="21">
        <f>1020*0.106</f>
        <v>108.11999999999999</v>
      </c>
      <c r="U2708" s="204" t="s">
        <v>2276</v>
      </c>
      <c r="V2708" s="204" t="s">
        <v>2276</v>
      </c>
      <c r="W2708" s="204" t="s">
        <v>2276</v>
      </c>
      <c r="X2708" s="21">
        <f>T2708/'Record info'!K$1144</f>
        <v>4.0448933782267112E-2</v>
      </c>
      <c r="Y2708" s="204" t="s">
        <v>2276</v>
      </c>
      <c r="Z2708" s="204" t="s">
        <v>68</v>
      </c>
      <c r="AA2708" s="204" t="s">
        <v>86</v>
      </c>
      <c r="AB2708" s="204" t="s">
        <v>76</v>
      </c>
      <c r="AC2708" s="204"/>
      <c r="AD2708" s="204"/>
    </row>
    <row r="2709" spans="1:30" ht="29" customHeight="1">
      <c r="A2709" s="19" t="s">
        <v>7395</v>
      </c>
      <c r="B2709" s="19" t="s">
        <v>7485</v>
      </c>
      <c r="C2709" s="204" t="s">
        <v>24</v>
      </c>
      <c r="D2709" s="204" t="s">
        <v>1242</v>
      </c>
      <c r="E2709" s="204" t="s">
        <v>3209</v>
      </c>
      <c r="F2709" s="152" t="s">
        <v>2276</v>
      </c>
      <c r="G2709" s="152" t="s">
        <v>2276</v>
      </c>
      <c r="H2709" s="204" t="s">
        <v>523</v>
      </c>
      <c r="I2709" s="204">
        <v>2009</v>
      </c>
      <c r="J2709" s="204" t="s">
        <v>2276</v>
      </c>
      <c r="K2709" s="204" t="s">
        <v>2276</v>
      </c>
      <c r="L2709" s="204" t="s">
        <v>2276</v>
      </c>
      <c r="M2709" s="204" t="s">
        <v>2276</v>
      </c>
      <c r="N2709" s="204" t="s">
        <v>2276</v>
      </c>
      <c r="O2709" s="204" t="s">
        <v>2276</v>
      </c>
      <c r="P2709" s="204" t="s">
        <v>2276</v>
      </c>
      <c r="Q2709" s="204" t="s">
        <v>2276</v>
      </c>
      <c r="R2709" s="204" t="s">
        <v>2276</v>
      </c>
      <c r="S2709" s="204" t="s">
        <v>2276</v>
      </c>
      <c r="T2709" s="21">
        <f>1020*0.166</f>
        <v>169.32000000000002</v>
      </c>
      <c r="U2709" s="204" t="s">
        <v>2276</v>
      </c>
      <c r="V2709" s="204" t="s">
        <v>2276</v>
      </c>
      <c r="W2709" s="204" t="s">
        <v>2276</v>
      </c>
      <c r="X2709" s="21">
        <f>T2709/'Record info'!K$1145</f>
        <v>7.5086474501108655E-2</v>
      </c>
      <c r="Y2709" s="204" t="s">
        <v>2276</v>
      </c>
      <c r="Z2709" s="204" t="s">
        <v>68</v>
      </c>
      <c r="AA2709" s="204" t="s">
        <v>86</v>
      </c>
      <c r="AB2709" s="204" t="s">
        <v>76</v>
      </c>
      <c r="AC2709" s="204"/>
      <c r="AD2709" s="204"/>
    </row>
    <row r="2710" spans="1:30" s="122" customFormat="1" ht="29" customHeight="1">
      <c r="A2710" s="19" t="s">
        <v>7293</v>
      </c>
      <c r="B2710" s="19" t="s">
        <v>7483</v>
      </c>
      <c r="C2710" s="204" t="s">
        <v>24</v>
      </c>
      <c r="D2710" s="204" t="s">
        <v>1242</v>
      </c>
      <c r="E2710" s="204" t="s">
        <v>3209</v>
      </c>
      <c r="F2710" s="152" t="s">
        <v>2276</v>
      </c>
      <c r="G2710" s="152" t="s">
        <v>2276</v>
      </c>
      <c r="H2710" s="204" t="s">
        <v>523</v>
      </c>
      <c r="I2710" s="204">
        <v>2010</v>
      </c>
      <c r="J2710" s="204" t="s">
        <v>2276</v>
      </c>
      <c r="K2710" s="204" t="s">
        <v>2276</v>
      </c>
      <c r="L2710" s="204" t="s">
        <v>2276</v>
      </c>
      <c r="M2710" s="204" t="s">
        <v>2276</v>
      </c>
      <c r="N2710" s="204" t="s">
        <v>2276</v>
      </c>
      <c r="O2710" s="204" t="s">
        <v>2276</v>
      </c>
      <c r="P2710" s="204" t="s">
        <v>2276</v>
      </c>
      <c r="Q2710" s="204" t="s">
        <v>2276</v>
      </c>
      <c r="R2710" s="204" t="s">
        <v>2276</v>
      </c>
      <c r="S2710" s="204" t="s">
        <v>2276</v>
      </c>
      <c r="T2710" s="21">
        <f>2500*0.027</f>
        <v>67.5</v>
      </c>
      <c r="U2710" s="204" t="s">
        <v>2276</v>
      </c>
      <c r="V2710" s="204" t="s">
        <v>2276</v>
      </c>
      <c r="W2710" s="204" t="s">
        <v>2276</v>
      </c>
      <c r="X2710" s="21">
        <f>T2710/'Record info'!K$1128</f>
        <v>2.4107142857142858E-2</v>
      </c>
      <c r="Y2710" s="204" t="s">
        <v>2276</v>
      </c>
      <c r="Z2710" s="204" t="s">
        <v>68</v>
      </c>
      <c r="AA2710" s="204" t="s">
        <v>86</v>
      </c>
      <c r="AB2710" s="204" t="s">
        <v>76</v>
      </c>
      <c r="AC2710" s="204"/>
      <c r="AD2710" s="204"/>
    </row>
    <row r="2711" spans="1:30" s="122" customFormat="1" ht="29" customHeight="1">
      <c r="A2711" s="19" t="s">
        <v>7379</v>
      </c>
      <c r="B2711" s="19" t="s">
        <v>7486</v>
      </c>
      <c r="C2711" s="204" t="s">
        <v>24</v>
      </c>
      <c r="D2711" s="204" t="s">
        <v>1242</v>
      </c>
      <c r="E2711" s="204" t="s">
        <v>3209</v>
      </c>
      <c r="F2711" s="152" t="s">
        <v>2276</v>
      </c>
      <c r="G2711" s="152" t="s">
        <v>2276</v>
      </c>
      <c r="H2711" s="204" t="s">
        <v>523</v>
      </c>
      <c r="I2711" s="204">
        <v>2010</v>
      </c>
      <c r="J2711" s="204" t="s">
        <v>2276</v>
      </c>
      <c r="K2711" s="204" t="s">
        <v>2276</v>
      </c>
      <c r="L2711" s="204" t="s">
        <v>2276</v>
      </c>
      <c r="M2711" s="204" t="s">
        <v>2276</v>
      </c>
      <c r="N2711" s="204" t="s">
        <v>2276</v>
      </c>
      <c r="O2711" s="204" t="s">
        <v>2276</v>
      </c>
      <c r="P2711" s="204" t="s">
        <v>2276</v>
      </c>
      <c r="Q2711" s="204" t="s">
        <v>2276</v>
      </c>
      <c r="R2711" s="204" t="s">
        <v>2276</v>
      </c>
      <c r="S2711" s="204" t="s">
        <v>2276</v>
      </c>
      <c r="T2711" s="21">
        <f>2500*0.041</f>
        <v>102.5</v>
      </c>
      <c r="U2711" s="204" t="s">
        <v>2276</v>
      </c>
      <c r="V2711" s="204" t="s">
        <v>2276</v>
      </c>
      <c r="W2711" s="204" t="s">
        <v>2276</v>
      </c>
      <c r="X2711" s="21">
        <f>T2711/'Record info'!K$1129</f>
        <v>2.9160739687055477E-2</v>
      </c>
      <c r="Y2711" s="204" t="s">
        <v>2276</v>
      </c>
      <c r="Z2711" s="204" t="s">
        <v>68</v>
      </c>
      <c r="AA2711" s="204" t="s">
        <v>86</v>
      </c>
      <c r="AB2711" s="204" t="s">
        <v>76</v>
      </c>
      <c r="AC2711" s="204"/>
      <c r="AD2711" s="204"/>
    </row>
    <row r="2712" spans="1:30" s="122" customFormat="1" ht="29" customHeight="1">
      <c r="A2712" s="19" t="s">
        <v>7380</v>
      </c>
      <c r="B2712" s="19" t="s">
        <v>7487</v>
      </c>
      <c r="C2712" s="204" t="s">
        <v>24</v>
      </c>
      <c r="D2712" s="204" t="s">
        <v>1242</v>
      </c>
      <c r="E2712" s="204" t="s">
        <v>3209</v>
      </c>
      <c r="F2712" s="152" t="s">
        <v>2276</v>
      </c>
      <c r="G2712" s="152" t="s">
        <v>2276</v>
      </c>
      <c r="H2712" s="204" t="s">
        <v>523</v>
      </c>
      <c r="I2712" s="204">
        <v>2010</v>
      </c>
      <c r="J2712" s="204" t="s">
        <v>2276</v>
      </c>
      <c r="K2712" s="204" t="s">
        <v>2276</v>
      </c>
      <c r="L2712" s="204" t="s">
        <v>2276</v>
      </c>
      <c r="M2712" s="204" t="s">
        <v>2276</v>
      </c>
      <c r="N2712" s="204" t="s">
        <v>2276</v>
      </c>
      <c r="O2712" s="204" t="s">
        <v>2276</v>
      </c>
      <c r="P2712" s="204" t="s">
        <v>2276</v>
      </c>
      <c r="Q2712" s="204" t="s">
        <v>2276</v>
      </c>
      <c r="R2712" s="204" t="s">
        <v>2276</v>
      </c>
      <c r="S2712" s="204" t="s">
        <v>2276</v>
      </c>
      <c r="T2712" s="21">
        <f>2500*0.004</f>
        <v>10</v>
      </c>
      <c r="U2712" s="204" t="s">
        <v>2276</v>
      </c>
      <c r="V2712" s="204" t="s">
        <v>2276</v>
      </c>
      <c r="W2712" s="204" t="s">
        <v>2276</v>
      </c>
      <c r="X2712" s="21">
        <f>T2712/'Record info'!K$1130</f>
        <v>1.4821402104639098E-3</v>
      </c>
      <c r="Y2712" s="204" t="s">
        <v>2276</v>
      </c>
      <c r="Z2712" s="204" t="s">
        <v>68</v>
      </c>
      <c r="AA2712" s="204" t="s">
        <v>86</v>
      </c>
      <c r="AB2712" s="204" t="s">
        <v>76</v>
      </c>
      <c r="AC2712" s="204"/>
      <c r="AD2712" s="204"/>
    </row>
    <row r="2713" spans="1:30" s="122" customFormat="1" ht="29" customHeight="1">
      <c r="A2713" s="19" t="s">
        <v>7381</v>
      </c>
      <c r="B2713" s="19" t="s">
        <v>7488</v>
      </c>
      <c r="C2713" s="204" t="s">
        <v>24</v>
      </c>
      <c r="D2713" s="204" t="s">
        <v>1242</v>
      </c>
      <c r="E2713" s="204" t="s">
        <v>3209</v>
      </c>
      <c r="F2713" s="152" t="s">
        <v>2276</v>
      </c>
      <c r="G2713" s="152" t="s">
        <v>2276</v>
      </c>
      <c r="H2713" s="204" t="s">
        <v>523</v>
      </c>
      <c r="I2713" s="204">
        <v>2010</v>
      </c>
      <c r="J2713" s="204" t="s">
        <v>2276</v>
      </c>
      <c r="K2713" s="204" t="s">
        <v>2276</v>
      </c>
      <c r="L2713" s="204" t="s">
        <v>2276</v>
      </c>
      <c r="M2713" s="204" t="s">
        <v>2276</v>
      </c>
      <c r="N2713" s="204" t="s">
        <v>2276</v>
      </c>
      <c r="O2713" s="204" t="s">
        <v>2276</v>
      </c>
      <c r="P2713" s="204" t="s">
        <v>2276</v>
      </c>
      <c r="Q2713" s="204" t="s">
        <v>2276</v>
      </c>
      <c r="R2713" s="204" t="s">
        <v>2276</v>
      </c>
      <c r="S2713" s="204" t="s">
        <v>2276</v>
      </c>
      <c r="T2713" s="21">
        <f>2500*0.004</f>
        <v>10</v>
      </c>
      <c r="U2713" s="204" t="s">
        <v>2276</v>
      </c>
      <c r="V2713" s="204" t="s">
        <v>2276</v>
      </c>
      <c r="W2713" s="204" t="s">
        <v>2276</v>
      </c>
      <c r="X2713" s="21">
        <f>T2713/'Record info'!K$1131</f>
        <v>1.9747235387045812E-3</v>
      </c>
      <c r="Y2713" s="204" t="s">
        <v>2276</v>
      </c>
      <c r="Z2713" s="204" t="s">
        <v>68</v>
      </c>
      <c r="AA2713" s="204" t="s">
        <v>86</v>
      </c>
      <c r="AB2713" s="204" t="s">
        <v>76</v>
      </c>
      <c r="AC2713" s="204"/>
      <c r="AD2713" s="204"/>
    </row>
    <row r="2714" spans="1:30" s="122" customFormat="1" ht="29" customHeight="1">
      <c r="A2714" s="19" t="s">
        <v>7382</v>
      </c>
      <c r="B2714" s="19" t="s">
        <v>7489</v>
      </c>
      <c r="C2714" s="204" t="s">
        <v>24</v>
      </c>
      <c r="D2714" s="204" t="s">
        <v>1242</v>
      </c>
      <c r="E2714" s="204" t="s">
        <v>3209</v>
      </c>
      <c r="F2714" s="152" t="s">
        <v>2276</v>
      </c>
      <c r="G2714" s="152" t="s">
        <v>2276</v>
      </c>
      <c r="H2714" s="204" t="s">
        <v>524</v>
      </c>
      <c r="I2714" s="204">
        <v>2010</v>
      </c>
      <c r="J2714" s="21">
        <v>0</v>
      </c>
      <c r="K2714" s="21">
        <v>0</v>
      </c>
      <c r="L2714" s="21">
        <v>0</v>
      </c>
      <c r="M2714" s="21">
        <v>0</v>
      </c>
      <c r="N2714" s="21">
        <v>0</v>
      </c>
      <c r="O2714" s="21">
        <v>0</v>
      </c>
      <c r="P2714" s="21">
        <v>0</v>
      </c>
      <c r="Q2714" s="21">
        <v>0</v>
      </c>
      <c r="R2714" s="21">
        <v>0</v>
      </c>
      <c r="S2714" s="21">
        <v>0</v>
      </c>
      <c r="T2714" s="21">
        <v>0</v>
      </c>
      <c r="U2714" s="21">
        <v>0</v>
      </c>
      <c r="V2714" s="21">
        <v>0</v>
      </c>
      <c r="W2714" s="21">
        <v>0</v>
      </c>
      <c r="X2714" s="21">
        <f>T2714/'Record info'!K$1132</f>
        <v>0</v>
      </c>
      <c r="Y2714" s="204" t="s">
        <v>2276</v>
      </c>
      <c r="Z2714" s="204" t="s">
        <v>68</v>
      </c>
      <c r="AA2714" s="204" t="s">
        <v>86</v>
      </c>
      <c r="AB2714" s="204" t="s">
        <v>76</v>
      </c>
      <c r="AC2714" s="204"/>
      <c r="AD2714" s="204"/>
    </row>
    <row r="2715" spans="1:30" s="122" customFormat="1" ht="29" customHeight="1">
      <c r="A2715" s="19" t="s">
        <v>7383</v>
      </c>
      <c r="B2715" s="19" t="s">
        <v>7490</v>
      </c>
      <c r="C2715" s="204" t="s">
        <v>24</v>
      </c>
      <c r="D2715" s="204" t="s">
        <v>1242</v>
      </c>
      <c r="E2715" s="204" t="s">
        <v>3209</v>
      </c>
      <c r="F2715" s="152" t="s">
        <v>2276</v>
      </c>
      <c r="G2715" s="152" t="s">
        <v>2276</v>
      </c>
      <c r="H2715" s="204" t="s">
        <v>524</v>
      </c>
      <c r="I2715" s="204">
        <v>2010</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info'!K$1133</f>
        <v>0</v>
      </c>
      <c r="Y2715" s="204" t="s">
        <v>2276</v>
      </c>
      <c r="Z2715" s="204" t="s">
        <v>68</v>
      </c>
      <c r="AA2715" s="204" t="s">
        <v>86</v>
      </c>
      <c r="AB2715" s="204" t="s">
        <v>76</v>
      </c>
      <c r="AC2715" s="204"/>
      <c r="AD2715" s="204"/>
    </row>
    <row r="2716" spans="1:30" s="122" customFormat="1" ht="29" customHeight="1">
      <c r="A2716" s="19" t="s">
        <v>7384</v>
      </c>
      <c r="B2716" s="19" t="s">
        <v>7491</v>
      </c>
      <c r="C2716" s="204" t="s">
        <v>24</v>
      </c>
      <c r="D2716" s="204" t="s">
        <v>1242</v>
      </c>
      <c r="E2716" s="204" t="s">
        <v>3209</v>
      </c>
      <c r="F2716" s="152" t="s">
        <v>2276</v>
      </c>
      <c r="G2716" s="152" t="s">
        <v>2276</v>
      </c>
      <c r="H2716" s="204" t="s">
        <v>524</v>
      </c>
      <c r="I2716" s="204">
        <v>2010</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info'!K$1134</f>
        <v>0</v>
      </c>
      <c r="Y2716" s="204" t="s">
        <v>2276</v>
      </c>
      <c r="Z2716" s="204" t="s">
        <v>68</v>
      </c>
      <c r="AA2716" s="204" t="s">
        <v>86</v>
      </c>
      <c r="AB2716" s="204" t="s">
        <v>76</v>
      </c>
      <c r="AC2716" s="204"/>
      <c r="AD2716" s="204"/>
    </row>
    <row r="2717" spans="1:30" s="122" customFormat="1" ht="29" customHeight="1">
      <c r="A2717" s="19" t="s">
        <v>7385</v>
      </c>
      <c r="B2717" s="19" t="s">
        <v>7492</v>
      </c>
      <c r="C2717" s="204" t="s">
        <v>24</v>
      </c>
      <c r="D2717" s="204" t="s">
        <v>1242</v>
      </c>
      <c r="E2717" s="204" t="s">
        <v>3209</v>
      </c>
      <c r="F2717" s="152" t="s">
        <v>2276</v>
      </c>
      <c r="G2717" s="152" t="s">
        <v>2276</v>
      </c>
      <c r="H2717" s="204" t="s">
        <v>523</v>
      </c>
      <c r="I2717" s="204">
        <v>2010</v>
      </c>
      <c r="J2717" s="204" t="s">
        <v>2276</v>
      </c>
      <c r="K2717" s="204" t="s">
        <v>2276</v>
      </c>
      <c r="L2717" s="204" t="s">
        <v>2276</v>
      </c>
      <c r="M2717" s="204" t="s">
        <v>2276</v>
      </c>
      <c r="N2717" s="204" t="s">
        <v>2276</v>
      </c>
      <c r="O2717" s="204" t="s">
        <v>2276</v>
      </c>
      <c r="P2717" s="204" t="s">
        <v>2276</v>
      </c>
      <c r="Q2717" s="204" t="s">
        <v>2276</v>
      </c>
      <c r="R2717" s="204" t="s">
        <v>2276</v>
      </c>
      <c r="S2717" s="204" t="s">
        <v>2276</v>
      </c>
      <c r="T2717" s="21">
        <f>2500*0.035</f>
        <v>87.500000000000014</v>
      </c>
      <c r="U2717" s="204" t="s">
        <v>2276</v>
      </c>
      <c r="V2717" s="204" t="s">
        <v>2276</v>
      </c>
      <c r="W2717" s="204" t="s">
        <v>2276</v>
      </c>
      <c r="X2717" s="21">
        <f>T2717/'Record info'!K$1135</f>
        <v>1.442704039571311E-2</v>
      </c>
      <c r="Y2717" s="204" t="s">
        <v>2276</v>
      </c>
      <c r="Z2717" s="204" t="s">
        <v>68</v>
      </c>
      <c r="AA2717" s="204" t="s">
        <v>86</v>
      </c>
      <c r="AB2717" s="204" t="s">
        <v>76</v>
      </c>
      <c r="AC2717" s="204"/>
      <c r="AD2717" s="204"/>
    </row>
    <row r="2718" spans="1:30" s="122" customFormat="1" ht="29" customHeight="1">
      <c r="A2718" s="19" t="s">
        <v>7386</v>
      </c>
      <c r="B2718" s="19" t="s">
        <v>7493</v>
      </c>
      <c r="C2718" s="204" t="s">
        <v>24</v>
      </c>
      <c r="D2718" s="204" t="s">
        <v>1242</v>
      </c>
      <c r="E2718" s="204" t="s">
        <v>3209</v>
      </c>
      <c r="F2718" s="152" t="s">
        <v>2276</v>
      </c>
      <c r="G2718" s="152" t="s">
        <v>2276</v>
      </c>
      <c r="H2718" s="204" t="s">
        <v>523</v>
      </c>
      <c r="I2718" s="204">
        <v>2010</v>
      </c>
      <c r="J2718" s="204" t="s">
        <v>2276</v>
      </c>
      <c r="K2718" s="204" t="s">
        <v>2276</v>
      </c>
      <c r="L2718" s="204" t="s">
        <v>2276</v>
      </c>
      <c r="M2718" s="204" t="s">
        <v>2276</v>
      </c>
      <c r="N2718" s="204" t="s">
        <v>2276</v>
      </c>
      <c r="O2718" s="204" t="s">
        <v>2276</v>
      </c>
      <c r="P2718" s="204" t="s">
        <v>2276</v>
      </c>
      <c r="Q2718" s="204" t="s">
        <v>2276</v>
      </c>
      <c r="R2718" s="204" t="s">
        <v>2276</v>
      </c>
      <c r="S2718" s="204" t="s">
        <v>2276</v>
      </c>
      <c r="T2718" s="21">
        <f>2500*0.079</f>
        <v>197.5</v>
      </c>
      <c r="U2718" s="204" t="s">
        <v>2276</v>
      </c>
      <c r="V2718" s="204" t="s">
        <v>2276</v>
      </c>
      <c r="W2718" s="204" t="s">
        <v>2276</v>
      </c>
      <c r="X2718" s="21">
        <f>T2718/'Record info'!K$1136</f>
        <v>2.9588014981273409E-2</v>
      </c>
      <c r="Y2718" s="204" t="s">
        <v>2276</v>
      </c>
      <c r="Z2718" s="204" t="s">
        <v>68</v>
      </c>
      <c r="AA2718" s="204" t="s">
        <v>86</v>
      </c>
      <c r="AB2718" s="204" t="s">
        <v>76</v>
      </c>
      <c r="AC2718" s="204"/>
      <c r="AD2718" s="204"/>
    </row>
    <row r="2719" spans="1:30" s="122" customFormat="1" ht="29" customHeight="1">
      <c r="A2719" s="19" t="s">
        <v>7387</v>
      </c>
      <c r="B2719" s="19" t="s">
        <v>7494</v>
      </c>
      <c r="C2719" s="204" t="s">
        <v>24</v>
      </c>
      <c r="D2719" s="204" t="s">
        <v>1242</v>
      </c>
      <c r="E2719" s="204" t="s">
        <v>3209</v>
      </c>
      <c r="F2719" s="152" t="s">
        <v>2276</v>
      </c>
      <c r="G2719" s="152" t="s">
        <v>2276</v>
      </c>
      <c r="H2719" s="204" t="s">
        <v>523</v>
      </c>
      <c r="I2719" s="204">
        <v>2010</v>
      </c>
      <c r="J2719" s="204" t="s">
        <v>2276</v>
      </c>
      <c r="K2719" s="204" t="s">
        <v>2276</v>
      </c>
      <c r="L2719" s="204" t="s">
        <v>2276</v>
      </c>
      <c r="M2719" s="204" t="s">
        <v>2276</v>
      </c>
      <c r="N2719" s="204" t="s">
        <v>2276</v>
      </c>
      <c r="O2719" s="204" t="s">
        <v>2276</v>
      </c>
      <c r="P2719" s="204" t="s">
        <v>2276</v>
      </c>
      <c r="Q2719" s="204" t="s">
        <v>2276</v>
      </c>
      <c r="R2719" s="204" t="s">
        <v>2276</v>
      </c>
      <c r="S2719" s="204" t="s">
        <v>2276</v>
      </c>
      <c r="T2719" s="21">
        <f>2500*0.132</f>
        <v>330</v>
      </c>
      <c r="U2719" s="204" t="s">
        <v>2276</v>
      </c>
      <c r="V2719" s="204" t="s">
        <v>2276</v>
      </c>
      <c r="W2719" s="204" t="s">
        <v>2276</v>
      </c>
      <c r="X2719" s="21">
        <f>T2719/'Record info'!K$1137</f>
        <v>5.9804276911924609E-2</v>
      </c>
      <c r="Y2719" s="204" t="s">
        <v>2276</v>
      </c>
      <c r="Z2719" s="204" t="s">
        <v>68</v>
      </c>
      <c r="AA2719" s="204" t="s">
        <v>86</v>
      </c>
      <c r="AB2719" s="204" t="s">
        <v>76</v>
      </c>
      <c r="AC2719" s="204"/>
      <c r="AD2719" s="204"/>
    </row>
    <row r="2720" spans="1:30" s="122" customFormat="1" ht="29" customHeight="1">
      <c r="A2720" s="19" t="s">
        <v>7388</v>
      </c>
      <c r="B2720" s="19" t="s">
        <v>7495</v>
      </c>
      <c r="C2720" s="204" t="s">
        <v>24</v>
      </c>
      <c r="D2720" s="204" t="s">
        <v>1242</v>
      </c>
      <c r="E2720" s="204" t="s">
        <v>3209</v>
      </c>
      <c r="F2720" s="152" t="s">
        <v>2276</v>
      </c>
      <c r="G2720" s="152" t="s">
        <v>2276</v>
      </c>
      <c r="H2720" s="204" t="s">
        <v>523</v>
      </c>
      <c r="I2720" s="204">
        <v>2010</v>
      </c>
      <c r="J2720" s="204" t="s">
        <v>2276</v>
      </c>
      <c r="K2720" s="204" t="s">
        <v>2276</v>
      </c>
      <c r="L2720" s="204" t="s">
        <v>2276</v>
      </c>
      <c r="M2720" s="204" t="s">
        <v>2276</v>
      </c>
      <c r="N2720" s="204" t="s">
        <v>2276</v>
      </c>
      <c r="O2720" s="204" t="s">
        <v>2276</v>
      </c>
      <c r="P2720" s="204" t="s">
        <v>2276</v>
      </c>
      <c r="Q2720" s="204" t="s">
        <v>2276</v>
      </c>
      <c r="R2720" s="204" t="s">
        <v>2276</v>
      </c>
      <c r="S2720" s="204" t="s">
        <v>2276</v>
      </c>
      <c r="T2720" s="21">
        <f>2500*0.057</f>
        <v>142.5</v>
      </c>
      <c r="U2720" s="204" t="s">
        <v>2276</v>
      </c>
      <c r="V2720" s="204" t="s">
        <v>2276</v>
      </c>
      <c r="W2720" s="204" t="s">
        <v>2276</v>
      </c>
      <c r="X2720" s="21">
        <f>T2720/'Record info'!K$1138</f>
        <v>3.6103369647833797E-2</v>
      </c>
      <c r="Y2720" s="204" t="s">
        <v>2276</v>
      </c>
      <c r="Z2720" s="204" t="s">
        <v>68</v>
      </c>
      <c r="AA2720" s="204" t="s">
        <v>86</v>
      </c>
      <c r="AB2720" s="204" t="s">
        <v>76</v>
      </c>
      <c r="AC2720" s="204"/>
      <c r="AD2720" s="204"/>
    </row>
    <row r="2721" spans="1:30" s="122" customFormat="1" ht="29" customHeight="1">
      <c r="A2721" s="19" t="s">
        <v>7389</v>
      </c>
      <c r="B2721" s="19" t="s">
        <v>7496</v>
      </c>
      <c r="C2721" s="204" t="s">
        <v>24</v>
      </c>
      <c r="D2721" s="204" t="s">
        <v>1242</v>
      </c>
      <c r="E2721" s="204" t="s">
        <v>3209</v>
      </c>
      <c r="F2721" s="152" t="s">
        <v>2276</v>
      </c>
      <c r="G2721" s="152" t="s">
        <v>2276</v>
      </c>
      <c r="H2721" s="204" t="s">
        <v>523</v>
      </c>
      <c r="I2721" s="204">
        <v>2010</v>
      </c>
      <c r="J2721" s="204" t="s">
        <v>2276</v>
      </c>
      <c r="K2721" s="204" t="s">
        <v>2276</v>
      </c>
      <c r="L2721" s="204" t="s">
        <v>2276</v>
      </c>
      <c r="M2721" s="204" t="s">
        <v>2276</v>
      </c>
      <c r="N2721" s="204" t="s">
        <v>2276</v>
      </c>
      <c r="O2721" s="204" t="s">
        <v>2276</v>
      </c>
      <c r="P2721" s="204" t="s">
        <v>2276</v>
      </c>
      <c r="Q2721" s="204" t="s">
        <v>2276</v>
      </c>
      <c r="R2721" s="204" t="s">
        <v>2276</v>
      </c>
      <c r="S2721" s="204" t="s">
        <v>2276</v>
      </c>
      <c r="T2721" s="21">
        <f>2500*0.024</f>
        <v>60</v>
      </c>
      <c r="U2721" s="204" t="s">
        <v>2276</v>
      </c>
      <c r="V2721" s="204" t="s">
        <v>2276</v>
      </c>
      <c r="W2721" s="204" t="s">
        <v>2276</v>
      </c>
      <c r="X2721" s="21">
        <f>T2721/'Record info'!K$1139</f>
        <v>2.1367521367521368E-2</v>
      </c>
      <c r="Y2721" s="204" t="s">
        <v>2276</v>
      </c>
      <c r="Z2721" s="204" t="s">
        <v>68</v>
      </c>
      <c r="AA2721" s="204" t="s">
        <v>86</v>
      </c>
      <c r="AB2721" s="204" t="s">
        <v>76</v>
      </c>
      <c r="AC2721" s="204"/>
      <c r="AD2721" s="204"/>
    </row>
    <row r="2722" spans="1:30" s="122" customFormat="1" ht="29" customHeight="1">
      <c r="A2722" s="19" t="s">
        <v>7390</v>
      </c>
      <c r="B2722" s="19" t="s">
        <v>7497</v>
      </c>
      <c r="C2722" s="204" t="s">
        <v>24</v>
      </c>
      <c r="D2722" s="204" t="s">
        <v>1242</v>
      </c>
      <c r="E2722" s="204" t="s">
        <v>3209</v>
      </c>
      <c r="F2722" s="152" t="s">
        <v>2276</v>
      </c>
      <c r="G2722" s="152" t="s">
        <v>2276</v>
      </c>
      <c r="H2722" s="204" t="s">
        <v>523</v>
      </c>
      <c r="I2722" s="204">
        <v>2010</v>
      </c>
      <c r="J2722" s="204" t="s">
        <v>2276</v>
      </c>
      <c r="K2722" s="204" t="s">
        <v>2276</v>
      </c>
      <c r="L2722" s="204" t="s">
        <v>2276</v>
      </c>
      <c r="M2722" s="204" t="s">
        <v>2276</v>
      </c>
      <c r="N2722" s="204" t="s">
        <v>2276</v>
      </c>
      <c r="O2722" s="204" t="s">
        <v>2276</v>
      </c>
      <c r="P2722" s="204" t="s">
        <v>2276</v>
      </c>
      <c r="Q2722" s="204" t="s">
        <v>2276</v>
      </c>
      <c r="R2722" s="204" t="s">
        <v>2276</v>
      </c>
      <c r="S2722" s="204" t="s">
        <v>2276</v>
      </c>
      <c r="T2722" s="21">
        <f>2500*0.072</f>
        <v>180</v>
      </c>
      <c r="U2722" s="204" t="s">
        <v>2276</v>
      </c>
      <c r="V2722" s="204" t="s">
        <v>2276</v>
      </c>
      <c r="W2722" s="204" t="s">
        <v>2276</v>
      </c>
      <c r="X2722" s="21">
        <f>T2722/'Record info'!K$1140</f>
        <v>3.5949670461354104E-2</v>
      </c>
      <c r="Y2722" s="204" t="s">
        <v>2276</v>
      </c>
      <c r="Z2722" s="204" t="s">
        <v>68</v>
      </c>
      <c r="AA2722" s="204" t="s">
        <v>86</v>
      </c>
      <c r="AB2722" s="204" t="s">
        <v>76</v>
      </c>
      <c r="AC2722" s="204"/>
      <c r="AD2722" s="204"/>
    </row>
    <row r="2723" spans="1:30" s="122" customFormat="1" ht="29" customHeight="1">
      <c r="A2723" s="19" t="s">
        <v>7391</v>
      </c>
      <c r="B2723" s="19" t="s">
        <v>7498</v>
      </c>
      <c r="C2723" s="204" t="s">
        <v>24</v>
      </c>
      <c r="D2723" s="204" t="s">
        <v>1242</v>
      </c>
      <c r="E2723" s="204" t="s">
        <v>3209</v>
      </c>
      <c r="F2723" s="152" t="s">
        <v>2276</v>
      </c>
      <c r="G2723" s="152" t="s">
        <v>2276</v>
      </c>
      <c r="H2723" s="204" t="s">
        <v>523</v>
      </c>
      <c r="I2723" s="204">
        <v>2010</v>
      </c>
      <c r="J2723" s="204" t="s">
        <v>2276</v>
      </c>
      <c r="K2723" s="204" t="s">
        <v>2276</v>
      </c>
      <c r="L2723" s="204" t="s">
        <v>2276</v>
      </c>
      <c r="M2723" s="204" t="s">
        <v>2276</v>
      </c>
      <c r="N2723" s="204" t="s">
        <v>2276</v>
      </c>
      <c r="O2723" s="204" t="s">
        <v>2276</v>
      </c>
      <c r="P2723" s="204" t="s">
        <v>2276</v>
      </c>
      <c r="Q2723" s="204" t="s">
        <v>2276</v>
      </c>
      <c r="R2723" s="204" t="s">
        <v>2276</v>
      </c>
      <c r="S2723" s="204" t="s">
        <v>2276</v>
      </c>
      <c r="T2723" s="21">
        <f>2500*0.068</f>
        <v>170</v>
      </c>
      <c r="U2723" s="204" t="s">
        <v>2276</v>
      </c>
      <c r="V2723" s="204" t="s">
        <v>2276</v>
      </c>
      <c r="W2723" s="204" t="s">
        <v>2276</v>
      </c>
      <c r="X2723" s="21">
        <f>T2723/'Record info'!K$1141</f>
        <v>0.14480408858603067</v>
      </c>
      <c r="Y2723" s="204" t="s">
        <v>2276</v>
      </c>
      <c r="Z2723" s="204" t="s">
        <v>68</v>
      </c>
      <c r="AA2723" s="204" t="s">
        <v>86</v>
      </c>
      <c r="AB2723" s="204" t="s">
        <v>76</v>
      </c>
      <c r="AC2723" s="204"/>
      <c r="AD2723" s="204"/>
    </row>
    <row r="2724" spans="1:30" s="122" customFormat="1" ht="29" customHeight="1">
      <c r="A2724" s="19" t="s">
        <v>7392</v>
      </c>
      <c r="B2724" s="19" t="s">
        <v>7499</v>
      </c>
      <c r="C2724" s="204" t="s">
        <v>24</v>
      </c>
      <c r="D2724" s="204" t="s">
        <v>1242</v>
      </c>
      <c r="E2724" s="204" t="s">
        <v>3209</v>
      </c>
      <c r="F2724" s="152" t="s">
        <v>2276</v>
      </c>
      <c r="G2724" s="152" t="s">
        <v>2276</v>
      </c>
      <c r="H2724" s="204" t="s">
        <v>523</v>
      </c>
      <c r="I2724" s="204">
        <v>2010</v>
      </c>
      <c r="J2724" s="204" t="s">
        <v>2276</v>
      </c>
      <c r="K2724" s="204" t="s">
        <v>2276</v>
      </c>
      <c r="L2724" s="204" t="s">
        <v>2276</v>
      </c>
      <c r="M2724" s="204" t="s">
        <v>2276</v>
      </c>
      <c r="N2724" s="204" t="s">
        <v>2276</v>
      </c>
      <c r="O2724" s="204" t="s">
        <v>2276</v>
      </c>
      <c r="P2724" s="204" t="s">
        <v>2276</v>
      </c>
      <c r="Q2724" s="204" t="s">
        <v>2276</v>
      </c>
      <c r="R2724" s="204" t="s">
        <v>2276</v>
      </c>
      <c r="S2724" s="204" t="s">
        <v>2276</v>
      </c>
      <c r="T2724" s="21">
        <f>2500*0.075</f>
        <v>187.5</v>
      </c>
      <c r="U2724" s="204" t="s">
        <v>2276</v>
      </c>
      <c r="V2724" s="204" t="s">
        <v>2276</v>
      </c>
      <c r="W2724" s="204" t="s">
        <v>2276</v>
      </c>
      <c r="X2724" s="21">
        <f>T2724/'Record info'!K$1142</f>
        <v>4.3322550831792976E-2</v>
      </c>
      <c r="Y2724" s="204" t="s">
        <v>2276</v>
      </c>
      <c r="Z2724" s="204" t="s">
        <v>68</v>
      </c>
      <c r="AA2724" s="204" t="s">
        <v>86</v>
      </c>
      <c r="AB2724" s="204" t="s">
        <v>76</v>
      </c>
      <c r="AC2724" s="204"/>
      <c r="AD2724" s="204"/>
    </row>
    <row r="2725" spans="1:30" s="122" customFormat="1" ht="29" customHeight="1">
      <c r="A2725" s="19" t="s">
        <v>7393</v>
      </c>
      <c r="B2725" s="19" t="s">
        <v>7500</v>
      </c>
      <c r="C2725" s="204" t="s">
        <v>24</v>
      </c>
      <c r="D2725" s="204" t="s">
        <v>1242</v>
      </c>
      <c r="E2725" s="204" t="s">
        <v>3209</v>
      </c>
      <c r="F2725" s="152" t="s">
        <v>2276</v>
      </c>
      <c r="G2725" s="152" t="s">
        <v>2276</v>
      </c>
      <c r="H2725" s="204" t="s">
        <v>523</v>
      </c>
      <c r="I2725" s="204">
        <v>2010</v>
      </c>
      <c r="J2725" s="204" t="s">
        <v>2276</v>
      </c>
      <c r="K2725" s="204" t="s">
        <v>2276</v>
      </c>
      <c r="L2725" s="204" t="s">
        <v>2276</v>
      </c>
      <c r="M2725" s="204" t="s">
        <v>2276</v>
      </c>
      <c r="N2725" s="204" t="s">
        <v>2276</v>
      </c>
      <c r="O2725" s="204" t="s">
        <v>2276</v>
      </c>
      <c r="P2725" s="204" t="s">
        <v>2276</v>
      </c>
      <c r="Q2725" s="204" t="s">
        <v>2276</v>
      </c>
      <c r="R2725" s="204" t="s">
        <v>2276</v>
      </c>
      <c r="S2725" s="204" t="s">
        <v>2276</v>
      </c>
      <c r="T2725" s="21">
        <f>2500*0.111</f>
        <v>277.5</v>
      </c>
      <c r="U2725" s="204" t="s">
        <v>2276</v>
      </c>
      <c r="V2725" s="204" t="s">
        <v>2276</v>
      </c>
      <c r="W2725" s="204" t="s">
        <v>2276</v>
      </c>
      <c r="X2725" s="21">
        <f>T2725/'Record info'!K$1143</f>
        <v>0.11586638830897704</v>
      </c>
      <c r="Y2725" s="204" t="s">
        <v>2276</v>
      </c>
      <c r="Z2725" s="204" t="s">
        <v>68</v>
      </c>
      <c r="AA2725" s="204" t="s">
        <v>86</v>
      </c>
      <c r="AB2725" s="204" t="s">
        <v>76</v>
      </c>
      <c r="AC2725" s="204"/>
      <c r="AD2725" s="204"/>
    </row>
    <row r="2726" spans="1:30" s="122" customFormat="1" ht="29" customHeight="1">
      <c r="A2726" s="19" t="s">
        <v>7394</v>
      </c>
      <c r="B2726" s="19" t="s">
        <v>7501</v>
      </c>
      <c r="C2726" s="204" t="s">
        <v>24</v>
      </c>
      <c r="D2726" s="204" t="s">
        <v>1242</v>
      </c>
      <c r="E2726" s="204" t="s">
        <v>3209</v>
      </c>
      <c r="F2726" s="152" t="s">
        <v>2276</v>
      </c>
      <c r="G2726" s="152" t="s">
        <v>2276</v>
      </c>
      <c r="H2726" s="204" t="s">
        <v>523</v>
      </c>
      <c r="I2726" s="204">
        <v>2010</v>
      </c>
      <c r="J2726" s="204" t="s">
        <v>2276</v>
      </c>
      <c r="K2726" s="204" t="s">
        <v>2276</v>
      </c>
      <c r="L2726" s="204" t="s">
        <v>2276</v>
      </c>
      <c r="M2726" s="204" t="s">
        <v>2276</v>
      </c>
      <c r="N2726" s="204" t="s">
        <v>2276</v>
      </c>
      <c r="O2726" s="204" t="s">
        <v>2276</v>
      </c>
      <c r="P2726" s="204" t="s">
        <v>2276</v>
      </c>
      <c r="Q2726" s="204" t="s">
        <v>2276</v>
      </c>
      <c r="R2726" s="204" t="s">
        <v>2276</v>
      </c>
      <c r="S2726" s="204" t="s">
        <v>2276</v>
      </c>
      <c r="T2726" s="21">
        <f>2500*0.106</f>
        <v>265</v>
      </c>
      <c r="U2726" s="204" t="s">
        <v>2276</v>
      </c>
      <c r="V2726" s="204" t="s">
        <v>2276</v>
      </c>
      <c r="W2726" s="204" t="s">
        <v>2276</v>
      </c>
      <c r="X2726" s="21">
        <f>T2726/'Record info'!K$1144</f>
        <v>9.9139543583988035E-2</v>
      </c>
      <c r="Y2726" s="204" t="s">
        <v>2276</v>
      </c>
      <c r="Z2726" s="204" t="s">
        <v>68</v>
      </c>
      <c r="AA2726" s="204" t="s">
        <v>86</v>
      </c>
      <c r="AB2726" s="204" t="s">
        <v>76</v>
      </c>
      <c r="AC2726" s="204"/>
      <c r="AD2726" s="204"/>
    </row>
    <row r="2727" spans="1:30" s="122" customFormat="1" ht="32.5" customHeight="1">
      <c r="A2727" s="19" t="s">
        <v>7395</v>
      </c>
      <c r="B2727" s="19" t="s">
        <v>7502</v>
      </c>
      <c r="C2727" s="204" t="s">
        <v>24</v>
      </c>
      <c r="D2727" s="204" t="s">
        <v>1242</v>
      </c>
      <c r="E2727" s="204" t="s">
        <v>3209</v>
      </c>
      <c r="F2727" s="152" t="s">
        <v>2276</v>
      </c>
      <c r="G2727" s="152" t="s">
        <v>2276</v>
      </c>
      <c r="H2727" s="204" t="s">
        <v>523</v>
      </c>
      <c r="I2727" s="204">
        <v>2010</v>
      </c>
      <c r="J2727" s="204" t="s">
        <v>2276</v>
      </c>
      <c r="K2727" s="204" t="s">
        <v>2276</v>
      </c>
      <c r="L2727" s="204" t="s">
        <v>2276</v>
      </c>
      <c r="M2727" s="204" t="s">
        <v>2276</v>
      </c>
      <c r="N2727" s="204" t="s">
        <v>2276</v>
      </c>
      <c r="O2727" s="204" t="s">
        <v>2276</v>
      </c>
      <c r="P2727" s="204" t="s">
        <v>2276</v>
      </c>
      <c r="Q2727" s="204" t="s">
        <v>2276</v>
      </c>
      <c r="R2727" s="204" t="s">
        <v>2276</v>
      </c>
      <c r="S2727" s="204" t="s">
        <v>2276</v>
      </c>
      <c r="T2727" s="21">
        <f>2500*0.166</f>
        <v>415</v>
      </c>
      <c r="U2727" s="204" t="s">
        <v>2276</v>
      </c>
      <c r="V2727" s="204" t="s">
        <v>2276</v>
      </c>
      <c r="W2727" s="204" t="s">
        <v>2276</v>
      </c>
      <c r="X2727" s="21">
        <f>T2727/'Record info'!K$1145</f>
        <v>0.18403547671840353</v>
      </c>
      <c r="Y2727" s="204" t="s">
        <v>2276</v>
      </c>
      <c r="Z2727" s="204" t="s">
        <v>68</v>
      </c>
      <c r="AA2727" s="204" t="s">
        <v>86</v>
      </c>
      <c r="AB2727" s="204" t="s">
        <v>76</v>
      </c>
      <c r="AC2727" s="204"/>
      <c r="AD2727" s="204"/>
    </row>
    <row r="2728" spans="1:30" ht="32.5" customHeight="1">
      <c r="A2728" s="19" t="s">
        <v>7293</v>
      </c>
      <c r="B2728" s="19" t="s">
        <v>7503</v>
      </c>
      <c r="C2728" s="204" t="s">
        <v>24</v>
      </c>
      <c r="D2728" s="204" t="s">
        <v>1242</v>
      </c>
      <c r="E2728" s="204" t="s">
        <v>3209</v>
      </c>
      <c r="F2728" s="152" t="s">
        <v>2276</v>
      </c>
      <c r="G2728" s="152" t="s">
        <v>2276</v>
      </c>
      <c r="H2728" s="204" t="s">
        <v>523</v>
      </c>
      <c r="I2728" s="204">
        <v>2011</v>
      </c>
      <c r="J2728" s="204" t="s">
        <v>2276</v>
      </c>
      <c r="K2728" s="204" t="s">
        <v>2276</v>
      </c>
      <c r="L2728" s="204" t="s">
        <v>2276</v>
      </c>
      <c r="M2728" s="204" t="s">
        <v>2276</v>
      </c>
      <c r="N2728" s="204" t="s">
        <v>2276</v>
      </c>
      <c r="O2728" s="204" t="s">
        <v>2276</v>
      </c>
      <c r="P2728" s="204" t="s">
        <v>2276</v>
      </c>
      <c r="Q2728" s="204" t="s">
        <v>2276</v>
      </c>
      <c r="R2728" s="204" t="s">
        <v>2276</v>
      </c>
      <c r="S2728" s="204" t="s">
        <v>2276</v>
      </c>
      <c r="T2728" s="21">
        <f>1750*0.027</f>
        <v>47.25</v>
      </c>
      <c r="U2728" s="204" t="s">
        <v>2276</v>
      </c>
      <c r="V2728" s="204" t="s">
        <v>2276</v>
      </c>
      <c r="W2728" s="204" t="s">
        <v>2276</v>
      </c>
      <c r="X2728" s="21">
        <f>T2728/'Record info'!K$1128</f>
        <v>1.6875000000000001E-2</v>
      </c>
      <c r="Y2728" s="204" t="s">
        <v>2276</v>
      </c>
      <c r="Z2728" s="204" t="s">
        <v>68</v>
      </c>
      <c r="AA2728" s="204" t="s">
        <v>86</v>
      </c>
      <c r="AB2728" s="204" t="s">
        <v>76</v>
      </c>
      <c r="AC2728" s="204"/>
      <c r="AD2728" s="204"/>
    </row>
    <row r="2729" spans="1:30" ht="32.5" customHeight="1">
      <c r="A2729" s="19" t="s">
        <v>7379</v>
      </c>
      <c r="B2729" s="19" t="s">
        <v>7504</v>
      </c>
      <c r="C2729" s="204" t="s">
        <v>24</v>
      </c>
      <c r="D2729" s="204" t="s">
        <v>1242</v>
      </c>
      <c r="E2729" s="204" t="s">
        <v>3209</v>
      </c>
      <c r="F2729" s="152" t="s">
        <v>2276</v>
      </c>
      <c r="G2729" s="152" t="s">
        <v>2276</v>
      </c>
      <c r="H2729" s="204" t="s">
        <v>523</v>
      </c>
      <c r="I2729" s="204">
        <v>2011</v>
      </c>
      <c r="J2729" s="204" t="s">
        <v>2276</v>
      </c>
      <c r="K2729" s="204" t="s">
        <v>2276</v>
      </c>
      <c r="L2729" s="204" t="s">
        <v>2276</v>
      </c>
      <c r="M2729" s="204" t="s">
        <v>2276</v>
      </c>
      <c r="N2729" s="204" t="s">
        <v>2276</v>
      </c>
      <c r="O2729" s="204" t="s">
        <v>2276</v>
      </c>
      <c r="P2729" s="204" t="s">
        <v>2276</v>
      </c>
      <c r="Q2729" s="204" t="s">
        <v>2276</v>
      </c>
      <c r="R2729" s="204" t="s">
        <v>2276</v>
      </c>
      <c r="S2729" s="204" t="s">
        <v>2276</v>
      </c>
      <c r="T2729" s="21">
        <f>1750*0.041</f>
        <v>71.75</v>
      </c>
      <c r="U2729" s="204" t="s">
        <v>2276</v>
      </c>
      <c r="V2729" s="204" t="s">
        <v>2276</v>
      </c>
      <c r="W2729" s="204" t="s">
        <v>2276</v>
      </c>
      <c r="X2729" s="21">
        <f>T2729/'Record info'!K$1129</f>
        <v>2.0412517780938833E-2</v>
      </c>
      <c r="Y2729" s="204" t="s">
        <v>2276</v>
      </c>
      <c r="Z2729" s="204" t="s">
        <v>68</v>
      </c>
      <c r="AA2729" s="204" t="s">
        <v>86</v>
      </c>
      <c r="AB2729" s="204" t="s">
        <v>76</v>
      </c>
      <c r="AC2729" s="204"/>
      <c r="AD2729" s="204"/>
    </row>
    <row r="2730" spans="1:30" ht="32.5" customHeight="1">
      <c r="A2730" s="19" t="s">
        <v>7380</v>
      </c>
      <c r="B2730" s="19" t="s">
        <v>7505</v>
      </c>
      <c r="C2730" s="204" t="s">
        <v>24</v>
      </c>
      <c r="D2730" s="204" t="s">
        <v>1242</v>
      </c>
      <c r="E2730" s="204" t="s">
        <v>3209</v>
      </c>
      <c r="F2730" s="152" t="s">
        <v>2276</v>
      </c>
      <c r="G2730" s="152" t="s">
        <v>2276</v>
      </c>
      <c r="H2730" s="204" t="s">
        <v>523</v>
      </c>
      <c r="I2730" s="204">
        <v>2011</v>
      </c>
      <c r="J2730" s="204" t="s">
        <v>2276</v>
      </c>
      <c r="K2730" s="204" t="s">
        <v>2276</v>
      </c>
      <c r="L2730" s="204" t="s">
        <v>2276</v>
      </c>
      <c r="M2730" s="204" t="s">
        <v>2276</v>
      </c>
      <c r="N2730" s="204" t="s">
        <v>2276</v>
      </c>
      <c r="O2730" s="204" t="s">
        <v>2276</v>
      </c>
      <c r="P2730" s="204" t="s">
        <v>2276</v>
      </c>
      <c r="Q2730" s="204" t="s">
        <v>2276</v>
      </c>
      <c r="R2730" s="204" t="s">
        <v>2276</v>
      </c>
      <c r="S2730" s="204" t="s">
        <v>2276</v>
      </c>
      <c r="T2730" s="21">
        <f>1750*0.004</f>
        <v>7</v>
      </c>
      <c r="U2730" s="204" t="s">
        <v>2276</v>
      </c>
      <c r="V2730" s="204" t="s">
        <v>2276</v>
      </c>
      <c r="W2730" s="204" t="s">
        <v>2276</v>
      </c>
      <c r="X2730" s="21">
        <f>T2730/'Record info'!K$1130</f>
        <v>1.037498147324737E-3</v>
      </c>
      <c r="Y2730" s="204" t="s">
        <v>2276</v>
      </c>
      <c r="Z2730" s="204" t="s">
        <v>68</v>
      </c>
      <c r="AA2730" s="204" t="s">
        <v>86</v>
      </c>
      <c r="AB2730" s="204" t="s">
        <v>76</v>
      </c>
      <c r="AC2730" s="204"/>
      <c r="AD2730" s="204"/>
    </row>
    <row r="2731" spans="1:30" ht="32.5" customHeight="1">
      <c r="A2731" s="19" t="s">
        <v>7381</v>
      </c>
      <c r="B2731" s="19" t="s">
        <v>7506</v>
      </c>
      <c r="C2731" s="204" t="s">
        <v>24</v>
      </c>
      <c r="D2731" s="204" t="s">
        <v>1242</v>
      </c>
      <c r="E2731" s="204" t="s">
        <v>3209</v>
      </c>
      <c r="F2731" s="152" t="s">
        <v>2276</v>
      </c>
      <c r="G2731" s="152" t="s">
        <v>2276</v>
      </c>
      <c r="H2731" s="204" t="s">
        <v>523</v>
      </c>
      <c r="I2731" s="204">
        <v>2011</v>
      </c>
      <c r="J2731" s="204" t="s">
        <v>2276</v>
      </c>
      <c r="K2731" s="204" t="s">
        <v>2276</v>
      </c>
      <c r="L2731" s="204" t="s">
        <v>2276</v>
      </c>
      <c r="M2731" s="204" t="s">
        <v>2276</v>
      </c>
      <c r="N2731" s="204" t="s">
        <v>2276</v>
      </c>
      <c r="O2731" s="204" t="s">
        <v>2276</v>
      </c>
      <c r="P2731" s="204" t="s">
        <v>2276</v>
      </c>
      <c r="Q2731" s="204" t="s">
        <v>2276</v>
      </c>
      <c r="R2731" s="204" t="s">
        <v>2276</v>
      </c>
      <c r="S2731" s="204" t="s">
        <v>2276</v>
      </c>
      <c r="T2731" s="21">
        <f>1750*0.004</f>
        <v>7</v>
      </c>
      <c r="U2731" s="204" t="s">
        <v>2276</v>
      </c>
      <c r="V2731" s="204" t="s">
        <v>2276</v>
      </c>
      <c r="W2731" s="204" t="s">
        <v>2276</v>
      </c>
      <c r="X2731" s="21">
        <f>T2731/'Record info'!K$1131</f>
        <v>1.382306477093207E-3</v>
      </c>
      <c r="Y2731" s="204" t="s">
        <v>2276</v>
      </c>
      <c r="Z2731" s="204" t="s">
        <v>68</v>
      </c>
      <c r="AA2731" s="204" t="s">
        <v>86</v>
      </c>
      <c r="AB2731" s="204" t="s">
        <v>76</v>
      </c>
      <c r="AC2731" s="204"/>
      <c r="AD2731" s="204"/>
    </row>
    <row r="2732" spans="1:30" ht="32.5" customHeight="1">
      <c r="A2732" s="19" t="s">
        <v>7382</v>
      </c>
      <c r="B2732" s="19" t="s">
        <v>7507</v>
      </c>
      <c r="C2732" s="204" t="s">
        <v>24</v>
      </c>
      <c r="D2732" s="204" t="s">
        <v>1242</v>
      </c>
      <c r="E2732" s="204" t="s">
        <v>3209</v>
      </c>
      <c r="F2732" s="152" t="s">
        <v>2276</v>
      </c>
      <c r="G2732" s="152" t="s">
        <v>2276</v>
      </c>
      <c r="H2732" s="204" t="s">
        <v>524</v>
      </c>
      <c r="I2732" s="204">
        <v>2011</v>
      </c>
      <c r="J2732" s="21">
        <v>0</v>
      </c>
      <c r="K2732" s="21">
        <v>0</v>
      </c>
      <c r="L2732" s="21">
        <v>0</v>
      </c>
      <c r="M2732" s="21">
        <v>0</v>
      </c>
      <c r="N2732" s="21">
        <v>0</v>
      </c>
      <c r="O2732" s="21">
        <v>0</v>
      </c>
      <c r="P2732" s="21">
        <v>0</v>
      </c>
      <c r="Q2732" s="21">
        <v>0</v>
      </c>
      <c r="R2732" s="21">
        <v>0</v>
      </c>
      <c r="S2732" s="21">
        <v>0</v>
      </c>
      <c r="T2732" s="21">
        <v>0</v>
      </c>
      <c r="U2732" s="21">
        <v>0</v>
      </c>
      <c r="V2732" s="21">
        <v>0</v>
      </c>
      <c r="W2732" s="21">
        <v>0</v>
      </c>
      <c r="X2732" s="21">
        <f>T2732/'Record info'!K$1132</f>
        <v>0</v>
      </c>
      <c r="Y2732" s="204" t="s">
        <v>2276</v>
      </c>
      <c r="Z2732" s="204" t="s">
        <v>68</v>
      </c>
      <c r="AA2732" s="204" t="s">
        <v>86</v>
      </c>
      <c r="AB2732" s="204" t="s">
        <v>76</v>
      </c>
      <c r="AC2732" s="204"/>
      <c r="AD2732" s="204"/>
    </row>
    <row r="2733" spans="1:30" ht="32.5" customHeight="1">
      <c r="A2733" s="19" t="s">
        <v>7383</v>
      </c>
      <c r="B2733" s="19" t="s">
        <v>7508</v>
      </c>
      <c r="C2733" s="204" t="s">
        <v>24</v>
      </c>
      <c r="D2733" s="204" t="s">
        <v>1242</v>
      </c>
      <c r="E2733" s="204" t="s">
        <v>3209</v>
      </c>
      <c r="F2733" s="152" t="s">
        <v>2276</v>
      </c>
      <c r="G2733" s="152" t="s">
        <v>2276</v>
      </c>
      <c r="H2733" s="204" t="s">
        <v>524</v>
      </c>
      <c r="I2733" s="204">
        <v>2011</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info'!K$1133</f>
        <v>0</v>
      </c>
      <c r="Y2733" s="204" t="s">
        <v>2276</v>
      </c>
      <c r="Z2733" s="204" t="s">
        <v>68</v>
      </c>
      <c r="AA2733" s="204" t="s">
        <v>86</v>
      </c>
      <c r="AB2733" s="204" t="s">
        <v>76</v>
      </c>
      <c r="AC2733" s="204"/>
      <c r="AD2733" s="204"/>
    </row>
    <row r="2734" spans="1:30" ht="32.5" customHeight="1">
      <c r="A2734" s="19" t="s">
        <v>7384</v>
      </c>
      <c r="B2734" s="19" t="s">
        <v>7509</v>
      </c>
      <c r="C2734" s="204" t="s">
        <v>24</v>
      </c>
      <c r="D2734" s="204" t="s">
        <v>1242</v>
      </c>
      <c r="E2734" s="204" t="s">
        <v>3209</v>
      </c>
      <c r="F2734" s="152" t="s">
        <v>2276</v>
      </c>
      <c r="G2734" s="152" t="s">
        <v>2276</v>
      </c>
      <c r="H2734" s="204" t="s">
        <v>524</v>
      </c>
      <c r="I2734" s="204">
        <v>2011</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info'!K$1134</f>
        <v>0</v>
      </c>
      <c r="Y2734" s="204" t="s">
        <v>2276</v>
      </c>
      <c r="Z2734" s="204" t="s">
        <v>68</v>
      </c>
      <c r="AA2734" s="204" t="s">
        <v>86</v>
      </c>
      <c r="AB2734" s="204" t="s">
        <v>76</v>
      </c>
      <c r="AC2734" s="204"/>
      <c r="AD2734" s="204"/>
    </row>
    <row r="2735" spans="1:30" ht="32.5" customHeight="1">
      <c r="A2735" s="19" t="s">
        <v>7385</v>
      </c>
      <c r="B2735" s="19" t="s">
        <v>7510</v>
      </c>
      <c r="C2735" s="204" t="s">
        <v>24</v>
      </c>
      <c r="D2735" s="204" t="s">
        <v>1242</v>
      </c>
      <c r="E2735" s="204" t="s">
        <v>3209</v>
      </c>
      <c r="F2735" s="152" t="s">
        <v>2276</v>
      </c>
      <c r="G2735" s="152" t="s">
        <v>2276</v>
      </c>
      <c r="H2735" s="204" t="s">
        <v>523</v>
      </c>
      <c r="I2735" s="204">
        <v>2011</v>
      </c>
      <c r="J2735" s="204" t="s">
        <v>2276</v>
      </c>
      <c r="K2735" s="204" t="s">
        <v>2276</v>
      </c>
      <c r="L2735" s="204" t="s">
        <v>2276</v>
      </c>
      <c r="M2735" s="204" t="s">
        <v>2276</v>
      </c>
      <c r="N2735" s="204" t="s">
        <v>2276</v>
      </c>
      <c r="O2735" s="204" t="s">
        <v>2276</v>
      </c>
      <c r="P2735" s="204" t="s">
        <v>2276</v>
      </c>
      <c r="Q2735" s="204" t="s">
        <v>2276</v>
      </c>
      <c r="R2735" s="204" t="s">
        <v>2276</v>
      </c>
      <c r="S2735" s="204" t="s">
        <v>2276</v>
      </c>
      <c r="T2735" s="21">
        <f>1750*0.035</f>
        <v>61.250000000000007</v>
      </c>
      <c r="U2735" s="204" t="s">
        <v>2276</v>
      </c>
      <c r="V2735" s="204" t="s">
        <v>2276</v>
      </c>
      <c r="W2735" s="204" t="s">
        <v>2276</v>
      </c>
      <c r="X2735" s="21">
        <f>T2735/'Record info'!K$1135</f>
        <v>1.0098928276999177E-2</v>
      </c>
      <c r="Y2735" s="204" t="s">
        <v>2276</v>
      </c>
      <c r="Z2735" s="204" t="s">
        <v>68</v>
      </c>
      <c r="AA2735" s="204" t="s">
        <v>86</v>
      </c>
      <c r="AB2735" s="204" t="s">
        <v>76</v>
      </c>
      <c r="AC2735" s="204"/>
      <c r="AD2735" s="204"/>
    </row>
    <row r="2736" spans="1:30" ht="32.5" customHeight="1">
      <c r="A2736" s="19" t="s">
        <v>7386</v>
      </c>
      <c r="B2736" s="19" t="s">
        <v>7511</v>
      </c>
      <c r="C2736" s="204" t="s">
        <v>24</v>
      </c>
      <c r="D2736" s="204" t="s">
        <v>1242</v>
      </c>
      <c r="E2736" s="204" t="s">
        <v>3209</v>
      </c>
      <c r="F2736" s="152" t="s">
        <v>2276</v>
      </c>
      <c r="G2736" s="152" t="s">
        <v>2276</v>
      </c>
      <c r="H2736" s="204" t="s">
        <v>523</v>
      </c>
      <c r="I2736" s="204">
        <v>2011</v>
      </c>
      <c r="J2736" s="204" t="s">
        <v>2276</v>
      </c>
      <c r="K2736" s="204" t="s">
        <v>2276</v>
      </c>
      <c r="L2736" s="204" t="s">
        <v>2276</v>
      </c>
      <c r="M2736" s="204" t="s">
        <v>2276</v>
      </c>
      <c r="N2736" s="204" t="s">
        <v>2276</v>
      </c>
      <c r="O2736" s="204" t="s">
        <v>2276</v>
      </c>
      <c r="P2736" s="204" t="s">
        <v>2276</v>
      </c>
      <c r="Q2736" s="204" t="s">
        <v>2276</v>
      </c>
      <c r="R2736" s="204" t="s">
        <v>2276</v>
      </c>
      <c r="S2736" s="204" t="s">
        <v>2276</v>
      </c>
      <c r="T2736" s="21">
        <f>1750*0.079</f>
        <v>138.25</v>
      </c>
      <c r="U2736" s="204" t="s">
        <v>2276</v>
      </c>
      <c r="V2736" s="204" t="s">
        <v>2276</v>
      </c>
      <c r="W2736" s="204" t="s">
        <v>2276</v>
      </c>
      <c r="X2736" s="21">
        <f>T2736/'Record info'!K$1136</f>
        <v>2.0711610486891387E-2</v>
      </c>
      <c r="Y2736" s="204" t="s">
        <v>2276</v>
      </c>
      <c r="Z2736" s="204" t="s">
        <v>68</v>
      </c>
      <c r="AA2736" s="204" t="s">
        <v>86</v>
      </c>
      <c r="AB2736" s="204" t="s">
        <v>76</v>
      </c>
      <c r="AC2736" s="204"/>
      <c r="AD2736" s="204"/>
    </row>
    <row r="2737" spans="1:30" ht="32.5" customHeight="1">
      <c r="A2737" s="19" t="s">
        <v>7387</v>
      </c>
      <c r="B2737" s="19" t="s">
        <v>7512</v>
      </c>
      <c r="C2737" s="204" t="s">
        <v>24</v>
      </c>
      <c r="D2737" s="204" t="s">
        <v>1242</v>
      </c>
      <c r="E2737" s="204" t="s">
        <v>3209</v>
      </c>
      <c r="F2737" s="152" t="s">
        <v>2276</v>
      </c>
      <c r="G2737" s="152" t="s">
        <v>2276</v>
      </c>
      <c r="H2737" s="204" t="s">
        <v>523</v>
      </c>
      <c r="I2737" s="204">
        <v>2011</v>
      </c>
      <c r="J2737" s="204" t="s">
        <v>2276</v>
      </c>
      <c r="K2737" s="204" t="s">
        <v>2276</v>
      </c>
      <c r="L2737" s="204" t="s">
        <v>2276</v>
      </c>
      <c r="M2737" s="204" t="s">
        <v>2276</v>
      </c>
      <c r="N2737" s="204" t="s">
        <v>2276</v>
      </c>
      <c r="O2737" s="204" t="s">
        <v>2276</v>
      </c>
      <c r="P2737" s="204" t="s">
        <v>2276</v>
      </c>
      <c r="Q2737" s="204" t="s">
        <v>2276</v>
      </c>
      <c r="R2737" s="204" t="s">
        <v>2276</v>
      </c>
      <c r="S2737" s="204" t="s">
        <v>2276</v>
      </c>
      <c r="T2737" s="21">
        <f>1750*0.132</f>
        <v>231</v>
      </c>
      <c r="U2737" s="204" t="s">
        <v>2276</v>
      </c>
      <c r="V2737" s="204" t="s">
        <v>2276</v>
      </c>
      <c r="W2737" s="204" t="s">
        <v>2276</v>
      </c>
      <c r="X2737" s="21">
        <f>T2737/'Record info'!K$1137</f>
        <v>4.1862993838347226E-2</v>
      </c>
      <c r="Y2737" s="204" t="s">
        <v>2276</v>
      </c>
      <c r="Z2737" s="204" t="s">
        <v>68</v>
      </c>
      <c r="AA2737" s="204" t="s">
        <v>86</v>
      </c>
      <c r="AB2737" s="204" t="s">
        <v>76</v>
      </c>
      <c r="AC2737" s="204"/>
      <c r="AD2737" s="204"/>
    </row>
    <row r="2738" spans="1:30" ht="32.5" customHeight="1">
      <c r="A2738" s="19" t="s">
        <v>7388</v>
      </c>
      <c r="B2738" s="19" t="s">
        <v>7513</v>
      </c>
      <c r="C2738" s="204" t="s">
        <v>24</v>
      </c>
      <c r="D2738" s="204" t="s">
        <v>1242</v>
      </c>
      <c r="E2738" s="204" t="s">
        <v>3209</v>
      </c>
      <c r="F2738" s="152" t="s">
        <v>2276</v>
      </c>
      <c r="G2738" s="152" t="s">
        <v>2276</v>
      </c>
      <c r="H2738" s="204" t="s">
        <v>523</v>
      </c>
      <c r="I2738" s="204">
        <v>2011</v>
      </c>
      <c r="J2738" s="204" t="s">
        <v>2276</v>
      </c>
      <c r="K2738" s="204" t="s">
        <v>2276</v>
      </c>
      <c r="L2738" s="204" t="s">
        <v>2276</v>
      </c>
      <c r="M2738" s="204" t="s">
        <v>2276</v>
      </c>
      <c r="N2738" s="204" t="s">
        <v>2276</v>
      </c>
      <c r="O2738" s="204" t="s">
        <v>2276</v>
      </c>
      <c r="P2738" s="204" t="s">
        <v>2276</v>
      </c>
      <c r="Q2738" s="204" t="s">
        <v>2276</v>
      </c>
      <c r="R2738" s="204" t="s">
        <v>2276</v>
      </c>
      <c r="S2738" s="204" t="s">
        <v>2276</v>
      </c>
      <c r="T2738" s="21">
        <f>1750*0.057</f>
        <v>99.75</v>
      </c>
      <c r="U2738" s="204" t="s">
        <v>2276</v>
      </c>
      <c r="V2738" s="204" t="s">
        <v>2276</v>
      </c>
      <c r="W2738" s="204" t="s">
        <v>2276</v>
      </c>
      <c r="X2738" s="21">
        <f>T2738/'Record info'!K$1138</f>
        <v>2.5272358753483659E-2</v>
      </c>
      <c r="Y2738" s="204" t="s">
        <v>2276</v>
      </c>
      <c r="Z2738" s="204" t="s">
        <v>68</v>
      </c>
      <c r="AA2738" s="204" t="s">
        <v>86</v>
      </c>
      <c r="AB2738" s="204" t="s">
        <v>76</v>
      </c>
      <c r="AC2738" s="204"/>
      <c r="AD2738" s="204"/>
    </row>
    <row r="2739" spans="1:30" ht="32.5" customHeight="1">
      <c r="A2739" s="19" t="s">
        <v>7389</v>
      </c>
      <c r="B2739" s="19" t="s">
        <v>7514</v>
      </c>
      <c r="C2739" s="204" t="s">
        <v>24</v>
      </c>
      <c r="D2739" s="204" t="s">
        <v>1242</v>
      </c>
      <c r="E2739" s="204" t="s">
        <v>3209</v>
      </c>
      <c r="F2739" s="152" t="s">
        <v>2276</v>
      </c>
      <c r="G2739" s="152" t="s">
        <v>2276</v>
      </c>
      <c r="H2739" s="204" t="s">
        <v>523</v>
      </c>
      <c r="I2739" s="204">
        <v>2011</v>
      </c>
      <c r="J2739" s="204" t="s">
        <v>2276</v>
      </c>
      <c r="K2739" s="204" t="s">
        <v>2276</v>
      </c>
      <c r="L2739" s="204" t="s">
        <v>2276</v>
      </c>
      <c r="M2739" s="204" t="s">
        <v>2276</v>
      </c>
      <c r="N2739" s="204" t="s">
        <v>2276</v>
      </c>
      <c r="O2739" s="204" t="s">
        <v>2276</v>
      </c>
      <c r="P2739" s="204" t="s">
        <v>2276</v>
      </c>
      <c r="Q2739" s="204" t="s">
        <v>2276</v>
      </c>
      <c r="R2739" s="204" t="s">
        <v>2276</v>
      </c>
      <c r="S2739" s="204" t="s">
        <v>2276</v>
      </c>
      <c r="T2739" s="21">
        <f>1750*0.024</f>
        <v>42</v>
      </c>
      <c r="U2739" s="204" t="s">
        <v>2276</v>
      </c>
      <c r="V2739" s="204" t="s">
        <v>2276</v>
      </c>
      <c r="W2739" s="204" t="s">
        <v>2276</v>
      </c>
      <c r="X2739" s="21">
        <f>T2739/'Record info'!K$1139</f>
        <v>1.4957264957264958E-2</v>
      </c>
      <c r="Y2739" s="204" t="s">
        <v>2276</v>
      </c>
      <c r="Z2739" s="204" t="s">
        <v>68</v>
      </c>
      <c r="AA2739" s="204" t="s">
        <v>86</v>
      </c>
      <c r="AB2739" s="204" t="s">
        <v>76</v>
      </c>
      <c r="AC2739" s="204"/>
      <c r="AD2739" s="204"/>
    </row>
    <row r="2740" spans="1:30" ht="32.5" customHeight="1">
      <c r="A2740" s="19" t="s">
        <v>7390</v>
      </c>
      <c r="B2740" s="19" t="s">
        <v>7515</v>
      </c>
      <c r="C2740" s="204" t="s">
        <v>24</v>
      </c>
      <c r="D2740" s="204" t="s">
        <v>1242</v>
      </c>
      <c r="E2740" s="204" t="s">
        <v>3209</v>
      </c>
      <c r="F2740" s="152" t="s">
        <v>2276</v>
      </c>
      <c r="G2740" s="152" t="s">
        <v>2276</v>
      </c>
      <c r="H2740" s="204" t="s">
        <v>523</v>
      </c>
      <c r="I2740" s="204">
        <v>2011</v>
      </c>
      <c r="J2740" s="204" t="s">
        <v>2276</v>
      </c>
      <c r="K2740" s="204" t="s">
        <v>2276</v>
      </c>
      <c r="L2740" s="204" t="s">
        <v>2276</v>
      </c>
      <c r="M2740" s="204" t="s">
        <v>2276</v>
      </c>
      <c r="N2740" s="204" t="s">
        <v>2276</v>
      </c>
      <c r="O2740" s="204" t="s">
        <v>2276</v>
      </c>
      <c r="P2740" s="204" t="s">
        <v>2276</v>
      </c>
      <c r="Q2740" s="204" t="s">
        <v>2276</v>
      </c>
      <c r="R2740" s="204" t="s">
        <v>2276</v>
      </c>
      <c r="S2740" s="204" t="s">
        <v>2276</v>
      </c>
      <c r="T2740" s="21">
        <f>1750*0.072</f>
        <v>125.99999999999999</v>
      </c>
      <c r="U2740" s="204" t="s">
        <v>2276</v>
      </c>
      <c r="V2740" s="204" t="s">
        <v>2276</v>
      </c>
      <c r="W2740" s="204" t="s">
        <v>2276</v>
      </c>
      <c r="X2740" s="21">
        <f>T2740/'Record info'!K$1140</f>
        <v>2.516476932294787E-2</v>
      </c>
      <c r="Y2740" s="204" t="s">
        <v>2276</v>
      </c>
      <c r="Z2740" s="204" t="s">
        <v>68</v>
      </c>
      <c r="AA2740" s="204" t="s">
        <v>86</v>
      </c>
      <c r="AB2740" s="204" t="s">
        <v>76</v>
      </c>
      <c r="AC2740" s="204"/>
      <c r="AD2740" s="204"/>
    </row>
    <row r="2741" spans="1:30" ht="32.5" customHeight="1">
      <c r="A2741" s="19" t="s">
        <v>7391</v>
      </c>
      <c r="B2741" s="19" t="s">
        <v>7516</v>
      </c>
      <c r="C2741" s="204" t="s">
        <v>24</v>
      </c>
      <c r="D2741" s="204" t="s">
        <v>1242</v>
      </c>
      <c r="E2741" s="204" t="s">
        <v>3209</v>
      </c>
      <c r="F2741" s="152" t="s">
        <v>2276</v>
      </c>
      <c r="G2741" s="152" t="s">
        <v>2276</v>
      </c>
      <c r="H2741" s="204" t="s">
        <v>523</v>
      </c>
      <c r="I2741" s="204">
        <v>2011</v>
      </c>
      <c r="J2741" s="204" t="s">
        <v>2276</v>
      </c>
      <c r="K2741" s="204" t="s">
        <v>2276</v>
      </c>
      <c r="L2741" s="204" t="s">
        <v>2276</v>
      </c>
      <c r="M2741" s="204" t="s">
        <v>2276</v>
      </c>
      <c r="N2741" s="204" t="s">
        <v>2276</v>
      </c>
      <c r="O2741" s="204" t="s">
        <v>2276</v>
      </c>
      <c r="P2741" s="204" t="s">
        <v>2276</v>
      </c>
      <c r="Q2741" s="204" t="s">
        <v>2276</v>
      </c>
      <c r="R2741" s="204" t="s">
        <v>2276</v>
      </c>
      <c r="S2741" s="204" t="s">
        <v>2276</v>
      </c>
      <c r="T2741" s="21">
        <f>1750*0.068</f>
        <v>119.00000000000001</v>
      </c>
      <c r="U2741" s="204" t="s">
        <v>2276</v>
      </c>
      <c r="V2741" s="204" t="s">
        <v>2276</v>
      </c>
      <c r="W2741" s="204" t="s">
        <v>2276</v>
      </c>
      <c r="X2741" s="21">
        <f>T2741/'Record info'!K$1141</f>
        <v>0.10136286201022147</v>
      </c>
      <c r="Y2741" s="204" t="s">
        <v>2276</v>
      </c>
      <c r="Z2741" s="204" t="s">
        <v>68</v>
      </c>
      <c r="AA2741" s="204" t="s">
        <v>86</v>
      </c>
      <c r="AB2741" s="204" t="s">
        <v>76</v>
      </c>
      <c r="AC2741" s="204"/>
      <c r="AD2741" s="204"/>
    </row>
    <row r="2742" spans="1:30" ht="32.5" customHeight="1">
      <c r="A2742" s="19" t="s">
        <v>7392</v>
      </c>
      <c r="B2742" s="19" t="s">
        <v>7517</v>
      </c>
      <c r="C2742" s="204" t="s">
        <v>24</v>
      </c>
      <c r="D2742" s="204" t="s">
        <v>1242</v>
      </c>
      <c r="E2742" s="204" t="s">
        <v>3209</v>
      </c>
      <c r="F2742" s="152" t="s">
        <v>2276</v>
      </c>
      <c r="G2742" s="152" t="s">
        <v>2276</v>
      </c>
      <c r="H2742" s="204" t="s">
        <v>523</v>
      </c>
      <c r="I2742" s="204">
        <v>2011</v>
      </c>
      <c r="J2742" s="204" t="s">
        <v>2276</v>
      </c>
      <c r="K2742" s="204" t="s">
        <v>2276</v>
      </c>
      <c r="L2742" s="204" t="s">
        <v>2276</v>
      </c>
      <c r="M2742" s="204" t="s">
        <v>2276</v>
      </c>
      <c r="N2742" s="204" t="s">
        <v>2276</v>
      </c>
      <c r="O2742" s="204" t="s">
        <v>2276</v>
      </c>
      <c r="P2742" s="204" t="s">
        <v>2276</v>
      </c>
      <c r="Q2742" s="204" t="s">
        <v>2276</v>
      </c>
      <c r="R2742" s="204" t="s">
        <v>2276</v>
      </c>
      <c r="S2742" s="204" t="s">
        <v>2276</v>
      </c>
      <c r="T2742" s="21">
        <f>1750*0.075</f>
        <v>131.25</v>
      </c>
      <c r="U2742" s="204" t="s">
        <v>2276</v>
      </c>
      <c r="V2742" s="204" t="s">
        <v>2276</v>
      </c>
      <c r="W2742" s="204" t="s">
        <v>2276</v>
      </c>
      <c r="X2742" s="21">
        <f>T2742/'Record info'!K$1142</f>
        <v>3.0325785582255082E-2</v>
      </c>
      <c r="Y2742" s="204" t="s">
        <v>2276</v>
      </c>
      <c r="Z2742" s="204" t="s">
        <v>68</v>
      </c>
      <c r="AA2742" s="204" t="s">
        <v>86</v>
      </c>
      <c r="AB2742" s="204" t="s">
        <v>76</v>
      </c>
      <c r="AC2742" s="204"/>
      <c r="AD2742" s="204"/>
    </row>
    <row r="2743" spans="1:30" ht="32.5" customHeight="1">
      <c r="A2743" s="19" t="s">
        <v>7393</v>
      </c>
      <c r="B2743" s="19" t="s">
        <v>7518</v>
      </c>
      <c r="C2743" s="204" t="s">
        <v>24</v>
      </c>
      <c r="D2743" s="204" t="s">
        <v>1242</v>
      </c>
      <c r="E2743" s="204" t="s">
        <v>3209</v>
      </c>
      <c r="F2743" s="152" t="s">
        <v>2276</v>
      </c>
      <c r="G2743" s="152" t="s">
        <v>2276</v>
      </c>
      <c r="H2743" s="204" t="s">
        <v>523</v>
      </c>
      <c r="I2743" s="204">
        <v>2011</v>
      </c>
      <c r="J2743" s="204" t="s">
        <v>2276</v>
      </c>
      <c r="K2743" s="204" t="s">
        <v>2276</v>
      </c>
      <c r="L2743" s="204" t="s">
        <v>2276</v>
      </c>
      <c r="M2743" s="204" t="s">
        <v>2276</v>
      </c>
      <c r="N2743" s="204" t="s">
        <v>2276</v>
      </c>
      <c r="O2743" s="204" t="s">
        <v>2276</v>
      </c>
      <c r="P2743" s="204" t="s">
        <v>2276</v>
      </c>
      <c r="Q2743" s="204" t="s">
        <v>2276</v>
      </c>
      <c r="R2743" s="204" t="s">
        <v>2276</v>
      </c>
      <c r="S2743" s="204" t="s">
        <v>2276</v>
      </c>
      <c r="T2743" s="21">
        <f>1750*0.111</f>
        <v>194.25</v>
      </c>
      <c r="U2743" s="204" t="s">
        <v>2276</v>
      </c>
      <c r="V2743" s="204" t="s">
        <v>2276</v>
      </c>
      <c r="W2743" s="204" t="s">
        <v>2276</v>
      </c>
      <c r="X2743" s="21">
        <f>T2743/'Record info'!K$1143</f>
        <v>8.1106471816283929E-2</v>
      </c>
      <c r="Y2743" s="204" t="s">
        <v>2276</v>
      </c>
      <c r="Z2743" s="204" t="s">
        <v>68</v>
      </c>
      <c r="AA2743" s="204" t="s">
        <v>86</v>
      </c>
      <c r="AB2743" s="204" t="s">
        <v>76</v>
      </c>
      <c r="AC2743" s="204"/>
      <c r="AD2743" s="204"/>
    </row>
    <row r="2744" spans="1:30" ht="32.5" customHeight="1">
      <c r="A2744" s="19" t="s">
        <v>7394</v>
      </c>
      <c r="B2744" s="19" t="s">
        <v>7519</v>
      </c>
      <c r="C2744" s="204" t="s">
        <v>24</v>
      </c>
      <c r="D2744" s="204" t="s">
        <v>1242</v>
      </c>
      <c r="E2744" s="204" t="s">
        <v>3209</v>
      </c>
      <c r="F2744" s="152" t="s">
        <v>2276</v>
      </c>
      <c r="G2744" s="152" t="s">
        <v>2276</v>
      </c>
      <c r="H2744" s="204" t="s">
        <v>523</v>
      </c>
      <c r="I2744" s="204">
        <v>2011</v>
      </c>
      <c r="J2744" s="204" t="s">
        <v>2276</v>
      </c>
      <c r="K2744" s="204" t="s">
        <v>2276</v>
      </c>
      <c r="L2744" s="204" t="s">
        <v>2276</v>
      </c>
      <c r="M2744" s="204" t="s">
        <v>2276</v>
      </c>
      <c r="N2744" s="204" t="s">
        <v>2276</v>
      </c>
      <c r="O2744" s="204" t="s">
        <v>2276</v>
      </c>
      <c r="P2744" s="204" t="s">
        <v>2276</v>
      </c>
      <c r="Q2744" s="204" t="s">
        <v>2276</v>
      </c>
      <c r="R2744" s="204" t="s">
        <v>2276</v>
      </c>
      <c r="S2744" s="204" t="s">
        <v>2276</v>
      </c>
      <c r="T2744" s="21">
        <f>1750*0.106</f>
        <v>185.5</v>
      </c>
      <c r="U2744" s="204" t="s">
        <v>2276</v>
      </c>
      <c r="V2744" s="204" t="s">
        <v>2276</v>
      </c>
      <c r="W2744" s="204" t="s">
        <v>2276</v>
      </c>
      <c r="X2744" s="21">
        <f>T2744/'Record info'!K$1144</f>
        <v>6.9397680508791623E-2</v>
      </c>
      <c r="Y2744" s="204" t="s">
        <v>2276</v>
      </c>
      <c r="Z2744" s="204" t="s">
        <v>68</v>
      </c>
      <c r="AA2744" s="204" t="s">
        <v>86</v>
      </c>
      <c r="AB2744" s="204" t="s">
        <v>76</v>
      </c>
      <c r="AC2744" s="204"/>
      <c r="AD2744" s="204"/>
    </row>
    <row r="2745" spans="1:30" ht="32.5" customHeight="1">
      <c r="A2745" s="19" t="s">
        <v>7395</v>
      </c>
      <c r="B2745" s="19" t="s">
        <v>7520</v>
      </c>
      <c r="C2745" s="204" t="s">
        <v>24</v>
      </c>
      <c r="D2745" s="204" t="s">
        <v>1242</v>
      </c>
      <c r="E2745" s="204" t="s">
        <v>3209</v>
      </c>
      <c r="F2745" s="152" t="s">
        <v>2276</v>
      </c>
      <c r="G2745" s="152" t="s">
        <v>2276</v>
      </c>
      <c r="H2745" s="204" t="s">
        <v>523</v>
      </c>
      <c r="I2745" s="204">
        <v>2011</v>
      </c>
      <c r="J2745" s="204" t="s">
        <v>2276</v>
      </c>
      <c r="K2745" s="204" t="s">
        <v>2276</v>
      </c>
      <c r="L2745" s="204" t="s">
        <v>2276</v>
      </c>
      <c r="M2745" s="204" t="s">
        <v>2276</v>
      </c>
      <c r="N2745" s="204" t="s">
        <v>2276</v>
      </c>
      <c r="O2745" s="204" t="s">
        <v>2276</v>
      </c>
      <c r="P2745" s="204" t="s">
        <v>2276</v>
      </c>
      <c r="Q2745" s="204" t="s">
        <v>2276</v>
      </c>
      <c r="R2745" s="204" t="s">
        <v>2276</v>
      </c>
      <c r="S2745" s="204" t="s">
        <v>2276</v>
      </c>
      <c r="T2745" s="21">
        <f>1750*0.166</f>
        <v>290.5</v>
      </c>
      <c r="U2745" s="204" t="s">
        <v>2276</v>
      </c>
      <c r="V2745" s="204" t="s">
        <v>2276</v>
      </c>
      <c r="W2745" s="204" t="s">
        <v>2276</v>
      </c>
      <c r="X2745" s="21">
        <f>T2745/'Record info'!K$1145</f>
        <v>0.12882483370288247</v>
      </c>
      <c r="Y2745" s="204" t="s">
        <v>2276</v>
      </c>
      <c r="Z2745" s="204" t="s">
        <v>68</v>
      </c>
      <c r="AA2745" s="204" t="s">
        <v>86</v>
      </c>
      <c r="AB2745" s="204" t="s">
        <v>76</v>
      </c>
      <c r="AC2745" s="204"/>
      <c r="AD2745" s="204"/>
    </row>
    <row r="2746" spans="1:30" ht="32.5" customHeight="1">
      <c r="A2746" s="19" t="s">
        <v>7293</v>
      </c>
      <c r="B2746" s="19" t="s">
        <v>7521</v>
      </c>
      <c r="C2746" s="204" t="s">
        <v>24</v>
      </c>
      <c r="D2746" s="204" t="s">
        <v>1242</v>
      </c>
      <c r="E2746" s="204" t="s">
        <v>3209</v>
      </c>
      <c r="F2746" s="152" t="s">
        <v>2276</v>
      </c>
      <c r="G2746" s="152" t="s">
        <v>2276</v>
      </c>
      <c r="H2746" s="204" t="s">
        <v>523</v>
      </c>
      <c r="I2746" s="204">
        <v>2012</v>
      </c>
      <c r="J2746" s="204" t="s">
        <v>2276</v>
      </c>
      <c r="K2746" s="204" t="s">
        <v>2276</v>
      </c>
      <c r="L2746" s="204" t="s">
        <v>2276</v>
      </c>
      <c r="M2746" s="204" t="s">
        <v>2276</v>
      </c>
      <c r="N2746" s="204" t="s">
        <v>2276</v>
      </c>
      <c r="O2746" s="204" t="s">
        <v>2276</v>
      </c>
      <c r="P2746" s="204" t="s">
        <v>2276</v>
      </c>
      <c r="Q2746" s="204" t="s">
        <v>2276</v>
      </c>
      <c r="R2746" s="204" t="s">
        <v>2276</v>
      </c>
      <c r="S2746" s="204" t="s">
        <v>2276</v>
      </c>
      <c r="T2746" s="21">
        <f>450*0.027</f>
        <v>12.15</v>
      </c>
      <c r="U2746" s="204" t="s">
        <v>2276</v>
      </c>
      <c r="V2746" s="204" t="s">
        <v>2276</v>
      </c>
      <c r="W2746" s="204" t="s">
        <v>2276</v>
      </c>
      <c r="X2746" s="21">
        <f>T2746/'Record info'!K$1128</f>
        <v>4.3392857142857148E-3</v>
      </c>
      <c r="Y2746" s="204" t="s">
        <v>2276</v>
      </c>
      <c r="Z2746" s="204" t="s">
        <v>68</v>
      </c>
      <c r="AA2746" s="204" t="s">
        <v>86</v>
      </c>
      <c r="AB2746" s="204" t="s">
        <v>76</v>
      </c>
      <c r="AC2746" s="204"/>
      <c r="AD2746" s="204"/>
    </row>
    <row r="2747" spans="1:30" ht="32.5" customHeight="1">
      <c r="A2747" s="19" t="s">
        <v>7379</v>
      </c>
      <c r="B2747" s="19" t="s">
        <v>7522</v>
      </c>
      <c r="C2747" s="204" t="s">
        <v>24</v>
      </c>
      <c r="D2747" s="204" t="s">
        <v>1242</v>
      </c>
      <c r="E2747" s="204" t="s">
        <v>3209</v>
      </c>
      <c r="F2747" s="152" t="s">
        <v>2276</v>
      </c>
      <c r="G2747" s="152" t="s">
        <v>2276</v>
      </c>
      <c r="H2747" s="204" t="s">
        <v>523</v>
      </c>
      <c r="I2747" s="204">
        <v>2012</v>
      </c>
      <c r="J2747" s="204" t="s">
        <v>2276</v>
      </c>
      <c r="K2747" s="204" t="s">
        <v>2276</v>
      </c>
      <c r="L2747" s="204" t="s">
        <v>2276</v>
      </c>
      <c r="M2747" s="204" t="s">
        <v>2276</v>
      </c>
      <c r="N2747" s="204" t="s">
        <v>2276</v>
      </c>
      <c r="O2747" s="204" t="s">
        <v>2276</v>
      </c>
      <c r="P2747" s="204" t="s">
        <v>2276</v>
      </c>
      <c r="Q2747" s="204" t="s">
        <v>2276</v>
      </c>
      <c r="R2747" s="204" t="s">
        <v>2276</v>
      </c>
      <c r="S2747" s="204" t="s">
        <v>2276</v>
      </c>
      <c r="T2747" s="21">
        <f>450*0.041</f>
        <v>18.45</v>
      </c>
      <c r="U2747" s="204" t="s">
        <v>2276</v>
      </c>
      <c r="V2747" s="204" t="s">
        <v>2276</v>
      </c>
      <c r="W2747" s="204" t="s">
        <v>2276</v>
      </c>
      <c r="X2747" s="21">
        <f>T2747/'Record info'!K$1129</f>
        <v>5.2489331436699855E-3</v>
      </c>
      <c r="Y2747" s="204" t="s">
        <v>2276</v>
      </c>
      <c r="Z2747" s="204" t="s">
        <v>68</v>
      </c>
      <c r="AA2747" s="204" t="s">
        <v>86</v>
      </c>
      <c r="AB2747" s="204" t="s">
        <v>76</v>
      </c>
      <c r="AC2747" s="204"/>
      <c r="AD2747" s="204"/>
    </row>
    <row r="2748" spans="1:30" ht="32.5" customHeight="1">
      <c r="A2748" s="19" t="s">
        <v>7380</v>
      </c>
      <c r="B2748" s="19" t="s">
        <v>7523</v>
      </c>
      <c r="C2748" s="204" t="s">
        <v>24</v>
      </c>
      <c r="D2748" s="204" t="s">
        <v>1242</v>
      </c>
      <c r="E2748" s="204" t="s">
        <v>3209</v>
      </c>
      <c r="F2748" s="152" t="s">
        <v>2276</v>
      </c>
      <c r="G2748" s="152" t="s">
        <v>2276</v>
      </c>
      <c r="H2748" s="204" t="s">
        <v>523</v>
      </c>
      <c r="I2748" s="204">
        <v>2012</v>
      </c>
      <c r="J2748" s="204" t="s">
        <v>2276</v>
      </c>
      <c r="K2748" s="204" t="s">
        <v>2276</v>
      </c>
      <c r="L2748" s="204" t="s">
        <v>2276</v>
      </c>
      <c r="M2748" s="204" t="s">
        <v>2276</v>
      </c>
      <c r="N2748" s="204" t="s">
        <v>2276</v>
      </c>
      <c r="O2748" s="204" t="s">
        <v>2276</v>
      </c>
      <c r="P2748" s="204" t="s">
        <v>2276</v>
      </c>
      <c r="Q2748" s="204" t="s">
        <v>2276</v>
      </c>
      <c r="R2748" s="204" t="s">
        <v>2276</v>
      </c>
      <c r="S2748" s="204" t="s">
        <v>2276</v>
      </c>
      <c r="T2748" s="21">
        <f>450*0.004</f>
        <v>1.8</v>
      </c>
      <c r="U2748" s="204" t="s">
        <v>2276</v>
      </c>
      <c r="V2748" s="204" t="s">
        <v>2276</v>
      </c>
      <c r="W2748" s="204" t="s">
        <v>2276</v>
      </c>
      <c r="X2748" s="21">
        <f>T2748/'Record info'!K$1130</f>
        <v>2.6678523788350376E-4</v>
      </c>
      <c r="Y2748" s="204" t="s">
        <v>2276</v>
      </c>
      <c r="Z2748" s="204" t="s">
        <v>68</v>
      </c>
      <c r="AA2748" s="204" t="s">
        <v>86</v>
      </c>
      <c r="AB2748" s="204" t="s">
        <v>76</v>
      </c>
      <c r="AC2748" s="204"/>
      <c r="AD2748" s="204"/>
    </row>
    <row r="2749" spans="1:30" ht="32.5" customHeight="1">
      <c r="A2749" s="19" t="s">
        <v>7381</v>
      </c>
      <c r="B2749" s="19" t="s">
        <v>7524</v>
      </c>
      <c r="C2749" s="204" t="s">
        <v>24</v>
      </c>
      <c r="D2749" s="204" t="s">
        <v>1242</v>
      </c>
      <c r="E2749" s="204" t="s">
        <v>3209</v>
      </c>
      <c r="F2749" s="152" t="s">
        <v>2276</v>
      </c>
      <c r="G2749" s="152" t="s">
        <v>2276</v>
      </c>
      <c r="H2749" s="204" t="s">
        <v>523</v>
      </c>
      <c r="I2749" s="204">
        <v>2012</v>
      </c>
      <c r="J2749" s="204" t="s">
        <v>2276</v>
      </c>
      <c r="K2749" s="204" t="s">
        <v>2276</v>
      </c>
      <c r="L2749" s="204" t="s">
        <v>2276</v>
      </c>
      <c r="M2749" s="204" t="s">
        <v>2276</v>
      </c>
      <c r="N2749" s="204" t="s">
        <v>2276</v>
      </c>
      <c r="O2749" s="204" t="s">
        <v>2276</v>
      </c>
      <c r="P2749" s="204" t="s">
        <v>2276</v>
      </c>
      <c r="Q2749" s="204" t="s">
        <v>2276</v>
      </c>
      <c r="R2749" s="204" t="s">
        <v>2276</v>
      </c>
      <c r="S2749" s="204" t="s">
        <v>2276</v>
      </c>
      <c r="T2749" s="21">
        <f>450*0.004</f>
        <v>1.8</v>
      </c>
      <c r="U2749" s="204" t="s">
        <v>2276</v>
      </c>
      <c r="V2749" s="204" t="s">
        <v>2276</v>
      </c>
      <c r="W2749" s="204" t="s">
        <v>2276</v>
      </c>
      <c r="X2749" s="21">
        <f>T2749/'Record info'!K$1131</f>
        <v>3.5545023696682463E-4</v>
      </c>
      <c r="Y2749" s="204" t="s">
        <v>2276</v>
      </c>
      <c r="Z2749" s="204" t="s">
        <v>68</v>
      </c>
      <c r="AA2749" s="204" t="s">
        <v>86</v>
      </c>
      <c r="AB2749" s="204" t="s">
        <v>76</v>
      </c>
      <c r="AC2749" s="204"/>
      <c r="AD2749" s="204"/>
    </row>
    <row r="2750" spans="1:30" ht="32.5" customHeight="1">
      <c r="A2750" s="19" t="s">
        <v>7382</v>
      </c>
      <c r="B2750" s="19" t="s">
        <v>7525</v>
      </c>
      <c r="C2750" s="204" t="s">
        <v>24</v>
      </c>
      <c r="D2750" s="204" t="s">
        <v>1242</v>
      </c>
      <c r="E2750" s="204" t="s">
        <v>3209</v>
      </c>
      <c r="F2750" s="152" t="s">
        <v>2276</v>
      </c>
      <c r="G2750" s="152" t="s">
        <v>2276</v>
      </c>
      <c r="H2750" s="204" t="s">
        <v>524</v>
      </c>
      <c r="I2750" s="204">
        <v>2012</v>
      </c>
      <c r="J2750" s="21">
        <v>0</v>
      </c>
      <c r="K2750" s="21">
        <v>0</v>
      </c>
      <c r="L2750" s="21">
        <v>0</v>
      </c>
      <c r="M2750" s="21">
        <v>0</v>
      </c>
      <c r="N2750" s="21">
        <v>0</v>
      </c>
      <c r="O2750" s="21">
        <v>0</v>
      </c>
      <c r="P2750" s="21">
        <v>0</v>
      </c>
      <c r="Q2750" s="21">
        <v>0</v>
      </c>
      <c r="R2750" s="21">
        <v>0</v>
      </c>
      <c r="S2750" s="21">
        <v>0</v>
      </c>
      <c r="T2750" s="21">
        <v>0</v>
      </c>
      <c r="U2750" s="21">
        <v>0</v>
      </c>
      <c r="V2750" s="21">
        <v>0</v>
      </c>
      <c r="W2750" s="21">
        <v>0</v>
      </c>
      <c r="X2750" s="21">
        <f>T2750/'Record info'!K$1132</f>
        <v>0</v>
      </c>
      <c r="Y2750" s="204" t="s">
        <v>2276</v>
      </c>
      <c r="Z2750" s="204" t="s">
        <v>68</v>
      </c>
      <c r="AA2750" s="204" t="s">
        <v>86</v>
      </c>
      <c r="AB2750" s="204" t="s">
        <v>76</v>
      </c>
      <c r="AC2750" s="204"/>
      <c r="AD2750" s="204"/>
    </row>
    <row r="2751" spans="1:30" ht="32.5" customHeight="1">
      <c r="A2751" s="19" t="s">
        <v>7383</v>
      </c>
      <c r="B2751" s="19" t="s">
        <v>7526</v>
      </c>
      <c r="C2751" s="204" t="s">
        <v>24</v>
      </c>
      <c r="D2751" s="204" t="s">
        <v>1242</v>
      </c>
      <c r="E2751" s="204" t="s">
        <v>3209</v>
      </c>
      <c r="F2751" s="152" t="s">
        <v>2276</v>
      </c>
      <c r="G2751" s="152" t="s">
        <v>2276</v>
      </c>
      <c r="H2751" s="204" t="s">
        <v>524</v>
      </c>
      <c r="I2751" s="204">
        <v>2012</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info'!K$1133</f>
        <v>0</v>
      </c>
      <c r="Y2751" s="204" t="s">
        <v>2276</v>
      </c>
      <c r="Z2751" s="204" t="s">
        <v>68</v>
      </c>
      <c r="AA2751" s="204" t="s">
        <v>86</v>
      </c>
      <c r="AB2751" s="204" t="s">
        <v>76</v>
      </c>
      <c r="AC2751" s="204"/>
      <c r="AD2751" s="204"/>
    </row>
    <row r="2752" spans="1:30" ht="32.5" customHeight="1">
      <c r="A2752" s="19" t="s">
        <v>7384</v>
      </c>
      <c r="B2752" s="19" t="s">
        <v>7527</v>
      </c>
      <c r="C2752" s="204" t="s">
        <v>24</v>
      </c>
      <c r="D2752" s="204" t="s">
        <v>1242</v>
      </c>
      <c r="E2752" s="204" t="s">
        <v>3209</v>
      </c>
      <c r="F2752" s="152" t="s">
        <v>2276</v>
      </c>
      <c r="G2752" s="152" t="s">
        <v>2276</v>
      </c>
      <c r="H2752" s="204" t="s">
        <v>524</v>
      </c>
      <c r="I2752" s="204">
        <v>2012</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info'!K$1134</f>
        <v>0</v>
      </c>
      <c r="Y2752" s="204" t="s">
        <v>2276</v>
      </c>
      <c r="Z2752" s="204" t="s">
        <v>68</v>
      </c>
      <c r="AA2752" s="204" t="s">
        <v>86</v>
      </c>
      <c r="AB2752" s="204" t="s">
        <v>76</v>
      </c>
      <c r="AC2752" s="204"/>
      <c r="AD2752" s="204"/>
    </row>
    <row r="2753" spans="1:30" ht="32.5" customHeight="1">
      <c r="A2753" s="19" t="s">
        <v>7385</v>
      </c>
      <c r="B2753" s="19" t="s">
        <v>7528</v>
      </c>
      <c r="C2753" s="204" t="s">
        <v>24</v>
      </c>
      <c r="D2753" s="204" t="s">
        <v>1242</v>
      </c>
      <c r="E2753" s="204" t="s">
        <v>3209</v>
      </c>
      <c r="F2753" s="152" t="s">
        <v>2276</v>
      </c>
      <c r="G2753" s="152" t="s">
        <v>2276</v>
      </c>
      <c r="H2753" s="204" t="s">
        <v>523</v>
      </c>
      <c r="I2753" s="204">
        <v>2012</v>
      </c>
      <c r="J2753" s="204" t="s">
        <v>2276</v>
      </c>
      <c r="K2753" s="204" t="s">
        <v>2276</v>
      </c>
      <c r="L2753" s="204" t="s">
        <v>2276</v>
      </c>
      <c r="M2753" s="204" t="s">
        <v>2276</v>
      </c>
      <c r="N2753" s="204" t="s">
        <v>2276</v>
      </c>
      <c r="O2753" s="204" t="s">
        <v>2276</v>
      </c>
      <c r="P2753" s="204" t="s">
        <v>2276</v>
      </c>
      <c r="Q2753" s="204" t="s">
        <v>2276</v>
      </c>
      <c r="R2753" s="204" t="s">
        <v>2276</v>
      </c>
      <c r="S2753" s="204" t="s">
        <v>2276</v>
      </c>
      <c r="T2753" s="21">
        <f>450*0.035</f>
        <v>15.750000000000002</v>
      </c>
      <c r="U2753" s="204" t="s">
        <v>2276</v>
      </c>
      <c r="V2753" s="204" t="s">
        <v>2276</v>
      </c>
      <c r="W2753" s="204" t="s">
        <v>2276</v>
      </c>
      <c r="X2753" s="21">
        <f>T2753/'Record info'!K$1135</f>
        <v>2.5968672712283597E-3</v>
      </c>
      <c r="Y2753" s="204" t="s">
        <v>2276</v>
      </c>
      <c r="Z2753" s="204" t="s">
        <v>68</v>
      </c>
      <c r="AA2753" s="204" t="s">
        <v>86</v>
      </c>
      <c r="AB2753" s="204" t="s">
        <v>76</v>
      </c>
      <c r="AC2753" s="204"/>
      <c r="AD2753" s="204"/>
    </row>
    <row r="2754" spans="1:30" ht="32.5" customHeight="1">
      <c r="A2754" s="19" t="s">
        <v>7386</v>
      </c>
      <c r="B2754" s="19" t="s">
        <v>7529</v>
      </c>
      <c r="C2754" s="204" t="s">
        <v>24</v>
      </c>
      <c r="D2754" s="204" t="s">
        <v>1242</v>
      </c>
      <c r="E2754" s="204" t="s">
        <v>3209</v>
      </c>
      <c r="F2754" s="152" t="s">
        <v>2276</v>
      </c>
      <c r="G2754" s="152" t="s">
        <v>2276</v>
      </c>
      <c r="H2754" s="204" t="s">
        <v>523</v>
      </c>
      <c r="I2754" s="204">
        <v>2012</v>
      </c>
      <c r="J2754" s="204" t="s">
        <v>2276</v>
      </c>
      <c r="K2754" s="204" t="s">
        <v>2276</v>
      </c>
      <c r="L2754" s="204" t="s">
        <v>2276</v>
      </c>
      <c r="M2754" s="204" t="s">
        <v>2276</v>
      </c>
      <c r="N2754" s="204" t="s">
        <v>2276</v>
      </c>
      <c r="O2754" s="204" t="s">
        <v>2276</v>
      </c>
      <c r="P2754" s="204" t="s">
        <v>2276</v>
      </c>
      <c r="Q2754" s="204" t="s">
        <v>2276</v>
      </c>
      <c r="R2754" s="204" t="s">
        <v>2276</v>
      </c>
      <c r="S2754" s="204" t="s">
        <v>2276</v>
      </c>
      <c r="T2754" s="21">
        <f>450*0.079</f>
        <v>35.549999999999997</v>
      </c>
      <c r="U2754" s="204" t="s">
        <v>2276</v>
      </c>
      <c r="V2754" s="204" t="s">
        <v>2276</v>
      </c>
      <c r="W2754" s="204" t="s">
        <v>2276</v>
      </c>
      <c r="X2754" s="21">
        <f>T2754/'Record info'!K$1136</f>
        <v>5.3258426966292134E-3</v>
      </c>
      <c r="Y2754" s="204" t="s">
        <v>2276</v>
      </c>
      <c r="Z2754" s="204" t="s">
        <v>68</v>
      </c>
      <c r="AA2754" s="204" t="s">
        <v>86</v>
      </c>
      <c r="AB2754" s="204" t="s">
        <v>76</v>
      </c>
      <c r="AC2754" s="204"/>
      <c r="AD2754" s="204"/>
    </row>
    <row r="2755" spans="1:30" ht="32.5" customHeight="1">
      <c r="A2755" s="19" t="s">
        <v>7387</v>
      </c>
      <c r="B2755" s="19" t="s">
        <v>7530</v>
      </c>
      <c r="C2755" s="204" t="s">
        <v>24</v>
      </c>
      <c r="D2755" s="204" t="s">
        <v>1242</v>
      </c>
      <c r="E2755" s="204" t="s">
        <v>3209</v>
      </c>
      <c r="F2755" s="152" t="s">
        <v>2276</v>
      </c>
      <c r="G2755" s="152" t="s">
        <v>2276</v>
      </c>
      <c r="H2755" s="204" t="s">
        <v>523</v>
      </c>
      <c r="I2755" s="204">
        <v>2012</v>
      </c>
      <c r="J2755" s="204" t="s">
        <v>2276</v>
      </c>
      <c r="K2755" s="204" t="s">
        <v>2276</v>
      </c>
      <c r="L2755" s="204" t="s">
        <v>2276</v>
      </c>
      <c r="M2755" s="204" t="s">
        <v>2276</v>
      </c>
      <c r="N2755" s="204" t="s">
        <v>2276</v>
      </c>
      <c r="O2755" s="204" t="s">
        <v>2276</v>
      </c>
      <c r="P2755" s="204" t="s">
        <v>2276</v>
      </c>
      <c r="Q2755" s="204" t="s">
        <v>2276</v>
      </c>
      <c r="R2755" s="204" t="s">
        <v>2276</v>
      </c>
      <c r="S2755" s="204" t="s">
        <v>2276</v>
      </c>
      <c r="T2755" s="21">
        <f>450*0.132</f>
        <v>59.400000000000006</v>
      </c>
      <c r="U2755" s="204" t="s">
        <v>2276</v>
      </c>
      <c r="V2755" s="204" t="s">
        <v>2276</v>
      </c>
      <c r="W2755" s="204" t="s">
        <v>2276</v>
      </c>
      <c r="X2755" s="21">
        <f>T2755/'Record info'!K$1137</f>
        <v>1.076476984414643E-2</v>
      </c>
      <c r="Y2755" s="204" t="s">
        <v>2276</v>
      </c>
      <c r="Z2755" s="204" t="s">
        <v>68</v>
      </c>
      <c r="AA2755" s="204" t="s">
        <v>86</v>
      </c>
      <c r="AB2755" s="204" t="s">
        <v>76</v>
      </c>
      <c r="AC2755" s="204"/>
      <c r="AD2755" s="204"/>
    </row>
    <row r="2756" spans="1:30" ht="32.5" customHeight="1">
      <c r="A2756" s="19" t="s">
        <v>7388</v>
      </c>
      <c r="B2756" s="19" t="s">
        <v>7531</v>
      </c>
      <c r="C2756" s="204" t="s">
        <v>24</v>
      </c>
      <c r="D2756" s="204" t="s">
        <v>1242</v>
      </c>
      <c r="E2756" s="204" t="s">
        <v>3209</v>
      </c>
      <c r="F2756" s="152" t="s">
        <v>2276</v>
      </c>
      <c r="G2756" s="152" t="s">
        <v>2276</v>
      </c>
      <c r="H2756" s="204" t="s">
        <v>523</v>
      </c>
      <c r="I2756" s="204">
        <v>2012</v>
      </c>
      <c r="J2756" s="204" t="s">
        <v>2276</v>
      </c>
      <c r="K2756" s="204" t="s">
        <v>2276</v>
      </c>
      <c r="L2756" s="204" t="s">
        <v>2276</v>
      </c>
      <c r="M2756" s="204" t="s">
        <v>2276</v>
      </c>
      <c r="N2756" s="204" t="s">
        <v>2276</v>
      </c>
      <c r="O2756" s="204" t="s">
        <v>2276</v>
      </c>
      <c r="P2756" s="204" t="s">
        <v>2276</v>
      </c>
      <c r="Q2756" s="204" t="s">
        <v>2276</v>
      </c>
      <c r="R2756" s="204" t="s">
        <v>2276</v>
      </c>
      <c r="S2756" s="204" t="s">
        <v>2276</v>
      </c>
      <c r="T2756" s="21">
        <f>450*0.057</f>
        <v>25.650000000000002</v>
      </c>
      <c r="U2756" s="204" t="s">
        <v>2276</v>
      </c>
      <c r="V2756" s="204" t="s">
        <v>2276</v>
      </c>
      <c r="W2756" s="204" t="s">
        <v>2276</v>
      </c>
      <c r="X2756" s="21">
        <f>T2756/'Record info'!K$1138</f>
        <v>6.4986065366100841E-3</v>
      </c>
      <c r="Y2756" s="204" t="s">
        <v>2276</v>
      </c>
      <c r="Z2756" s="204" t="s">
        <v>68</v>
      </c>
      <c r="AA2756" s="204" t="s">
        <v>86</v>
      </c>
      <c r="AB2756" s="204" t="s">
        <v>76</v>
      </c>
      <c r="AC2756" s="204"/>
      <c r="AD2756" s="204"/>
    </row>
    <row r="2757" spans="1:30" ht="32.5" customHeight="1">
      <c r="A2757" s="19" t="s">
        <v>7389</v>
      </c>
      <c r="B2757" s="19" t="s">
        <v>7532</v>
      </c>
      <c r="C2757" s="204" t="s">
        <v>24</v>
      </c>
      <c r="D2757" s="204" t="s">
        <v>1242</v>
      </c>
      <c r="E2757" s="204" t="s">
        <v>3209</v>
      </c>
      <c r="F2757" s="152" t="s">
        <v>2276</v>
      </c>
      <c r="G2757" s="152" t="s">
        <v>2276</v>
      </c>
      <c r="H2757" s="204" t="s">
        <v>523</v>
      </c>
      <c r="I2757" s="204">
        <v>2012</v>
      </c>
      <c r="J2757" s="204" t="s">
        <v>2276</v>
      </c>
      <c r="K2757" s="204" t="s">
        <v>2276</v>
      </c>
      <c r="L2757" s="204" t="s">
        <v>2276</v>
      </c>
      <c r="M2757" s="204" t="s">
        <v>2276</v>
      </c>
      <c r="N2757" s="204" t="s">
        <v>2276</v>
      </c>
      <c r="O2757" s="204" t="s">
        <v>2276</v>
      </c>
      <c r="P2757" s="204" t="s">
        <v>2276</v>
      </c>
      <c r="Q2757" s="204" t="s">
        <v>2276</v>
      </c>
      <c r="R2757" s="204" t="s">
        <v>2276</v>
      </c>
      <c r="S2757" s="204" t="s">
        <v>2276</v>
      </c>
      <c r="T2757" s="21">
        <f>450*0.024</f>
        <v>10.8</v>
      </c>
      <c r="U2757" s="204" t="s">
        <v>2276</v>
      </c>
      <c r="V2757" s="204" t="s">
        <v>2276</v>
      </c>
      <c r="W2757" s="204" t="s">
        <v>2276</v>
      </c>
      <c r="X2757" s="21">
        <f>T2757/'Record info'!K$1139</f>
        <v>3.8461538461538464E-3</v>
      </c>
      <c r="Y2757" s="204" t="s">
        <v>2276</v>
      </c>
      <c r="Z2757" s="204" t="s">
        <v>68</v>
      </c>
      <c r="AA2757" s="204" t="s">
        <v>86</v>
      </c>
      <c r="AB2757" s="204" t="s">
        <v>76</v>
      </c>
      <c r="AC2757" s="204"/>
      <c r="AD2757" s="204"/>
    </row>
    <row r="2758" spans="1:30" ht="32.5" customHeight="1">
      <c r="A2758" s="19" t="s">
        <v>7390</v>
      </c>
      <c r="B2758" s="19" t="s">
        <v>7533</v>
      </c>
      <c r="C2758" s="204" t="s">
        <v>24</v>
      </c>
      <c r="D2758" s="204" t="s">
        <v>1242</v>
      </c>
      <c r="E2758" s="204" t="s">
        <v>3209</v>
      </c>
      <c r="F2758" s="152" t="s">
        <v>2276</v>
      </c>
      <c r="G2758" s="152" t="s">
        <v>2276</v>
      </c>
      <c r="H2758" s="204" t="s">
        <v>523</v>
      </c>
      <c r="I2758" s="204">
        <v>2012</v>
      </c>
      <c r="J2758" s="204" t="s">
        <v>2276</v>
      </c>
      <c r="K2758" s="204" t="s">
        <v>2276</v>
      </c>
      <c r="L2758" s="204" t="s">
        <v>2276</v>
      </c>
      <c r="M2758" s="204" t="s">
        <v>2276</v>
      </c>
      <c r="N2758" s="204" t="s">
        <v>2276</v>
      </c>
      <c r="O2758" s="204" t="s">
        <v>2276</v>
      </c>
      <c r="P2758" s="204" t="s">
        <v>2276</v>
      </c>
      <c r="Q2758" s="204" t="s">
        <v>2276</v>
      </c>
      <c r="R2758" s="204" t="s">
        <v>2276</v>
      </c>
      <c r="S2758" s="204" t="s">
        <v>2276</v>
      </c>
      <c r="T2758" s="21">
        <f>450*0.072</f>
        <v>32.4</v>
      </c>
      <c r="U2758" s="204" t="s">
        <v>2276</v>
      </c>
      <c r="V2758" s="204" t="s">
        <v>2276</v>
      </c>
      <c r="W2758" s="204" t="s">
        <v>2276</v>
      </c>
      <c r="X2758" s="21">
        <f>T2758/'Record info'!K$1140</f>
        <v>6.4709406830437384E-3</v>
      </c>
      <c r="Y2758" s="204" t="s">
        <v>2276</v>
      </c>
      <c r="Z2758" s="204" t="s">
        <v>68</v>
      </c>
      <c r="AA2758" s="204" t="s">
        <v>86</v>
      </c>
      <c r="AB2758" s="204" t="s">
        <v>76</v>
      </c>
      <c r="AC2758" s="204"/>
      <c r="AD2758" s="204"/>
    </row>
    <row r="2759" spans="1:30" ht="32.5" customHeight="1">
      <c r="A2759" s="19" t="s">
        <v>7391</v>
      </c>
      <c r="B2759" s="19" t="s">
        <v>7534</v>
      </c>
      <c r="C2759" s="204" t="s">
        <v>24</v>
      </c>
      <c r="D2759" s="204" t="s">
        <v>1242</v>
      </c>
      <c r="E2759" s="204" t="s">
        <v>3209</v>
      </c>
      <c r="F2759" s="152" t="s">
        <v>2276</v>
      </c>
      <c r="G2759" s="152" t="s">
        <v>2276</v>
      </c>
      <c r="H2759" s="204" t="s">
        <v>523</v>
      </c>
      <c r="I2759" s="204">
        <v>2012</v>
      </c>
      <c r="J2759" s="204" t="s">
        <v>2276</v>
      </c>
      <c r="K2759" s="204" t="s">
        <v>2276</v>
      </c>
      <c r="L2759" s="204" t="s">
        <v>2276</v>
      </c>
      <c r="M2759" s="204" t="s">
        <v>2276</v>
      </c>
      <c r="N2759" s="204" t="s">
        <v>2276</v>
      </c>
      <c r="O2759" s="204" t="s">
        <v>2276</v>
      </c>
      <c r="P2759" s="204" t="s">
        <v>2276</v>
      </c>
      <c r="Q2759" s="204" t="s">
        <v>2276</v>
      </c>
      <c r="R2759" s="204" t="s">
        <v>2276</v>
      </c>
      <c r="S2759" s="204" t="s">
        <v>2276</v>
      </c>
      <c r="T2759" s="21">
        <f>450*0.068</f>
        <v>30.6</v>
      </c>
      <c r="U2759" s="204" t="s">
        <v>2276</v>
      </c>
      <c r="V2759" s="204" t="s">
        <v>2276</v>
      </c>
      <c r="W2759" s="204" t="s">
        <v>2276</v>
      </c>
      <c r="X2759" s="21">
        <f>T2759/'Record info'!K$1141</f>
        <v>2.6064735945485522E-2</v>
      </c>
      <c r="Y2759" s="204" t="s">
        <v>2276</v>
      </c>
      <c r="Z2759" s="204" t="s">
        <v>68</v>
      </c>
      <c r="AA2759" s="204" t="s">
        <v>86</v>
      </c>
      <c r="AB2759" s="204" t="s">
        <v>76</v>
      </c>
      <c r="AC2759" s="204"/>
      <c r="AD2759" s="204"/>
    </row>
    <row r="2760" spans="1:30" ht="32.5" customHeight="1">
      <c r="A2760" s="19" t="s">
        <v>7392</v>
      </c>
      <c r="B2760" s="19" t="s">
        <v>7535</v>
      </c>
      <c r="C2760" s="204" t="s">
        <v>24</v>
      </c>
      <c r="D2760" s="204" t="s">
        <v>1242</v>
      </c>
      <c r="E2760" s="204" t="s">
        <v>3209</v>
      </c>
      <c r="F2760" s="152" t="s">
        <v>2276</v>
      </c>
      <c r="G2760" s="152" t="s">
        <v>2276</v>
      </c>
      <c r="H2760" s="204" t="s">
        <v>523</v>
      </c>
      <c r="I2760" s="204">
        <v>2012</v>
      </c>
      <c r="J2760" s="204" t="s">
        <v>2276</v>
      </c>
      <c r="K2760" s="204" t="s">
        <v>2276</v>
      </c>
      <c r="L2760" s="204" t="s">
        <v>2276</v>
      </c>
      <c r="M2760" s="204" t="s">
        <v>2276</v>
      </c>
      <c r="N2760" s="204" t="s">
        <v>2276</v>
      </c>
      <c r="O2760" s="204" t="s">
        <v>2276</v>
      </c>
      <c r="P2760" s="204" t="s">
        <v>2276</v>
      </c>
      <c r="Q2760" s="204" t="s">
        <v>2276</v>
      </c>
      <c r="R2760" s="204" t="s">
        <v>2276</v>
      </c>
      <c r="S2760" s="204" t="s">
        <v>2276</v>
      </c>
      <c r="T2760" s="21">
        <f>450*0.075</f>
        <v>33.75</v>
      </c>
      <c r="U2760" s="204" t="s">
        <v>2276</v>
      </c>
      <c r="V2760" s="204" t="s">
        <v>2276</v>
      </c>
      <c r="W2760" s="204" t="s">
        <v>2276</v>
      </c>
      <c r="X2760" s="21">
        <f>T2760/'Record info'!K$1142</f>
        <v>7.7980591497227355E-3</v>
      </c>
      <c r="Y2760" s="204" t="s">
        <v>2276</v>
      </c>
      <c r="Z2760" s="204" t="s">
        <v>68</v>
      </c>
      <c r="AA2760" s="204" t="s">
        <v>86</v>
      </c>
      <c r="AB2760" s="204" t="s">
        <v>76</v>
      </c>
      <c r="AC2760" s="204"/>
      <c r="AD2760" s="204"/>
    </row>
    <row r="2761" spans="1:30" ht="32.5" customHeight="1">
      <c r="A2761" s="19" t="s">
        <v>7393</v>
      </c>
      <c r="B2761" s="19" t="s">
        <v>7536</v>
      </c>
      <c r="C2761" s="204" t="s">
        <v>24</v>
      </c>
      <c r="D2761" s="204" t="s">
        <v>1242</v>
      </c>
      <c r="E2761" s="204" t="s">
        <v>3209</v>
      </c>
      <c r="F2761" s="152" t="s">
        <v>2276</v>
      </c>
      <c r="G2761" s="152" t="s">
        <v>2276</v>
      </c>
      <c r="H2761" s="204" t="s">
        <v>523</v>
      </c>
      <c r="I2761" s="204">
        <v>2012</v>
      </c>
      <c r="J2761" s="204" t="s">
        <v>2276</v>
      </c>
      <c r="K2761" s="204" t="s">
        <v>2276</v>
      </c>
      <c r="L2761" s="204" t="s">
        <v>2276</v>
      </c>
      <c r="M2761" s="204" t="s">
        <v>2276</v>
      </c>
      <c r="N2761" s="204" t="s">
        <v>2276</v>
      </c>
      <c r="O2761" s="204" t="s">
        <v>2276</v>
      </c>
      <c r="P2761" s="204" t="s">
        <v>2276</v>
      </c>
      <c r="Q2761" s="204" t="s">
        <v>2276</v>
      </c>
      <c r="R2761" s="204" t="s">
        <v>2276</v>
      </c>
      <c r="S2761" s="204" t="s">
        <v>2276</v>
      </c>
      <c r="T2761" s="21">
        <f>450*0.111</f>
        <v>49.95</v>
      </c>
      <c r="U2761" s="204" t="s">
        <v>2276</v>
      </c>
      <c r="V2761" s="204" t="s">
        <v>2276</v>
      </c>
      <c r="W2761" s="204" t="s">
        <v>2276</v>
      </c>
      <c r="X2761" s="21">
        <f>T2761/'Record info'!K$1143</f>
        <v>2.0855949895615868E-2</v>
      </c>
      <c r="Y2761" s="204" t="s">
        <v>2276</v>
      </c>
      <c r="Z2761" s="204" t="s">
        <v>68</v>
      </c>
      <c r="AA2761" s="204" t="s">
        <v>86</v>
      </c>
      <c r="AB2761" s="204" t="s">
        <v>76</v>
      </c>
      <c r="AC2761" s="204"/>
      <c r="AD2761" s="204"/>
    </row>
    <row r="2762" spans="1:30" ht="32.5" customHeight="1">
      <c r="A2762" s="19" t="s">
        <v>7394</v>
      </c>
      <c r="B2762" s="19" t="s">
        <v>7537</v>
      </c>
      <c r="C2762" s="204" t="s">
        <v>24</v>
      </c>
      <c r="D2762" s="204" t="s">
        <v>1242</v>
      </c>
      <c r="E2762" s="204" t="s">
        <v>3209</v>
      </c>
      <c r="F2762" s="152" t="s">
        <v>2276</v>
      </c>
      <c r="G2762" s="152" t="s">
        <v>2276</v>
      </c>
      <c r="H2762" s="204" t="s">
        <v>523</v>
      </c>
      <c r="I2762" s="204">
        <v>2012</v>
      </c>
      <c r="J2762" s="204" t="s">
        <v>2276</v>
      </c>
      <c r="K2762" s="204" t="s">
        <v>2276</v>
      </c>
      <c r="L2762" s="204" t="s">
        <v>2276</v>
      </c>
      <c r="M2762" s="204" t="s">
        <v>2276</v>
      </c>
      <c r="N2762" s="204" t="s">
        <v>2276</v>
      </c>
      <c r="O2762" s="204" t="s">
        <v>2276</v>
      </c>
      <c r="P2762" s="204" t="s">
        <v>2276</v>
      </c>
      <c r="Q2762" s="204" t="s">
        <v>2276</v>
      </c>
      <c r="R2762" s="204" t="s">
        <v>2276</v>
      </c>
      <c r="S2762" s="204" t="s">
        <v>2276</v>
      </c>
      <c r="T2762" s="21">
        <f>450*0.106</f>
        <v>47.699999999999996</v>
      </c>
      <c r="U2762" s="204" t="s">
        <v>2276</v>
      </c>
      <c r="V2762" s="204" t="s">
        <v>2276</v>
      </c>
      <c r="W2762" s="204" t="s">
        <v>2276</v>
      </c>
      <c r="X2762" s="21">
        <f>T2762/'Record info'!K$1144</f>
        <v>1.7845117845117844E-2</v>
      </c>
      <c r="Y2762" s="204" t="s">
        <v>2276</v>
      </c>
      <c r="Z2762" s="204" t="s">
        <v>68</v>
      </c>
      <c r="AA2762" s="204" t="s">
        <v>86</v>
      </c>
      <c r="AB2762" s="204" t="s">
        <v>76</v>
      </c>
      <c r="AC2762" s="204"/>
      <c r="AD2762" s="204"/>
    </row>
    <row r="2763" spans="1:30" ht="32.5" customHeight="1">
      <c r="A2763" s="19" t="s">
        <v>7395</v>
      </c>
      <c r="B2763" s="19" t="s">
        <v>7538</v>
      </c>
      <c r="C2763" s="204" t="s">
        <v>24</v>
      </c>
      <c r="D2763" s="204" t="s">
        <v>1242</v>
      </c>
      <c r="E2763" s="204" t="s">
        <v>3209</v>
      </c>
      <c r="F2763" s="152" t="s">
        <v>2276</v>
      </c>
      <c r="G2763" s="152" t="s">
        <v>2276</v>
      </c>
      <c r="H2763" s="204" t="s">
        <v>523</v>
      </c>
      <c r="I2763" s="204">
        <v>2012</v>
      </c>
      <c r="J2763" s="204" t="s">
        <v>2276</v>
      </c>
      <c r="K2763" s="204" t="s">
        <v>2276</v>
      </c>
      <c r="L2763" s="204" t="s">
        <v>2276</v>
      </c>
      <c r="M2763" s="204" t="s">
        <v>2276</v>
      </c>
      <c r="N2763" s="204" t="s">
        <v>2276</v>
      </c>
      <c r="O2763" s="204" t="s">
        <v>2276</v>
      </c>
      <c r="P2763" s="204" t="s">
        <v>2276</v>
      </c>
      <c r="Q2763" s="204" t="s">
        <v>2276</v>
      </c>
      <c r="R2763" s="204" t="s">
        <v>2276</v>
      </c>
      <c r="S2763" s="204" t="s">
        <v>2276</v>
      </c>
      <c r="T2763" s="21">
        <f>450*0.166</f>
        <v>74.7</v>
      </c>
      <c r="U2763" s="204" t="s">
        <v>2276</v>
      </c>
      <c r="V2763" s="204" t="s">
        <v>2276</v>
      </c>
      <c r="W2763" s="204" t="s">
        <v>2276</v>
      </c>
      <c r="X2763" s="21">
        <f>T2763/'Record info'!K$1145</f>
        <v>3.3126385809312639E-2</v>
      </c>
      <c r="Y2763" s="204" t="s">
        <v>2276</v>
      </c>
      <c r="Z2763" s="204" t="s">
        <v>68</v>
      </c>
      <c r="AA2763" s="204" t="s">
        <v>86</v>
      </c>
      <c r="AB2763" s="204" t="s">
        <v>76</v>
      </c>
      <c r="AC2763" s="204"/>
      <c r="AD2763" s="204"/>
    </row>
    <row r="2764" spans="1:30" ht="36" customHeight="1">
      <c r="A2764" s="19" t="s">
        <v>7293</v>
      </c>
      <c r="B2764" s="19" t="s">
        <v>7539</v>
      </c>
      <c r="C2764" s="204" t="s">
        <v>24</v>
      </c>
      <c r="D2764" s="204" t="s">
        <v>1242</v>
      </c>
      <c r="E2764" s="204" t="s">
        <v>3209</v>
      </c>
      <c r="F2764" s="152" t="s">
        <v>2276</v>
      </c>
      <c r="G2764" s="152" t="s">
        <v>2276</v>
      </c>
      <c r="H2764" s="204" t="s">
        <v>523</v>
      </c>
      <c r="I2764" s="204">
        <v>2013</v>
      </c>
      <c r="J2764" s="204" t="s">
        <v>2276</v>
      </c>
      <c r="K2764" s="204" t="s">
        <v>2276</v>
      </c>
      <c r="L2764" s="204" t="s">
        <v>2276</v>
      </c>
      <c r="M2764" s="204" t="s">
        <v>2276</v>
      </c>
      <c r="N2764" s="204" t="s">
        <v>2276</v>
      </c>
      <c r="O2764" s="204" t="s">
        <v>2276</v>
      </c>
      <c r="P2764" s="204" t="s">
        <v>2276</v>
      </c>
      <c r="Q2764" s="204" t="s">
        <v>2276</v>
      </c>
      <c r="R2764" s="204" t="s">
        <v>2276</v>
      </c>
      <c r="S2764" s="204" t="s">
        <v>2276</v>
      </c>
      <c r="T2764" s="21">
        <f>1200*0.027</f>
        <v>32.4</v>
      </c>
      <c r="U2764" s="204" t="s">
        <v>2276</v>
      </c>
      <c r="V2764" s="204" t="s">
        <v>2276</v>
      </c>
      <c r="W2764" s="204" t="s">
        <v>2276</v>
      </c>
      <c r="X2764" s="21">
        <f>T2764/'Record info'!K$1128</f>
        <v>1.1571428571428571E-2</v>
      </c>
      <c r="Y2764" s="204" t="s">
        <v>2276</v>
      </c>
      <c r="Z2764" s="204" t="s">
        <v>68</v>
      </c>
      <c r="AA2764" s="204" t="s">
        <v>86</v>
      </c>
      <c r="AB2764" s="204" t="s">
        <v>76</v>
      </c>
      <c r="AC2764" s="204"/>
      <c r="AD2764" s="204"/>
    </row>
    <row r="2765" spans="1:30" ht="36" customHeight="1">
      <c r="A2765" s="19" t="s">
        <v>7379</v>
      </c>
      <c r="B2765" s="19" t="s">
        <v>7540</v>
      </c>
      <c r="C2765" s="204" t="s">
        <v>24</v>
      </c>
      <c r="D2765" s="204" t="s">
        <v>1242</v>
      </c>
      <c r="E2765" s="204" t="s">
        <v>3209</v>
      </c>
      <c r="F2765" s="152" t="s">
        <v>2276</v>
      </c>
      <c r="G2765" s="152" t="s">
        <v>2276</v>
      </c>
      <c r="H2765" s="204" t="s">
        <v>523</v>
      </c>
      <c r="I2765" s="204">
        <v>2013</v>
      </c>
      <c r="J2765" s="204" t="s">
        <v>2276</v>
      </c>
      <c r="K2765" s="204" t="s">
        <v>2276</v>
      </c>
      <c r="L2765" s="204" t="s">
        <v>2276</v>
      </c>
      <c r="M2765" s="204" t="s">
        <v>2276</v>
      </c>
      <c r="N2765" s="204" t="s">
        <v>2276</v>
      </c>
      <c r="O2765" s="204" t="s">
        <v>2276</v>
      </c>
      <c r="P2765" s="204" t="s">
        <v>2276</v>
      </c>
      <c r="Q2765" s="204" t="s">
        <v>2276</v>
      </c>
      <c r="R2765" s="204" t="s">
        <v>2276</v>
      </c>
      <c r="S2765" s="204" t="s">
        <v>2276</v>
      </c>
      <c r="T2765" s="21">
        <f>1200*0.041</f>
        <v>49.2</v>
      </c>
      <c r="U2765" s="204" t="s">
        <v>2276</v>
      </c>
      <c r="V2765" s="204" t="s">
        <v>2276</v>
      </c>
      <c r="W2765" s="204" t="s">
        <v>2276</v>
      </c>
      <c r="X2765" s="21">
        <f>T2765/'Record info'!K$1129</f>
        <v>1.399715504978663E-2</v>
      </c>
      <c r="Y2765" s="204" t="s">
        <v>2276</v>
      </c>
      <c r="Z2765" s="204" t="s">
        <v>68</v>
      </c>
      <c r="AA2765" s="204" t="s">
        <v>86</v>
      </c>
      <c r="AB2765" s="204" t="s">
        <v>76</v>
      </c>
      <c r="AC2765" s="204"/>
      <c r="AD2765" s="204"/>
    </row>
    <row r="2766" spans="1:30" ht="36" customHeight="1">
      <c r="A2766" s="19" t="s">
        <v>7380</v>
      </c>
      <c r="B2766" s="19" t="s">
        <v>7541</v>
      </c>
      <c r="C2766" s="204" t="s">
        <v>24</v>
      </c>
      <c r="D2766" s="204" t="s">
        <v>1242</v>
      </c>
      <c r="E2766" s="204" t="s">
        <v>3209</v>
      </c>
      <c r="F2766" s="152" t="s">
        <v>2276</v>
      </c>
      <c r="G2766" s="152" t="s">
        <v>2276</v>
      </c>
      <c r="H2766" s="204" t="s">
        <v>523</v>
      </c>
      <c r="I2766" s="204">
        <v>2013</v>
      </c>
      <c r="J2766" s="204" t="s">
        <v>2276</v>
      </c>
      <c r="K2766" s="204" t="s">
        <v>2276</v>
      </c>
      <c r="L2766" s="204" t="s">
        <v>2276</v>
      </c>
      <c r="M2766" s="204" t="s">
        <v>2276</v>
      </c>
      <c r="N2766" s="204" t="s">
        <v>2276</v>
      </c>
      <c r="O2766" s="204" t="s">
        <v>2276</v>
      </c>
      <c r="P2766" s="204" t="s">
        <v>2276</v>
      </c>
      <c r="Q2766" s="204" t="s">
        <v>2276</v>
      </c>
      <c r="R2766" s="204" t="s">
        <v>2276</v>
      </c>
      <c r="S2766" s="204" t="s">
        <v>2276</v>
      </c>
      <c r="T2766" s="21">
        <f>1200*0.004</f>
        <v>4.8</v>
      </c>
      <c r="U2766" s="204" t="s">
        <v>2276</v>
      </c>
      <c r="V2766" s="204" t="s">
        <v>2276</v>
      </c>
      <c r="W2766" s="204" t="s">
        <v>2276</v>
      </c>
      <c r="X2766" s="21">
        <f>T2766/'Record info'!K$1130</f>
        <v>7.1142730102267667E-4</v>
      </c>
      <c r="Y2766" s="204" t="s">
        <v>2276</v>
      </c>
      <c r="Z2766" s="204" t="s">
        <v>68</v>
      </c>
      <c r="AA2766" s="204" t="s">
        <v>86</v>
      </c>
      <c r="AB2766" s="204" t="s">
        <v>76</v>
      </c>
      <c r="AC2766" s="204"/>
      <c r="AD2766" s="204"/>
    </row>
    <row r="2767" spans="1:30" ht="36" customHeight="1">
      <c r="A2767" s="19" t="s">
        <v>7381</v>
      </c>
      <c r="B2767" s="19" t="s">
        <v>7542</v>
      </c>
      <c r="C2767" s="204" t="s">
        <v>24</v>
      </c>
      <c r="D2767" s="204" t="s">
        <v>1242</v>
      </c>
      <c r="E2767" s="204" t="s">
        <v>3209</v>
      </c>
      <c r="F2767" s="152" t="s">
        <v>2276</v>
      </c>
      <c r="G2767" s="152" t="s">
        <v>2276</v>
      </c>
      <c r="H2767" s="204" t="s">
        <v>523</v>
      </c>
      <c r="I2767" s="204">
        <v>2013</v>
      </c>
      <c r="J2767" s="204" t="s">
        <v>2276</v>
      </c>
      <c r="K2767" s="204" t="s">
        <v>2276</v>
      </c>
      <c r="L2767" s="204" t="s">
        <v>2276</v>
      </c>
      <c r="M2767" s="204" t="s">
        <v>2276</v>
      </c>
      <c r="N2767" s="204" t="s">
        <v>2276</v>
      </c>
      <c r="O2767" s="204" t="s">
        <v>2276</v>
      </c>
      <c r="P2767" s="204" t="s">
        <v>2276</v>
      </c>
      <c r="Q2767" s="204" t="s">
        <v>2276</v>
      </c>
      <c r="R2767" s="204" t="s">
        <v>2276</v>
      </c>
      <c r="S2767" s="204" t="s">
        <v>2276</v>
      </c>
      <c r="T2767" s="21">
        <f>1200*0.004</f>
        <v>4.8</v>
      </c>
      <c r="U2767" s="204" t="s">
        <v>2276</v>
      </c>
      <c r="V2767" s="204" t="s">
        <v>2276</v>
      </c>
      <c r="W2767" s="204" t="s">
        <v>2276</v>
      </c>
      <c r="X2767" s="21">
        <f>T2767/'Record info'!K$1131</f>
        <v>9.4786729857819897E-4</v>
      </c>
      <c r="Y2767" s="204" t="s">
        <v>2276</v>
      </c>
      <c r="Z2767" s="204" t="s">
        <v>68</v>
      </c>
      <c r="AA2767" s="204" t="s">
        <v>86</v>
      </c>
      <c r="AB2767" s="204" t="s">
        <v>76</v>
      </c>
      <c r="AC2767" s="204"/>
      <c r="AD2767" s="204"/>
    </row>
    <row r="2768" spans="1:30" ht="36" customHeight="1">
      <c r="A2768" s="19" t="s">
        <v>7382</v>
      </c>
      <c r="B2768" s="19" t="s">
        <v>7543</v>
      </c>
      <c r="C2768" s="204" t="s">
        <v>24</v>
      </c>
      <c r="D2768" s="204" t="s">
        <v>1242</v>
      </c>
      <c r="E2768" s="204" t="s">
        <v>3209</v>
      </c>
      <c r="F2768" s="152" t="s">
        <v>2276</v>
      </c>
      <c r="G2768" s="152" t="s">
        <v>2276</v>
      </c>
      <c r="H2768" s="204" t="s">
        <v>524</v>
      </c>
      <c r="I2768" s="204">
        <v>2013</v>
      </c>
      <c r="J2768" s="21">
        <v>0</v>
      </c>
      <c r="K2768" s="21">
        <v>0</v>
      </c>
      <c r="L2768" s="21">
        <v>0</v>
      </c>
      <c r="M2768" s="21">
        <v>0</v>
      </c>
      <c r="N2768" s="21">
        <v>0</v>
      </c>
      <c r="O2768" s="21">
        <v>0</v>
      </c>
      <c r="P2768" s="21">
        <v>0</v>
      </c>
      <c r="Q2768" s="21">
        <v>0</v>
      </c>
      <c r="R2768" s="21">
        <v>0</v>
      </c>
      <c r="S2768" s="21">
        <v>0</v>
      </c>
      <c r="T2768" s="21">
        <v>0</v>
      </c>
      <c r="U2768" s="21">
        <v>0</v>
      </c>
      <c r="V2768" s="21">
        <v>0</v>
      </c>
      <c r="W2768" s="21">
        <v>0</v>
      </c>
      <c r="X2768" s="21">
        <f>T2768/'Record info'!K$1132</f>
        <v>0</v>
      </c>
      <c r="Y2768" s="204" t="s">
        <v>2276</v>
      </c>
      <c r="Z2768" s="204" t="s">
        <v>68</v>
      </c>
      <c r="AA2768" s="204" t="s">
        <v>86</v>
      </c>
      <c r="AB2768" s="204" t="s">
        <v>76</v>
      </c>
      <c r="AC2768" s="204"/>
      <c r="AD2768" s="204"/>
    </row>
    <row r="2769" spans="1:30" ht="36" customHeight="1">
      <c r="A2769" s="19" t="s">
        <v>7383</v>
      </c>
      <c r="B2769" s="19" t="s">
        <v>7544</v>
      </c>
      <c r="C2769" s="204" t="s">
        <v>24</v>
      </c>
      <c r="D2769" s="204" t="s">
        <v>1242</v>
      </c>
      <c r="E2769" s="204" t="s">
        <v>3209</v>
      </c>
      <c r="F2769" s="152" t="s">
        <v>2276</v>
      </c>
      <c r="G2769" s="152" t="s">
        <v>2276</v>
      </c>
      <c r="H2769" s="204" t="s">
        <v>524</v>
      </c>
      <c r="I2769" s="204">
        <v>2013</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info'!K$1133</f>
        <v>0</v>
      </c>
      <c r="Y2769" s="204" t="s">
        <v>2276</v>
      </c>
      <c r="Z2769" s="204" t="s">
        <v>68</v>
      </c>
      <c r="AA2769" s="204" t="s">
        <v>86</v>
      </c>
      <c r="AB2769" s="204" t="s">
        <v>76</v>
      </c>
      <c r="AC2769" s="204"/>
      <c r="AD2769" s="204"/>
    </row>
    <row r="2770" spans="1:30" ht="36" customHeight="1">
      <c r="A2770" s="19" t="s">
        <v>7384</v>
      </c>
      <c r="B2770" s="19" t="s">
        <v>7545</v>
      </c>
      <c r="C2770" s="204" t="s">
        <v>24</v>
      </c>
      <c r="D2770" s="204" t="s">
        <v>1242</v>
      </c>
      <c r="E2770" s="204" t="s">
        <v>3209</v>
      </c>
      <c r="F2770" s="152" t="s">
        <v>2276</v>
      </c>
      <c r="G2770" s="152" t="s">
        <v>2276</v>
      </c>
      <c r="H2770" s="204" t="s">
        <v>524</v>
      </c>
      <c r="I2770" s="204">
        <v>2013</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info'!K$1134</f>
        <v>0</v>
      </c>
      <c r="Y2770" s="204" t="s">
        <v>2276</v>
      </c>
      <c r="Z2770" s="204" t="s">
        <v>68</v>
      </c>
      <c r="AA2770" s="204" t="s">
        <v>86</v>
      </c>
      <c r="AB2770" s="204" t="s">
        <v>76</v>
      </c>
      <c r="AC2770" s="204"/>
      <c r="AD2770" s="204"/>
    </row>
    <row r="2771" spans="1:30" ht="36" customHeight="1">
      <c r="A2771" s="19" t="s">
        <v>7385</v>
      </c>
      <c r="B2771" s="19" t="s">
        <v>7546</v>
      </c>
      <c r="C2771" s="204" t="s">
        <v>24</v>
      </c>
      <c r="D2771" s="204" t="s">
        <v>1242</v>
      </c>
      <c r="E2771" s="204" t="s">
        <v>3209</v>
      </c>
      <c r="F2771" s="152" t="s">
        <v>2276</v>
      </c>
      <c r="G2771" s="152" t="s">
        <v>2276</v>
      </c>
      <c r="H2771" s="204" t="s">
        <v>523</v>
      </c>
      <c r="I2771" s="204">
        <v>2013</v>
      </c>
      <c r="J2771" s="204" t="s">
        <v>2276</v>
      </c>
      <c r="K2771" s="204" t="s">
        <v>2276</v>
      </c>
      <c r="L2771" s="204" t="s">
        <v>2276</v>
      </c>
      <c r="M2771" s="204" t="s">
        <v>2276</v>
      </c>
      <c r="N2771" s="204" t="s">
        <v>2276</v>
      </c>
      <c r="O2771" s="204" t="s">
        <v>2276</v>
      </c>
      <c r="P2771" s="204" t="s">
        <v>2276</v>
      </c>
      <c r="Q2771" s="204" t="s">
        <v>2276</v>
      </c>
      <c r="R2771" s="204" t="s">
        <v>2276</v>
      </c>
      <c r="S2771" s="204" t="s">
        <v>2276</v>
      </c>
      <c r="T2771" s="21">
        <f>1200*0.035</f>
        <v>42.000000000000007</v>
      </c>
      <c r="U2771" s="204" t="s">
        <v>2276</v>
      </c>
      <c r="V2771" s="204" t="s">
        <v>2276</v>
      </c>
      <c r="W2771" s="204" t="s">
        <v>2276</v>
      </c>
      <c r="X2771" s="21">
        <f>T2771/'Record info'!K$1135</f>
        <v>6.9249793899422932E-3</v>
      </c>
      <c r="Y2771" s="204" t="s">
        <v>2276</v>
      </c>
      <c r="Z2771" s="204" t="s">
        <v>68</v>
      </c>
      <c r="AA2771" s="204" t="s">
        <v>86</v>
      </c>
      <c r="AB2771" s="204" t="s">
        <v>76</v>
      </c>
      <c r="AC2771" s="204"/>
      <c r="AD2771" s="204"/>
    </row>
    <row r="2772" spans="1:30" ht="36" customHeight="1">
      <c r="A2772" s="19" t="s">
        <v>7386</v>
      </c>
      <c r="B2772" s="19" t="s">
        <v>7547</v>
      </c>
      <c r="C2772" s="204" t="s">
        <v>24</v>
      </c>
      <c r="D2772" s="204" t="s">
        <v>1242</v>
      </c>
      <c r="E2772" s="204" t="s">
        <v>3209</v>
      </c>
      <c r="F2772" s="152" t="s">
        <v>2276</v>
      </c>
      <c r="G2772" s="152" t="s">
        <v>2276</v>
      </c>
      <c r="H2772" s="204" t="s">
        <v>523</v>
      </c>
      <c r="I2772" s="204">
        <v>2013</v>
      </c>
      <c r="J2772" s="204" t="s">
        <v>2276</v>
      </c>
      <c r="K2772" s="204" t="s">
        <v>2276</v>
      </c>
      <c r="L2772" s="204" t="s">
        <v>2276</v>
      </c>
      <c r="M2772" s="204" t="s">
        <v>2276</v>
      </c>
      <c r="N2772" s="204" t="s">
        <v>2276</v>
      </c>
      <c r="O2772" s="204" t="s">
        <v>2276</v>
      </c>
      <c r="P2772" s="204" t="s">
        <v>2276</v>
      </c>
      <c r="Q2772" s="204" t="s">
        <v>2276</v>
      </c>
      <c r="R2772" s="204" t="s">
        <v>2276</v>
      </c>
      <c r="S2772" s="204" t="s">
        <v>2276</v>
      </c>
      <c r="T2772" s="21">
        <f>1200*0.079</f>
        <v>94.8</v>
      </c>
      <c r="U2772" s="204" t="s">
        <v>2276</v>
      </c>
      <c r="V2772" s="204" t="s">
        <v>2276</v>
      </c>
      <c r="W2772" s="204" t="s">
        <v>2276</v>
      </c>
      <c r="X2772" s="21">
        <f>T2772/'Record info'!K$1136</f>
        <v>1.4202247191011236E-2</v>
      </c>
      <c r="Y2772" s="204" t="s">
        <v>2276</v>
      </c>
      <c r="Z2772" s="204" t="s">
        <v>68</v>
      </c>
      <c r="AA2772" s="204" t="s">
        <v>86</v>
      </c>
      <c r="AB2772" s="204" t="s">
        <v>76</v>
      </c>
      <c r="AC2772" s="204"/>
      <c r="AD2772" s="204"/>
    </row>
    <row r="2773" spans="1:30" ht="36" customHeight="1">
      <c r="A2773" s="19" t="s">
        <v>7387</v>
      </c>
      <c r="B2773" s="19" t="s">
        <v>7548</v>
      </c>
      <c r="C2773" s="204" t="s">
        <v>24</v>
      </c>
      <c r="D2773" s="204" t="s">
        <v>1242</v>
      </c>
      <c r="E2773" s="204" t="s">
        <v>3209</v>
      </c>
      <c r="F2773" s="152" t="s">
        <v>2276</v>
      </c>
      <c r="G2773" s="152" t="s">
        <v>2276</v>
      </c>
      <c r="H2773" s="204" t="s">
        <v>523</v>
      </c>
      <c r="I2773" s="204">
        <v>2013</v>
      </c>
      <c r="J2773" s="204" t="s">
        <v>2276</v>
      </c>
      <c r="K2773" s="204" t="s">
        <v>2276</v>
      </c>
      <c r="L2773" s="204" t="s">
        <v>2276</v>
      </c>
      <c r="M2773" s="204" t="s">
        <v>2276</v>
      </c>
      <c r="N2773" s="204" t="s">
        <v>2276</v>
      </c>
      <c r="O2773" s="204" t="s">
        <v>2276</v>
      </c>
      <c r="P2773" s="204" t="s">
        <v>2276</v>
      </c>
      <c r="Q2773" s="204" t="s">
        <v>2276</v>
      </c>
      <c r="R2773" s="204" t="s">
        <v>2276</v>
      </c>
      <c r="S2773" s="204" t="s">
        <v>2276</v>
      </c>
      <c r="T2773" s="21">
        <f>1200*0.132</f>
        <v>158.4</v>
      </c>
      <c r="U2773" s="204" t="s">
        <v>2276</v>
      </c>
      <c r="V2773" s="204" t="s">
        <v>2276</v>
      </c>
      <c r="W2773" s="204" t="s">
        <v>2276</v>
      </c>
      <c r="X2773" s="21">
        <f>T2773/'Record info'!K$1137</f>
        <v>2.8706052917723813E-2</v>
      </c>
      <c r="Y2773" s="204" t="s">
        <v>2276</v>
      </c>
      <c r="Z2773" s="204" t="s">
        <v>68</v>
      </c>
      <c r="AA2773" s="204" t="s">
        <v>86</v>
      </c>
      <c r="AB2773" s="204" t="s">
        <v>76</v>
      </c>
      <c r="AC2773" s="204"/>
      <c r="AD2773" s="204"/>
    </row>
    <row r="2774" spans="1:30" ht="36" customHeight="1">
      <c r="A2774" s="19" t="s">
        <v>7388</v>
      </c>
      <c r="B2774" s="19" t="s">
        <v>7549</v>
      </c>
      <c r="C2774" s="204" t="s">
        <v>24</v>
      </c>
      <c r="D2774" s="204" t="s">
        <v>1242</v>
      </c>
      <c r="E2774" s="204" t="s">
        <v>3209</v>
      </c>
      <c r="F2774" s="152" t="s">
        <v>2276</v>
      </c>
      <c r="G2774" s="152" t="s">
        <v>2276</v>
      </c>
      <c r="H2774" s="204" t="s">
        <v>523</v>
      </c>
      <c r="I2774" s="204">
        <v>2013</v>
      </c>
      <c r="J2774" s="204" t="s">
        <v>2276</v>
      </c>
      <c r="K2774" s="204" t="s">
        <v>2276</v>
      </c>
      <c r="L2774" s="204" t="s">
        <v>2276</v>
      </c>
      <c r="M2774" s="204" t="s">
        <v>2276</v>
      </c>
      <c r="N2774" s="204" t="s">
        <v>2276</v>
      </c>
      <c r="O2774" s="204" t="s">
        <v>2276</v>
      </c>
      <c r="P2774" s="204" t="s">
        <v>2276</v>
      </c>
      <c r="Q2774" s="204" t="s">
        <v>2276</v>
      </c>
      <c r="R2774" s="204" t="s">
        <v>2276</v>
      </c>
      <c r="S2774" s="204" t="s">
        <v>2276</v>
      </c>
      <c r="T2774" s="21">
        <f>1200*0.057</f>
        <v>68.400000000000006</v>
      </c>
      <c r="U2774" s="204" t="s">
        <v>2276</v>
      </c>
      <c r="V2774" s="204" t="s">
        <v>2276</v>
      </c>
      <c r="W2774" s="204" t="s">
        <v>2276</v>
      </c>
      <c r="X2774" s="21">
        <f>T2774/'Record info'!K$1138</f>
        <v>1.7329617430960224E-2</v>
      </c>
      <c r="Y2774" s="204" t="s">
        <v>2276</v>
      </c>
      <c r="Z2774" s="204" t="s">
        <v>68</v>
      </c>
      <c r="AA2774" s="204" t="s">
        <v>86</v>
      </c>
      <c r="AB2774" s="204" t="s">
        <v>76</v>
      </c>
      <c r="AC2774" s="204"/>
      <c r="AD2774" s="204"/>
    </row>
    <row r="2775" spans="1:30" ht="36" customHeight="1">
      <c r="A2775" s="19" t="s">
        <v>7389</v>
      </c>
      <c r="B2775" s="19" t="s">
        <v>7550</v>
      </c>
      <c r="C2775" s="204" t="s">
        <v>24</v>
      </c>
      <c r="D2775" s="204" t="s">
        <v>1242</v>
      </c>
      <c r="E2775" s="204" t="s">
        <v>3209</v>
      </c>
      <c r="F2775" s="152" t="s">
        <v>2276</v>
      </c>
      <c r="G2775" s="152" t="s">
        <v>2276</v>
      </c>
      <c r="H2775" s="204" t="s">
        <v>523</v>
      </c>
      <c r="I2775" s="204">
        <v>2013</v>
      </c>
      <c r="J2775" s="204" t="s">
        <v>2276</v>
      </c>
      <c r="K2775" s="204" t="s">
        <v>2276</v>
      </c>
      <c r="L2775" s="204" t="s">
        <v>2276</v>
      </c>
      <c r="M2775" s="204" t="s">
        <v>2276</v>
      </c>
      <c r="N2775" s="204" t="s">
        <v>2276</v>
      </c>
      <c r="O2775" s="204" t="s">
        <v>2276</v>
      </c>
      <c r="P2775" s="204" t="s">
        <v>2276</v>
      </c>
      <c r="Q2775" s="204" t="s">
        <v>2276</v>
      </c>
      <c r="R2775" s="204" t="s">
        <v>2276</v>
      </c>
      <c r="S2775" s="204" t="s">
        <v>2276</v>
      </c>
      <c r="T2775" s="21">
        <f>1200*0.024</f>
        <v>28.8</v>
      </c>
      <c r="U2775" s="204" t="s">
        <v>2276</v>
      </c>
      <c r="V2775" s="204" t="s">
        <v>2276</v>
      </c>
      <c r="W2775" s="204" t="s">
        <v>2276</v>
      </c>
      <c r="X2775" s="21">
        <f>T2775/'Record info'!K$1139</f>
        <v>1.0256410256410256E-2</v>
      </c>
      <c r="Y2775" s="204" t="s">
        <v>2276</v>
      </c>
      <c r="Z2775" s="204" t="s">
        <v>68</v>
      </c>
      <c r="AA2775" s="204" t="s">
        <v>86</v>
      </c>
      <c r="AB2775" s="204" t="s">
        <v>76</v>
      </c>
      <c r="AC2775" s="204"/>
      <c r="AD2775" s="204"/>
    </row>
    <row r="2776" spans="1:30" ht="36" customHeight="1">
      <c r="A2776" s="19" t="s">
        <v>7390</v>
      </c>
      <c r="B2776" s="19" t="s">
        <v>7551</v>
      </c>
      <c r="C2776" s="204" t="s">
        <v>24</v>
      </c>
      <c r="D2776" s="204" t="s">
        <v>1242</v>
      </c>
      <c r="E2776" s="204" t="s">
        <v>3209</v>
      </c>
      <c r="F2776" s="152" t="s">
        <v>2276</v>
      </c>
      <c r="G2776" s="152" t="s">
        <v>2276</v>
      </c>
      <c r="H2776" s="204" t="s">
        <v>523</v>
      </c>
      <c r="I2776" s="204">
        <v>2013</v>
      </c>
      <c r="J2776" s="204" t="s">
        <v>2276</v>
      </c>
      <c r="K2776" s="204" t="s">
        <v>2276</v>
      </c>
      <c r="L2776" s="204" t="s">
        <v>2276</v>
      </c>
      <c r="M2776" s="204" t="s">
        <v>2276</v>
      </c>
      <c r="N2776" s="204" t="s">
        <v>2276</v>
      </c>
      <c r="O2776" s="204" t="s">
        <v>2276</v>
      </c>
      <c r="P2776" s="204" t="s">
        <v>2276</v>
      </c>
      <c r="Q2776" s="204" t="s">
        <v>2276</v>
      </c>
      <c r="R2776" s="204" t="s">
        <v>2276</v>
      </c>
      <c r="S2776" s="204" t="s">
        <v>2276</v>
      </c>
      <c r="T2776" s="21">
        <f>1200*0.072</f>
        <v>86.399999999999991</v>
      </c>
      <c r="U2776" s="204" t="s">
        <v>2276</v>
      </c>
      <c r="V2776" s="204" t="s">
        <v>2276</v>
      </c>
      <c r="W2776" s="204" t="s">
        <v>2276</v>
      </c>
      <c r="X2776" s="21">
        <f>T2776/'Record info'!K$1140</f>
        <v>1.7255841821449968E-2</v>
      </c>
      <c r="Y2776" s="204" t="s">
        <v>2276</v>
      </c>
      <c r="Z2776" s="204" t="s">
        <v>68</v>
      </c>
      <c r="AA2776" s="204" t="s">
        <v>86</v>
      </c>
      <c r="AB2776" s="204" t="s">
        <v>76</v>
      </c>
      <c r="AC2776" s="204"/>
      <c r="AD2776" s="204"/>
    </row>
    <row r="2777" spans="1:30" ht="36" customHeight="1">
      <c r="A2777" s="19" t="s">
        <v>7391</v>
      </c>
      <c r="B2777" s="19" t="s">
        <v>7552</v>
      </c>
      <c r="C2777" s="204" t="s">
        <v>24</v>
      </c>
      <c r="D2777" s="204" t="s">
        <v>1242</v>
      </c>
      <c r="E2777" s="204" t="s">
        <v>3209</v>
      </c>
      <c r="F2777" s="152" t="s">
        <v>2276</v>
      </c>
      <c r="G2777" s="152" t="s">
        <v>2276</v>
      </c>
      <c r="H2777" s="204" t="s">
        <v>523</v>
      </c>
      <c r="I2777" s="204">
        <v>2013</v>
      </c>
      <c r="J2777" s="204" t="s">
        <v>2276</v>
      </c>
      <c r="K2777" s="204" t="s">
        <v>2276</v>
      </c>
      <c r="L2777" s="204" t="s">
        <v>2276</v>
      </c>
      <c r="M2777" s="204" t="s">
        <v>2276</v>
      </c>
      <c r="N2777" s="204" t="s">
        <v>2276</v>
      </c>
      <c r="O2777" s="204" t="s">
        <v>2276</v>
      </c>
      <c r="P2777" s="204" t="s">
        <v>2276</v>
      </c>
      <c r="Q2777" s="204" t="s">
        <v>2276</v>
      </c>
      <c r="R2777" s="204" t="s">
        <v>2276</v>
      </c>
      <c r="S2777" s="204" t="s">
        <v>2276</v>
      </c>
      <c r="T2777" s="21">
        <f>1200*0.068</f>
        <v>81.600000000000009</v>
      </c>
      <c r="U2777" s="204" t="s">
        <v>2276</v>
      </c>
      <c r="V2777" s="204" t="s">
        <v>2276</v>
      </c>
      <c r="W2777" s="204" t="s">
        <v>2276</v>
      </c>
      <c r="X2777" s="21">
        <f>T2777/'Record info'!K$1141</f>
        <v>6.950596252129472E-2</v>
      </c>
      <c r="Y2777" s="204" t="s">
        <v>2276</v>
      </c>
      <c r="Z2777" s="204" t="s">
        <v>68</v>
      </c>
      <c r="AA2777" s="204" t="s">
        <v>86</v>
      </c>
      <c r="AB2777" s="204" t="s">
        <v>76</v>
      </c>
      <c r="AC2777" s="204"/>
      <c r="AD2777" s="204"/>
    </row>
    <row r="2778" spans="1:30" ht="36" customHeight="1">
      <c r="A2778" s="19" t="s">
        <v>7392</v>
      </c>
      <c r="B2778" s="19" t="s">
        <v>7553</v>
      </c>
      <c r="C2778" s="204" t="s">
        <v>24</v>
      </c>
      <c r="D2778" s="204" t="s">
        <v>1242</v>
      </c>
      <c r="E2778" s="204" t="s">
        <v>3209</v>
      </c>
      <c r="F2778" s="152" t="s">
        <v>2276</v>
      </c>
      <c r="G2778" s="152" t="s">
        <v>2276</v>
      </c>
      <c r="H2778" s="204" t="s">
        <v>523</v>
      </c>
      <c r="I2778" s="204">
        <v>2013</v>
      </c>
      <c r="J2778" s="204" t="s">
        <v>2276</v>
      </c>
      <c r="K2778" s="204" t="s">
        <v>2276</v>
      </c>
      <c r="L2778" s="204" t="s">
        <v>2276</v>
      </c>
      <c r="M2778" s="204" t="s">
        <v>2276</v>
      </c>
      <c r="N2778" s="204" t="s">
        <v>2276</v>
      </c>
      <c r="O2778" s="204" t="s">
        <v>2276</v>
      </c>
      <c r="P2778" s="204" t="s">
        <v>2276</v>
      </c>
      <c r="Q2778" s="204" t="s">
        <v>2276</v>
      </c>
      <c r="R2778" s="204" t="s">
        <v>2276</v>
      </c>
      <c r="S2778" s="204" t="s">
        <v>2276</v>
      </c>
      <c r="T2778" s="21">
        <f>1200*0.075</f>
        <v>90</v>
      </c>
      <c r="U2778" s="204" t="s">
        <v>2276</v>
      </c>
      <c r="V2778" s="204" t="s">
        <v>2276</v>
      </c>
      <c r="W2778" s="204" t="s">
        <v>2276</v>
      </c>
      <c r="X2778" s="21">
        <f>T2778/'Record info'!K$1142</f>
        <v>2.0794824399260628E-2</v>
      </c>
      <c r="Y2778" s="204" t="s">
        <v>2276</v>
      </c>
      <c r="Z2778" s="204" t="s">
        <v>68</v>
      </c>
      <c r="AA2778" s="204" t="s">
        <v>86</v>
      </c>
      <c r="AB2778" s="204" t="s">
        <v>76</v>
      </c>
      <c r="AC2778" s="204"/>
      <c r="AD2778" s="204"/>
    </row>
    <row r="2779" spans="1:30" ht="36" customHeight="1">
      <c r="A2779" s="19" t="s">
        <v>7393</v>
      </c>
      <c r="B2779" s="19" t="s">
        <v>7554</v>
      </c>
      <c r="C2779" s="204" t="s">
        <v>24</v>
      </c>
      <c r="D2779" s="204" t="s">
        <v>1242</v>
      </c>
      <c r="E2779" s="204" t="s">
        <v>3209</v>
      </c>
      <c r="F2779" s="152" t="s">
        <v>2276</v>
      </c>
      <c r="G2779" s="152" t="s">
        <v>2276</v>
      </c>
      <c r="H2779" s="204" t="s">
        <v>523</v>
      </c>
      <c r="I2779" s="204">
        <v>2013</v>
      </c>
      <c r="J2779" s="204" t="s">
        <v>2276</v>
      </c>
      <c r="K2779" s="204" t="s">
        <v>2276</v>
      </c>
      <c r="L2779" s="204" t="s">
        <v>2276</v>
      </c>
      <c r="M2779" s="204" t="s">
        <v>2276</v>
      </c>
      <c r="N2779" s="204" t="s">
        <v>2276</v>
      </c>
      <c r="O2779" s="204" t="s">
        <v>2276</v>
      </c>
      <c r="P2779" s="204" t="s">
        <v>2276</v>
      </c>
      <c r="Q2779" s="204" t="s">
        <v>2276</v>
      </c>
      <c r="R2779" s="204" t="s">
        <v>2276</v>
      </c>
      <c r="S2779" s="204" t="s">
        <v>2276</v>
      </c>
      <c r="T2779" s="21">
        <f>1200*0.111</f>
        <v>133.19999999999999</v>
      </c>
      <c r="U2779" s="204" t="s">
        <v>2276</v>
      </c>
      <c r="V2779" s="204" t="s">
        <v>2276</v>
      </c>
      <c r="W2779" s="204" t="s">
        <v>2276</v>
      </c>
      <c r="X2779" s="21">
        <f>T2779/'Record info'!K$1143</f>
        <v>5.5615866388308975E-2</v>
      </c>
      <c r="Y2779" s="204" t="s">
        <v>2276</v>
      </c>
      <c r="Z2779" s="204" t="s">
        <v>68</v>
      </c>
      <c r="AA2779" s="204" t="s">
        <v>86</v>
      </c>
      <c r="AB2779" s="204" t="s">
        <v>76</v>
      </c>
      <c r="AC2779" s="204"/>
      <c r="AD2779" s="204"/>
    </row>
    <row r="2780" spans="1:30" ht="36" customHeight="1">
      <c r="A2780" s="19" t="s">
        <v>7394</v>
      </c>
      <c r="B2780" s="19" t="s">
        <v>7555</v>
      </c>
      <c r="C2780" s="204" t="s">
        <v>24</v>
      </c>
      <c r="D2780" s="204" t="s">
        <v>1242</v>
      </c>
      <c r="E2780" s="204" t="s">
        <v>3209</v>
      </c>
      <c r="F2780" s="152" t="s">
        <v>2276</v>
      </c>
      <c r="G2780" s="152" t="s">
        <v>2276</v>
      </c>
      <c r="H2780" s="204" t="s">
        <v>523</v>
      </c>
      <c r="I2780" s="204">
        <v>2013</v>
      </c>
      <c r="J2780" s="204" t="s">
        <v>2276</v>
      </c>
      <c r="K2780" s="204" t="s">
        <v>2276</v>
      </c>
      <c r="L2780" s="204" t="s">
        <v>2276</v>
      </c>
      <c r="M2780" s="204" t="s">
        <v>2276</v>
      </c>
      <c r="N2780" s="204" t="s">
        <v>2276</v>
      </c>
      <c r="O2780" s="204" t="s">
        <v>2276</v>
      </c>
      <c r="P2780" s="204" t="s">
        <v>2276</v>
      </c>
      <c r="Q2780" s="204" t="s">
        <v>2276</v>
      </c>
      <c r="R2780" s="204" t="s">
        <v>2276</v>
      </c>
      <c r="S2780" s="204" t="s">
        <v>2276</v>
      </c>
      <c r="T2780" s="21">
        <f>1200*0.106</f>
        <v>127.2</v>
      </c>
      <c r="U2780" s="204" t="s">
        <v>2276</v>
      </c>
      <c r="V2780" s="204" t="s">
        <v>2276</v>
      </c>
      <c r="W2780" s="204" t="s">
        <v>2276</v>
      </c>
      <c r="X2780" s="21">
        <f>T2780/'Record info'!K$1144</f>
        <v>4.7586980920314256E-2</v>
      </c>
      <c r="Y2780" s="204" t="s">
        <v>2276</v>
      </c>
      <c r="Z2780" s="204" t="s">
        <v>68</v>
      </c>
      <c r="AA2780" s="204" t="s">
        <v>86</v>
      </c>
      <c r="AB2780" s="204" t="s">
        <v>76</v>
      </c>
      <c r="AC2780" s="204"/>
      <c r="AD2780" s="204"/>
    </row>
    <row r="2781" spans="1:30" ht="36" customHeight="1">
      <c r="A2781" s="19" t="s">
        <v>7395</v>
      </c>
      <c r="B2781" s="19" t="s">
        <v>7556</v>
      </c>
      <c r="C2781" s="204" t="s">
        <v>24</v>
      </c>
      <c r="D2781" s="204" t="s">
        <v>1242</v>
      </c>
      <c r="E2781" s="204" t="s">
        <v>3209</v>
      </c>
      <c r="F2781" s="152" t="s">
        <v>2276</v>
      </c>
      <c r="G2781" s="152" t="s">
        <v>2276</v>
      </c>
      <c r="H2781" s="204" t="s">
        <v>523</v>
      </c>
      <c r="I2781" s="204">
        <v>2013</v>
      </c>
      <c r="J2781" s="204" t="s">
        <v>2276</v>
      </c>
      <c r="K2781" s="204" t="s">
        <v>2276</v>
      </c>
      <c r="L2781" s="204" t="s">
        <v>2276</v>
      </c>
      <c r="M2781" s="204" t="s">
        <v>2276</v>
      </c>
      <c r="N2781" s="204" t="s">
        <v>2276</v>
      </c>
      <c r="O2781" s="204" t="s">
        <v>2276</v>
      </c>
      <c r="P2781" s="204" t="s">
        <v>2276</v>
      </c>
      <c r="Q2781" s="204" t="s">
        <v>2276</v>
      </c>
      <c r="R2781" s="204" t="s">
        <v>2276</v>
      </c>
      <c r="S2781" s="204" t="s">
        <v>2276</v>
      </c>
      <c r="T2781" s="21">
        <f>1200*0.166</f>
        <v>199.20000000000002</v>
      </c>
      <c r="U2781" s="204" t="s">
        <v>2276</v>
      </c>
      <c r="V2781" s="204" t="s">
        <v>2276</v>
      </c>
      <c r="W2781" s="204" t="s">
        <v>2276</v>
      </c>
      <c r="X2781" s="21">
        <f>T2781/'Record info'!K$1145</f>
        <v>8.8337028824833713E-2</v>
      </c>
      <c r="Y2781" s="204" t="s">
        <v>2276</v>
      </c>
      <c r="Z2781" s="204" t="s">
        <v>68</v>
      </c>
      <c r="AA2781" s="204" t="s">
        <v>86</v>
      </c>
      <c r="AB2781" s="204" t="s">
        <v>76</v>
      </c>
      <c r="AC2781" s="204"/>
      <c r="AD2781" s="204"/>
    </row>
    <row r="2782" spans="1:30" ht="43.5" customHeight="1">
      <c r="A2782" s="19" t="s">
        <v>7293</v>
      </c>
      <c r="B2782" s="19" t="s">
        <v>7557</v>
      </c>
      <c r="C2782" s="204" t="s">
        <v>24</v>
      </c>
      <c r="D2782" s="204" t="s">
        <v>1242</v>
      </c>
      <c r="E2782" s="204" t="s">
        <v>3209</v>
      </c>
      <c r="F2782" s="152" t="s">
        <v>2276</v>
      </c>
      <c r="G2782" s="152" t="s">
        <v>2276</v>
      </c>
      <c r="H2782" s="204" t="s">
        <v>523</v>
      </c>
      <c r="I2782" s="204">
        <v>2014</v>
      </c>
      <c r="J2782" s="204" t="s">
        <v>2276</v>
      </c>
      <c r="K2782" s="204" t="s">
        <v>2276</v>
      </c>
      <c r="L2782" s="204" t="s">
        <v>2276</v>
      </c>
      <c r="M2782" s="204" t="s">
        <v>2276</v>
      </c>
      <c r="N2782" s="204" t="s">
        <v>2276</v>
      </c>
      <c r="O2782" s="204" t="s">
        <v>2276</v>
      </c>
      <c r="P2782" s="204" t="s">
        <v>2276</v>
      </c>
      <c r="Q2782" s="204" t="s">
        <v>2276</v>
      </c>
      <c r="R2782" s="204" t="s">
        <v>2276</v>
      </c>
      <c r="S2782" s="204" t="s">
        <v>2276</v>
      </c>
      <c r="T2782" s="21">
        <f>800*0.027</f>
        <v>21.6</v>
      </c>
      <c r="U2782" s="204" t="s">
        <v>2276</v>
      </c>
      <c r="V2782" s="204" t="s">
        <v>2276</v>
      </c>
      <c r="W2782" s="204" t="s">
        <v>2276</v>
      </c>
      <c r="X2782" s="21">
        <f>T2782/'Record info'!K$1128</f>
        <v>7.7142857142857152E-3</v>
      </c>
      <c r="Y2782" s="204" t="s">
        <v>2276</v>
      </c>
      <c r="Z2782" s="204" t="s">
        <v>68</v>
      </c>
      <c r="AA2782" s="204" t="s">
        <v>86</v>
      </c>
      <c r="AB2782" s="204" t="s">
        <v>76</v>
      </c>
      <c r="AC2782" s="204"/>
      <c r="AD2782" s="204"/>
    </row>
    <row r="2783" spans="1:30" ht="43.5" customHeight="1">
      <c r="A2783" s="19" t="s">
        <v>7379</v>
      </c>
      <c r="B2783" s="19" t="s">
        <v>7558</v>
      </c>
      <c r="C2783" s="204" t="s">
        <v>24</v>
      </c>
      <c r="D2783" s="204" t="s">
        <v>1242</v>
      </c>
      <c r="E2783" s="204" t="s">
        <v>3209</v>
      </c>
      <c r="F2783" s="152" t="s">
        <v>2276</v>
      </c>
      <c r="G2783" s="152" t="s">
        <v>2276</v>
      </c>
      <c r="H2783" s="204" t="s">
        <v>523</v>
      </c>
      <c r="I2783" s="204">
        <v>2014</v>
      </c>
      <c r="J2783" s="204" t="s">
        <v>2276</v>
      </c>
      <c r="K2783" s="204" t="s">
        <v>2276</v>
      </c>
      <c r="L2783" s="204" t="s">
        <v>2276</v>
      </c>
      <c r="M2783" s="204" t="s">
        <v>2276</v>
      </c>
      <c r="N2783" s="204" t="s">
        <v>2276</v>
      </c>
      <c r="O2783" s="204" t="s">
        <v>2276</v>
      </c>
      <c r="P2783" s="204" t="s">
        <v>2276</v>
      </c>
      <c r="Q2783" s="204" t="s">
        <v>2276</v>
      </c>
      <c r="R2783" s="204" t="s">
        <v>2276</v>
      </c>
      <c r="S2783" s="204" t="s">
        <v>2276</v>
      </c>
      <c r="T2783" s="21">
        <f>800*0.041</f>
        <v>32.800000000000004</v>
      </c>
      <c r="U2783" s="204" t="s">
        <v>2276</v>
      </c>
      <c r="V2783" s="204" t="s">
        <v>2276</v>
      </c>
      <c r="W2783" s="204" t="s">
        <v>2276</v>
      </c>
      <c r="X2783" s="21">
        <f>T2783/'Record info'!K$1129</f>
        <v>9.3314366998577536E-3</v>
      </c>
      <c r="Y2783" s="204" t="s">
        <v>2276</v>
      </c>
      <c r="Z2783" s="204" t="s">
        <v>68</v>
      </c>
      <c r="AA2783" s="204" t="s">
        <v>86</v>
      </c>
      <c r="AB2783" s="204" t="s">
        <v>76</v>
      </c>
      <c r="AC2783" s="204"/>
      <c r="AD2783" s="204"/>
    </row>
    <row r="2784" spans="1:30" ht="43.5" customHeight="1">
      <c r="A2784" s="19" t="s">
        <v>7380</v>
      </c>
      <c r="B2784" s="19" t="s">
        <v>7559</v>
      </c>
      <c r="C2784" s="204" t="s">
        <v>24</v>
      </c>
      <c r="D2784" s="204" t="s">
        <v>1242</v>
      </c>
      <c r="E2784" s="204" t="s">
        <v>3209</v>
      </c>
      <c r="F2784" s="152" t="s">
        <v>2276</v>
      </c>
      <c r="G2784" s="152" t="s">
        <v>2276</v>
      </c>
      <c r="H2784" s="204" t="s">
        <v>523</v>
      </c>
      <c r="I2784" s="204">
        <v>2014</v>
      </c>
      <c r="J2784" s="204" t="s">
        <v>2276</v>
      </c>
      <c r="K2784" s="204" t="s">
        <v>2276</v>
      </c>
      <c r="L2784" s="204" t="s">
        <v>2276</v>
      </c>
      <c r="M2784" s="204" t="s">
        <v>2276</v>
      </c>
      <c r="N2784" s="204" t="s">
        <v>2276</v>
      </c>
      <c r="O2784" s="204" t="s">
        <v>2276</v>
      </c>
      <c r="P2784" s="204" t="s">
        <v>2276</v>
      </c>
      <c r="Q2784" s="204" t="s">
        <v>2276</v>
      </c>
      <c r="R2784" s="204" t="s">
        <v>2276</v>
      </c>
      <c r="S2784" s="204" t="s">
        <v>2276</v>
      </c>
      <c r="T2784" s="21">
        <f>800*0.004</f>
        <v>3.2</v>
      </c>
      <c r="U2784" s="204" t="s">
        <v>2276</v>
      </c>
      <c r="V2784" s="204" t="s">
        <v>2276</v>
      </c>
      <c r="W2784" s="204" t="s">
        <v>2276</v>
      </c>
      <c r="X2784" s="21">
        <f>T2784/'Record info'!K$1130</f>
        <v>4.742848673484512E-4</v>
      </c>
      <c r="Y2784" s="204" t="s">
        <v>2276</v>
      </c>
      <c r="Z2784" s="204" t="s">
        <v>68</v>
      </c>
      <c r="AA2784" s="204" t="s">
        <v>86</v>
      </c>
      <c r="AB2784" s="204" t="s">
        <v>76</v>
      </c>
      <c r="AC2784" s="204"/>
      <c r="AD2784" s="204"/>
    </row>
    <row r="2785" spans="1:30" ht="43.5" customHeight="1">
      <c r="A2785" s="19" t="s">
        <v>7381</v>
      </c>
      <c r="B2785" s="19" t="s">
        <v>7560</v>
      </c>
      <c r="C2785" s="204" t="s">
        <v>24</v>
      </c>
      <c r="D2785" s="204" t="s">
        <v>1242</v>
      </c>
      <c r="E2785" s="204" t="s">
        <v>3209</v>
      </c>
      <c r="F2785" s="152" t="s">
        <v>2276</v>
      </c>
      <c r="G2785" s="152" t="s">
        <v>2276</v>
      </c>
      <c r="H2785" s="204" t="s">
        <v>523</v>
      </c>
      <c r="I2785" s="204">
        <v>2014</v>
      </c>
      <c r="J2785" s="204" t="s">
        <v>2276</v>
      </c>
      <c r="K2785" s="204" t="s">
        <v>2276</v>
      </c>
      <c r="L2785" s="204" t="s">
        <v>2276</v>
      </c>
      <c r="M2785" s="204" t="s">
        <v>2276</v>
      </c>
      <c r="N2785" s="204" t="s">
        <v>2276</v>
      </c>
      <c r="O2785" s="204" t="s">
        <v>2276</v>
      </c>
      <c r="P2785" s="204" t="s">
        <v>2276</v>
      </c>
      <c r="Q2785" s="204" t="s">
        <v>2276</v>
      </c>
      <c r="R2785" s="204" t="s">
        <v>2276</v>
      </c>
      <c r="S2785" s="204" t="s">
        <v>2276</v>
      </c>
      <c r="T2785" s="21">
        <f>800*0.004</f>
        <v>3.2</v>
      </c>
      <c r="U2785" s="204" t="s">
        <v>2276</v>
      </c>
      <c r="V2785" s="204" t="s">
        <v>2276</v>
      </c>
      <c r="W2785" s="204" t="s">
        <v>2276</v>
      </c>
      <c r="X2785" s="21">
        <f>T2785/'Record info'!K$1131</f>
        <v>6.3191153238546609E-4</v>
      </c>
      <c r="Y2785" s="204" t="s">
        <v>2276</v>
      </c>
      <c r="Z2785" s="204" t="s">
        <v>68</v>
      </c>
      <c r="AA2785" s="204" t="s">
        <v>86</v>
      </c>
      <c r="AB2785" s="204" t="s">
        <v>76</v>
      </c>
      <c r="AC2785" s="204"/>
      <c r="AD2785" s="204"/>
    </row>
    <row r="2786" spans="1:30" ht="43.5" customHeight="1">
      <c r="A2786" s="19" t="s">
        <v>7382</v>
      </c>
      <c r="B2786" s="19" t="s">
        <v>7561</v>
      </c>
      <c r="C2786" s="204" t="s">
        <v>24</v>
      </c>
      <c r="D2786" s="204" t="s">
        <v>1242</v>
      </c>
      <c r="E2786" s="204" t="s">
        <v>3209</v>
      </c>
      <c r="F2786" s="152" t="s">
        <v>2276</v>
      </c>
      <c r="G2786" s="152" t="s">
        <v>2276</v>
      </c>
      <c r="H2786" s="204" t="s">
        <v>524</v>
      </c>
      <c r="I2786" s="204">
        <v>2014</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f>T2786/'Record info'!K$1132</f>
        <v>0</v>
      </c>
      <c r="Y2786" s="204" t="s">
        <v>2276</v>
      </c>
      <c r="Z2786" s="204" t="s">
        <v>68</v>
      </c>
      <c r="AA2786" s="204" t="s">
        <v>86</v>
      </c>
      <c r="AB2786" s="204" t="s">
        <v>76</v>
      </c>
      <c r="AC2786" s="204"/>
      <c r="AD2786" s="204"/>
    </row>
    <row r="2787" spans="1:30" ht="43.5" customHeight="1">
      <c r="A2787" s="19" t="s">
        <v>7383</v>
      </c>
      <c r="B2787" s="19" t="s">
        <v>7562</v>
      </c>
      <c r="C2787" s="204" t="s">
        <v>24</v>
      </c>
      <c r="D2787" s="204" t="s">
        <v>1242</v>
      </c>
      <c r="E2787" s="204" t="s">
        <v>3209</v>
      </c>
      <c r="F2787" s="152" t="s">
        <v>2276</v>
      </c>
      <c r="G2787" s="152" t="s">
        <v>2276</v>
      </c>
      <c r="H2787" s="204" t="s">
        <v>524</v>
      </c>
      <c r="I2787" s="204">
        <v>2014</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info'!K$1133</f>
        <v>0</v>
      </c>
      <c r="Y2787" s="204" t="s">
        <v>2276</v>
      </c>
      <c r="Z2787" s="204" t="s">
        <v>68</v>
      </c>
      <c r="AA2787" s="204" t="s">
        <v>86</v>
      </c>
      <c r="AB2787" s="204" t="s">
        <v>76</v>
      </c>
      <c r="AC2787" s="204"/>
      <c r="AD2787" s="204"/>
    </row>
    <row r="2788" spans="1:30" ht="43.5" customHeight="1">
      <c r="A2788" s="19" t="s">
        <v>7384</v>
      </c>
      <c r="B2788" s="19" t="s">
        <v>7563</v>
      </c>
      <c r="C2788" s="204" t="s">
        <v>24</v>
      </c>
      <c r="D2788" s="204" t="s">
        <v>1242</v>
      </c>
      <c r="E2788" s="204" t="s">
        <v>3209</v>
      </c>
      <c r="F2788" s="152" t="s">
        <v>2276</v>
      </c>
      <c r="G2788" s="152" t="s">
        <v>2276</v>
      </c>
      <c r="H2788" s="204" t="s">
        <v>524</v>
      </c>
      <c r="I2788" s="204">
        <v>2014</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info'!K$1134</f>
        <v>0</v>
      </c>
      <c r="Y2788" s="204" t="s">
        <v>2276</v>
      </c>
      <c r="Z2788" s="204" t="s">
        <v>68</v>
      </c>
      <c r="AA2788" s="204" t="s">
        <v>86</v>
      </c>
      <c r="AB2788" s="204" t="s">
        <v>76</v>
      </c>
      <c r="AC2788" s="204"/>
      <c r="AD2788" s="204"/>
    </row>
    <row r="2789" spans="1:30" ht="43.5" customHeight="1">
      <c r="A2789" s="19" t="s">
        <v>7385</v>
      </c>
      <c r="B2789" s="19" t="s">
        <v>7564</v>
      </c>
      <c r="C2789" s="204" t="s">
        <v>24</v>
      </c>
      <c r="D2789" s="204" t="s">
        <v>1242</v>
      </c>
      <c r="E2789" s="204" t="s">
        <v>3209</v>
      </c>
      <c r="F2789" s="152" t="s">
        <v>2276</v>
      </c>
      <c r="G2789" s="152" t="s">
        <v>2276</v>
      </c>
      <c r="H2789" s="204" t="s">
        <v>523</v>
      </c>
      <c r="I2789" s="204">
        <v>2014</v>
      </c>
      <c r="J2789" s="204" t="s">
        <v>2276</v>
      </c>
      <c r="K2789" s="204" t="s">
        <v>2276</v>
      </c>
      <c r="L2789" s="204" t="s">
        <v>2276</v>
      </c>
      <c r="M2789" s="204" t="s">
        <v>2276</v>
      </c>
      <c r="N2789" s="204" t="s">
        <v>2276</v>
      </c>
      <c r="O2789" s="204" t="s">
        <v>2276</v>
      </c>
      <c r="P2789" s="204" t="s">
        <v>2276</v>
      </c>
      <c r="Q2789" s="204" t="s">
        <v>2276</v>
      </c>
      <c r="R2789" s="204" t="s">
        <v>2276</v>
      </c>
      <c r="S2789" s="204" t="s">
        <v>2276</v>
      </c>
      <c r="T2789" s="21">
        <f>800*0.035</f>
        <v>28.000000000000004</v>
      </c>
      <c r="U2789" s="204" t="s">
        <v>2276</v>
      </c>
      <c r="V2789" s="204" t="s">
        <v>2276</v>
      </c>
      <c r="W2789" s="204" t="s">
        <v>2276</v>
      </c>
      <c r="X2789" s="21">
        <f>T2789/'Record info'!K$1135</f>
        <v>4.6166529266281949E-3</v>
      </c>
      <c r="Y2789" s="204" t="s">
        <v>2276</v>
      </c>
      <c r="Z2789" s="204" t="s">
        <v>68</v>
      </c>
      <c r="AA2789" s="204" t="s">
        <v>86</v>
      </c>
      <c r="AB2789" s="204" t="s">
        <v>76</v>
      </c>
      <c r="AC2789" s="204"/>
      <c r="AD2789" s="204"/>
    </row>
    <row r="2790" spans="1:30" ht="43.5" customHeight="1">
      <c r="A2790" s="19" t="s">
        <v>7386</v>
      </c>
      <c r="B2790" s="19" t="s">
        <v>7565</v>
      </c>
      <c r="C2790" s="204" t="s">
        <v>24</v>
      </c>
      <c r="D2790" s="204" t="s">
        <v>1242</v>
      </c>
      <c r="E2790" s="204" t="s">
        <v>3209</v>
      </c>
      <c r="F2790" s="152" t="s">
        <v>2276</v>
      </c>
      <c r="G2790" s="152" t="s">
        <v>2276</v>
      </c>
      <c r="H2790" s="204" t="s">
        <v>523</v>
      </c>
      <c r="I2790" s="204">
        <v>2014</v>
      </c>
      <c r="J2790" s="204" t="s">
        <v>2276</v>
      </c>
      <c r="K2790" s="204" t="s">
        <v>2276</v>
      </c>
      <c r="L2790" s="204" t="s">
        <v>2276</v>
      </c>
      <c r="M2790" s="204" t="s">
        <v>2276</v>
      </c>
      <c r="N2790" s="204" t="s">
        <v>2276</v>
      </c>
      <c r="O2790" s="204" t="s">
        <v>2276</v>
      </c>
      <c r="P2790" s="204" t="s">
        <v>2276</v>
      </c>
      <c r="Q2790" s="204" t="s">
        <v>2276</v>
      </c>
      <c r="R2790" s="204" t="s">
        <v>2276</v>
      </c>
      <c r="S2790" s="204" t="s">
        <v>2276</v>
      </c>
      <c r="T2790" s="21">
        <f>800*0.079</f>
        <v>63.2</v>
      </c>
      <c r="U2790" s="204" t="s">
        <v>2276</v>
      </c>
      <c r="V2790" s="204" t="s">
        <v>2276</v>
      </c>
      <c r="W2790" s="204" t="s">
        <v>2276</v>
      </c>
      <c r="X2790" s="21">
        <f>T2790/'Record info'!K$1136</f>
        <v>9.4681647940074911E-3</v>
      </c>
      <c r="Y2790" s="204" t="s">
        <v>2276</v>
      </c>
      <c r="Z2790" s="204" t="s">
        <v>68</v>
      </c>
      <c r="AA2790" s="204" t="s">
        <v>86</v>
      </c>
      <c r="AB2790" s="204" t="s">
        <v>76</v>
      </c>
      <c r="AC2790" s="204"/>
      <c r="AD2790" s="204"/>
    </row>
    <row r="2791" spans="1:30" ht="43.5" customHeight="1">
      <c r="A2791" s="19" t="s">
        <v>7387</v>
      </c>
      <c r="B2791" s="19" t="s">
        <v>7566</v>
      </c>
      <c r="C2791" s="204" t="s">
        <v>24</v>
      </c>
      <c r="D2791" s="204" t="s">
        <v>1242</v>
      </c>
      <c r="E2791" s="204" t="s">
        <v>3209</v>
      </c>
      <c r="F2791" s="152" t="s">
        <v>2276</v>
      </c>
      <c r="G2791" s="152" t="s">
        <v>2276</v>
      </c>
      <c r="H2791" s="204" t="s">
        <v>523</v>
      </c>
      <c r="I2791" s="204">
        <v>2014</v>
      </c>
      <c r="J2791" s="204" t="s">
        <v>2276</v>
      </c>
      <c r="K2791" s="204" t="s">
        <v>2276</v>
      </c>
      <c r="L2791" s="204" t="s">
        <v>2276</v>
      </c>
      <c r="M2791" s="204" t="s">
        <v>2276</v>
      </c>
      <c r="N2791" s="204" t="s">
        <v>2276</v>
      </c>
      <c r="O2791" s="204" t="s">
        <v>2276</v>
      </c>
      <c r="P2791" s="204" t="s">
        <v>2276</v>
      </c>
      <c r="Q2791" s="204" t="s">
        <v>2276</v>
      </c>
      <c r="R2791" s="204" t="s">
        <v>2276</v>
      </c>
      <c r="S2791" s="204" t="s">
        <v>2276</v>
      </c>
      <c r="T2791" s="21">
        <f>800*0.132</f>
        <v>105.60000000000001</v>
      </c>
      <c r="U2791" s="204" t="s">
        <v>2276</v>
      </c>
      <c r="V2791" s="204" t="s">
        <v>2276</v>
      </c>
      <c r="W2791" s="204" t="s">
        <v>2276</v>
      </c>
      <c r="X2791" s="21">
        <f>T2791/'Record info'!K$1137</f>
        <v>1.9137368611815878E-2</v>
      </c>
      <c r="Y2791" s="204" t="s">
        <v>2276</v>
      </c>
      <c r="Z2791" s="204" t="s">
        <v>68</v>
      </c>
      <c r="AA2791" s="204" t="s">
        <v>86</v>
      </c>
      <c r="AB2791" s="204" t="s">
        <v>76</v>
      </c>
      <c r="AC2791" s="204"/>
      <c r="AD2791" s="204"/>
    </row>
    <row r="2792" spans="1:30" ht="43.5" customHeight="1">
      <c r="A2792" s="19" t="s">
        <v>7388</v>
      </c>
      <c r="B2792" s="19" t="s">
        <v>7567</v>
      </c>
      <c r="C2792" s="204" t="s">
        <v>24</v>
      </c>
      <c r="D2792" s="204" t="s">
        <v>1242</v>
      </c>
      <c r="E2792" s="204" t="s">
        <v>3209</v>
      </c>
      <c r="F2792" s="152" t="s">
        <v>2276</v>
      </c>
      <c r="G2792" s="152" t="s">
        <v>2276</v>
      </c>
      <c r="H2792" s="204" t="s">
        <v>523</v>
      </c>
      <c r="I2792" s="204">
        <v>2014</v>
      </c>
      <c r="J2792" s="204" t="s">
        <v>2276</v>
      </c>
      <c r="K2792" s="204" t="s">
        <v>2276</v>
      </c>
      <c r="L2792" s="204" t="s">
        <v>2276</v>
      </c>
      <c r="M2792" s="204" t="s">
        <v>2276</v>
      </c>
      <c r="N2792" s="204" t="s">
        <v>2276</v>
      </c>
      <c r="O2792" s="204" t="s">
        <v>2276</v>
      </c>
      <c r="P2792" s="204" t="s">
        <v>2276</v>
      </c>
      <c r="Q2792" s="204" t="s">
        <v>2276</v>
      </c>
      <c r="R2792" s="204" t="s">
        <v>2276</v>
      </c>
      <c r="S2792" s="204" t="s">
        <v>2276</v>
      </c>
      <c r="T2792" s="21">
        <f>800*0.057</f>
        <v>45.6</v>
      </c>
      <c r="U2792" s="204" t="s">
        <v>2276</v>
      </c>
      <c r="V2792" s="204" t="s">
        <v>2276</v>
      </c>
      <c r="W2792" s="204" t="s">
        <v>2276</v>
      </c>
      <c r="X2792" s="21">
        <f>T2792/'Record info'!K$1138</f>
        <v>1.1553078287306815E-2</v>
      </c>
      <c r="Y2792" s="204" t="s">
        <v>2276</v>
      </c>
      <c r="Z2792" s="204" t="s">
        <v>68</v>
      </c>
      <c r="AA2792" s="204" t="s">
        <v>86</v>
      </c>
      <c r="AB2792" s="204" t="s">
        <v>76</v>
      </c>
      <c r="AC2792" s="204"/>
      <c r="AD2792" s="204"/>
    </row>
    <row r="2793" spans="1:30" ht="43.5" customHeight="1">
      <c r="A2793" s="19" t="s">
        <v>7389</v>
      </c>
      <c r="B2793" s="19" t="s">
        <v>7568</v>
      </c>
      <c r="C2793" s="204" t="s">
        <v>24</v>
      </c>
      <c r="D2793" s="204" t="s">
        <v>1242</v>
      </c>
      <c r="E2793" s="204" t="s">
        <v>3209</v>
      </c>
      <c r="F2793" s="152" t="s">
        <v>2276</v>
      </c>
      <c r="G2793" s="152" t="s">
        <v>2276</v>
      </c>
      <c r="H2793" s="204" t="s">
        <v>523</v>
      </c>
      <c r="I2793" s="204">
        <v>2014</v>
      </c>
      <c r="J2793" s="204" t="s">
        <v>2276</v>
      </c>
      <c r="K2793" s="204" t="s">
        <v>2276</v>
      </c>
      <c r="L2793" s="204" t="s">
        <v>2276</v>
      </c>
      <c r="M2793" s="204" t="s">
        <v>2276</v>
      </c>
      <c r="N2793" s="204" t="s">
        <v>2276</v>
      </c>
      <c r="O2793" s="204" t="s">
        <v>2276</v>
      </c>
      <c r="P2793" s="204" t="s">
        <v>2276</v>
      </c>
      <c r="Q2793" s="204" t="s">
        <v>2276</v>
      </c>
      <c r="R2793" s="204" t="s">
        <v>2276</v>
      </c>
      <c r="S2793" s="204" t="s">
        <v>2276</v>
      </c>
      <c r="T2793" s="21">
        <f>800*0.024</f>
        <v>19.2</v>
      </c>
      <c r="U2793" s="204" t="s">
        <v>2276</v>
      </c>
      <c r="V2793" s="204" t="s">
        <v>2276</v>
      </c>
      <c r="W2793" s="204" t="s">
        <v>2276</v>
      </c>
      <c r="X2793" s="21">
        <f>T2793/'Record info'!K$1139</f>
        <v>6.8376068376068376E-3</v>
      </c>
      <c r="Y2793" s="204" t="s">
        <v>2276</v>
      </c>
      <c r="Z2793" s="204" t="s">
        <v>68</v>
      </c>
      <c r="AA2793" s="204" t="s">
        <v>86</v>
      </c>
      <c r="AB2793" s="204" t="s">
        <v>76</v>
      </c>
      <c r="AC2793" s="204"/>
      <c r="AD2793" s="204"/>
    </row>
    <row r="2794" spans="1:30" ht="43.5" customHeight="1">
      <c r="A2794" s="19" t="s">
        <v>7390</v>
      </c>
      <c r="B2794" s="19" t="s">
        <v>7569</v>
      </c>
      <c r="C2794" s="204" t="s">
        <v>24</v>
      </c>
      <c r="D2794" s="204" t="s">
        <v>1242</v>
      </c>
      <c r="E2794" s="204" t="s">
        <v>3209</v>
      </c>
      <c r="F2794" s="152" t="s">
        <v>2276</v>
      </c>
      <c r="G2794" s="152" t="s">
        <v>2276</v>
      </c>
      <c r="H2794" s="204" t="s">
        <v>523</v>
      </c>
      <c r="I2794" s="204">
        <v>2014</v>
      </c>
      <c r="J2794" s="204" t="s">
        <v>2276</v>
      </c>
      <c r="K2794" s="204" t="s">
        <v>2276</v>
      </c>
      <c r="L2794" s="204" t="s">
        <v>2276</v>
      </c>
      <c r="M2794" s="204" t="s">
        <v>2276</v>
      </c>
      <c r="N2794" s="204" t="s">
        <v>2276</v>
      </c>
      <c r="O2794" s="204" t="s">
        <v>2276</v>
      </c>
      <c r="P2794" s="204" t="s">
        <v>2276</v>
      </c>
      <c r="Q2794" s="204" t="s">
        <v>2276</v>
      </c>
      <c r="R2794" s="204" t="s">
        <v>2276</v>
      </c>
      <c r="S2794" s="204" t="s">
        <v>2276</v>
      </c>
      <c r="T2794" s="21">
        <f>800*0.072</f>
        <v>57.599999999999994</v>
      </c>
      <c r="U2794" s="204" t="s">
        <v>2276</v>
      </c>
      <c r="V2794" s="204" t="s">
        <v>2276</v>
      </c>
      <c r="W2794" s="204" t="s">
        <v>2276</v>
      </c>
      <c r="X2794" s="21">
        <f>T2794/'Record info'!K$1140</f>
        <v>1.1503894547633313E-2</v>
      </c>
      <c r="Y2794" s="204" t="s">
        <v>2276</v>
      </c>
      <c r="Z2794" s="204" t="s">
        <v>68</v>
      </c>
      <c r="AA2794" s="204" t="s">
        <v>86</v>
      </c>
      <c r="AB2794" s="204" t="s">
        <v>76</v>
      </c>
      <c r="AC2794" s="204"/>
      <c r="AD2794" s="204"/>
    </row>
    <row r="2795" spans="1:30" ht="43.5" customHeight="1">
      <c r="A2795" s="19" t="s">
        <v>7391</v>
      </c>
      <c r="B2795" s="19" t="s">
        <v>7570</v>
      </c>
      <c r="C2795" s="204" t="s">
        <v>24</v>
      </c>
      <c r="D2795" s="204" t="s">
        <v>1242</v>
      </c>
      <c r="E2795" s="204" t="s">
        <v>3209</v>
      </c>
      <c r="F2795" s="152" t="s">
        <v>2276</v>
      </c>
      <c r="G2795" s="152" t="s">
        <v>2276</v>
      </c>
      <c r="H2795" s="204" t="s">
        <v>523</v>
      </c>
      <c r="I2795" s="204">
        <v>2014</v>
      </c>
      <c r="J2795" s="204" t="s">
        <v>2276</v>
      </c>
      <c r="K2795" s="204" t="s">
        <v>2276</v>
      </c>
      <c r="L2795" s="204" t="s">
        <v>2276</v>
      </c>
      <c r="M2795" s="204" t="s">
        <v>2276</v>
      </c>
      <c r="N2795" s="204" t="s">
        <v>2276</v>
      </c>
      <c r="O2795" s="204" t="s">
        <v>2276</v>
      </c>
      <c r="P2795" s="204" t="s">
        <v>2276</v>
      </c>
      <c r="Q2795" s="204" t="s">
        <v>2276</v>
      </c>
      <c r="R2795" s="204" t="s">
        <v>2276</v>
      </c>
      <c r="S2795" s="204" t="s">
        <v>2276</v>
      </c>
      <c r="T2795" s="21">
        <f>800*0.068</f>
        <v>54.400000000000006</v>
      </c>
      <c r="U2795" s="204" t="s">
        <v>2276</v>
      </c>
      <c r="V2795" s="204" t="s">
        <v>2276</v>
      </c>
      <c r="W2795" s="204" t="s">
        <v>2276</v>
      </c>
      <c r="X2795" s="21">
        <f>T2795/'Record info'!K$1141</f>
        <v>4.6337308347529818E-2</v>
      </c>
      <c r="Y2795" s="204" t="s">
        <v>2276</v>
      </c>
      <c r="Z2795" s="204" t="s">
        <v>68</v>
      </c>
      <c r="AA2795" s="204" t="s">
        <v>86</v>
      </c>
      <c r="AB2795" s="204" t="s">
        <v>76</v>
      </c>
      <c r="AC2795" s="204"/>
      <c r="AD2795" s="204"/>
    </row>
    <row r="2796" spans="1:30" ht="43.5" customHeight="1">
      <c r="A2796" s="19" t="s">
        <v>7392</v>
      </c>
      <c r="B2796" s="19" t="s">
        <v>7571</v>
      </c>
      <c r="C2796" s="204" t="s">
        <v>24</v>
      </c>
      <c r="D2796" s="204" t="s">
        <v>1242</v>
      </c>
      <c r="E2796" s="204" t="s">
        <v>3209</v>
      </c>
      <c r="F2796" s="152" t="s">
        <v>2276</v>
      </c>
      <c r="G2796" s="152" t="s">
        <v>2276</v>
      </c>
      <c r="H2796" s="204" t="s">
        <v>523</v>
      </c>
      <c r="I2796" s="204">
        <v>2014</v>
      </c>
      <c r="J2796" s="204" t="s">
        <v>2276</v>
      </c>
      <c r="K2796" s="204" t="s">
        <v>2276</v>
      </c>
      <c r="L2796" s="204" t="s">
        <v>2276</v>
      </c>
      <c r="M2796" s="204" t="s">
        <v>2276</v>
      </c>
      <c r="N2796" s="204" t="s">
        <v>2276</v>
      </c>
      <c r="O2796" s="204" t="s">
        <v>2276</v>
      </c>
      <c r="P2796" s="204" t="s">
        <v>2276</v>
      </c>
      <c r="Q2796" s="204" t="s">
        <v>2276</v>
      </c>
      <c r="R2796" s="204" t="s">
        <v>2276</v>
      </c>
      <c r="S2796" s="204" t="s">
        <v>2276</v>
      </c>
      <c r="T2796" s="21">
        <f>800*0.075</f>
        <v>60</v>
      </c>
      <c r="U2796" s="204" t="s">
        <v>2276</v>
      </c>
      <c r="V2796" s="204" t="s">
        <v>2276</v>
      </c>
      <c r="W2796" s="204" t="s">
        <v>2276</v>
      </c>
      <c r="X2796" s="21">
        <f>T2796/'Record info'!K$1142</f>
        <v>1.3863216266173753E-2</v>
      </c>
      <c r="Y2796" s="204" t="s">
        <v>2276</v>
      </c>
      <c r="Z2796" s="204" t="s">
        <v>68</v>
      </c>
      <c r="AA2796" s="204" t="s">
        <v>86</v>
      </c>
      <c r="AB2796" s="204" t="s">
        <v>76</v>
      </c>
      <c r="AC2796" s="204"/>
      <c r="AD2796" s="204"/>
    </row>
    <row r="2797" spans="1:30" ht="43.5" customHeight="1">
      <c r="A2797" s="19" t="s">
        <v>7393</v>
      </c>
      <c r="B2797" s="19" t="s">
        <v>7572</v>
      </c>
      <c r="C2797" s="204" t="s">
        <v>24</v>
      </c>
      <c r="D2797" s="204" t="s">
        <v>1242</v>
      </c>
      <c r="E2797" s="204" t="s">
        <v>3209</v>
      </c>
      <c r="F2797" s="152" t="s">
        <v>2276</v>
      </c>
      <c r="G2797" s="152" t="s">
        <v>2276</v>
      </c>
      <c r="H2797" s="204" t="s">
        <v>523</v>
      </c>
      <c r="I2797" s="204">
        <v>2014</v>
      </c>
      <c r="J2797" s="204" t="s">
        <v>2276</v>
      </c>
      <c r="K2797" s="204" t="s">
        <v>2276</v>
      </c>
      <c r="L2797" s="204" t="s">
        <v>2276</v>
      </c>
      <c r="M2797" s="204" t="s">
        <v>2276</v>
      </c>
      <c r="N2797" s="204" t="s">
        <v>2276</v>
      </c>
      <c r="O2797" s="204" t="s">
        <v>2276</v>
      </c>
      <c r="P2797" s="204" t="s">
        <v>2276</v>
      </c>
      <c r="Q2797" s="204" t="s">
        <v>2276</v>
      </c>
      <c r="R2797" s="204" t="s">
        <v>2276</v>
      </c>
      <c r="S2797" s="204" t="s">
        <v>2276</v>
      </c>
      <c r="T2797" s="21">
        <f>800*0.111</f>
        <v>88.8</v>
      </c>
      <c r="U2797" s="204" t="s">
        <v>2276</v>
      </c>
      <c r="V2797" s="204" t="s">
        <v>2276</v>
      </c>
      <c r="W2797" s="204" t="s">
        <v>2276</v>
      </c>
      <c r="X2797" s="21">
        <f>T2797/'Record info'!K$1143</f>
        <v>3.7077244258872648E-2</v>
      </c>
      <c r="Y2797" s="204" t="s">
        <v>2276</v>
      </c>
      <c r="Z2797" s="204" t="s">
        <v>68</v>
      </c>
      <c r="AA2797" s="204" t="s">
        <v>86</v>
      </c>
      <c r="AB2797" s="204" t="s">
        <v>76</v>
      </c>
      <c r="AC2797" s="204"/>
      <c r="AD2797" s="204"/>
    </row>
    <row r="2798" spans="1:30" ht="43.5" customHeight="1">
      <c r="A2798" s="19" t="s">
        <v>7394</v>
      </c>
      <c r="B2798" s="19" t="s">
        <v>7573</v>
      </c>
      <c r="C2798" s="204" t="s">
        <v>24</v>
      </c>
      <c r="D2798" s="204" t="s">
        <v>1242</v>
      </c>
      <c r="E2798" s="204" t="s">
        <v>3209</v>
      </c>
      <c r="F2798" s="152" t="s">
        <v>2276</v>
      </c>
      <c r="G2798" s="152" t="s">
        <v>2276</v>
      </c>
      <c r="H2798" s="204" t="s">
        <v>523</v>
      </c>
      <c r="I2798" s="204">
        <v>2014</v>
      </c>
      <c r="J2798" s="204" t="s">
        <v>2276</v>
      </c>
      <c r="K2798" s="204" t="s">
        <v>2276</v>
      </c>
      <c r="L2798" s="204" t="s">
        <v>2276</v>
      </c>
      <c r="M2798" s="204" t="s">
        <v>2276</v>
      </c>
      <c r="N2798" s="204" t="s">
        <v>2276</v>
      </c>
      <c r="O2798" s="204" t="s">
        <v>2276</v>
      </c>
      <c r="P2798" s="204" t="s">
        <v>2276</v>
      </c>
      <c r="Q2798" s="204" t="s">
        <v>2276</v>
      </c>
      <c r="R2798" s="204" t="s">
        <v>2276</v>
      </c>
      <c r="S2798" s="204" t="s">
        <v>2276</v>
      </c>
      <c r="T2798" s="21">
        <f>800*0.106</f>
        <v>84.8</v>
      </c>
      <c r="U2798" s="204" t="s">
        <v>2276</v>
      </c>
      <c r="V2798" s="204" t="s">
        <v>2276</v>
      </c>
      <c r="W2798" s="204" t="s">
        <v>2276</v>
      </c>
      <c r="X2798" s="21">
        <f>T2798/'Record info'!K$1144</f>
        <v>3.1724653946876166E-2</v>
      </c>
      <c r="Y2798" s="204" t="s">
        <v>2276</v>
      </c>
      <c r="Z2798" s="204" t="s">
        <v>68</v>
      </c>
      <c r="AA2798" s="204" t="s">
        <v>86</v>
      </c>
      <c r="AB2798" s="204" t="s">
        <v>76</v>
      </c>
      <c r="AC2798" s="204"/>
      <c r="AD2798" s="204"/>
    </row>
    <row r="2799" spans="1:30" ht="43.5" customHeight="1">
      <c r="A2799" s="19" t="s">
        <v>7395</v>
      </c>
      <c r="B2799" s="19" t="s">
        <v>7574</v>
      </c>
      <c r="C2799" s="204" t="s">
        <v>24</v>
      </c>
      <c r="D2799" s="204" t="s">
        <v>1242</v>
      </c>
      <c r="E2799" s="204" t="s">
        <v>3209</v>
      </c>
      <c r="F2799" s="152" t="s">
        <v>2276</v>
      </c>
      <c r="G2799" s="152" t="s">
        <v>2276</v>
      </c>
      <c r="H2799" s="204" t="s">
        <v>523</v>
      </c>
      <c r="I2799" s="204">
        <v>2014</v>
      </c>
      <c r="J2799" s="204" t="s">
        <v>2276</v>
      </c>
      <c r="K2799" s="204" t="s">
        <v>2276</v>
      </c>
      <c r="L2799" s="204" t="s">
        <v>2276</v>
      </c>
      <c r="M2799" s="204" t="s">
        <v>2276</v>
      </c>
      <c r="N2799" s="204" t="s">
        <v>2276</v>
      </c>
      <c r="O2799" s="204" t="s">
        <v>2276</v>
      </c>
      <c r="P2799" s="204" t="s">
        <v>2276</v>
      </c>
      <c r="Q2799" s="204" t="s">
        <v>2276</v>
      </c>
      <c r="R2799" s="204" t="s">
        <v>2276</v>
      </c>
      <c r="S2799" s="204" t="s">
        <v>2276</v>
      </c>
      <c r="T2799" s="21">
        <f>800*0.166</f>
        <v>132.80000000000001</v>
      </c>
      <c r="U2799" s="204" t="s">
        <v>2276</v>
      </c>
      <c r="V2799" s="204" t="s">
        <v>2276</v>
      </c>
      <c r="W2799" s="204" t="s">
        <v>2276</v>
      </c>
      <c r="X2799" s="21">
        <f>T2799/'Record info'!K$1145</f>
        <v>5.8891352549889142E-2</v>
      </c>
      <c r="Y2799" s="204" t="s">
        <v>2276</v>
      </c>
      <c r="Z2799" s="204" t="s">
        <v>68</v>
      </c>
      <c r="AA2799" s="204" t="s">
        <v>86</v>
      </c>
      <c r="AB2799" s="204" t="s">
        <v>76</v>
      </c>
      <c r="AC2799" s="204"/>
      <c r="AD2799" s="204"/>
    </row>
    <row r="2800" spans="1:30" ht="41" customHeight="1">
      <c r="A2800" s="19" t="s">
        <v>7293</v>
      </c>
      <c r="B2800" s="19" t="s">
        <v>7575</v>
      </c>
      <c r="C2800" s="204" t="s">
        <v>24</v>
      </c>
      <c r="D2800" s="204" t="s">
        <v>1242</v>
      </c>
      <c r="E2800" s="204" t="s">
        <v>3209</v>
      </c>
      <c r="F2800" s="152" t="s">
        <v>2276</v>
      </c>
      <c r="G2800" s="152" t="s">
        <v>2276</v>
      </c>
      <c r="H2800" s="204" t="s">
        <v>523</v>
      </c>
      <c r="I2800" s="204">
        <v>2015</v>
      </c>
      <c r="J2800" s="204" t="s">
        <v>2276</v>
      </c>
      <c r="K2800" s="204" t="s">
        <v>2276</v>
      </c>
      <c r="L2800" s="204" t="s">
        <v>2276</v>
      </c>
      <c r="M2800" s="204" t="s">
        <v>2276</v>
      </c>
      <c r="N2800" s="204" t="s">
        <v>2276</v>
      </c>
      <c r="O2800" s="204" t="s">
        <v>2276</v>
      </c>
      <c r="P2800" s="204" t="s">
        <v>2276</v>
      </c>
      <c r="Q2800" s="204" t="s">
        <v>2276</v>
      </c>
      <c r="R2800" s="204" t="s">
        <v>2276</v>
      </c>
      <c r="S2800" s="204" t="s">
        <v>2276</v>
      </c>
      <c r="T2800" s="21">
        <f>750*0.027</f>
        <v>20.25</v>
      </c>
      <c r="U2800" s="204" t="s">
        <v>2276</v>
      </c>
      <c r="V2800" s="204" t="s">
        <v>2276</v>
      </c>
      <c r="W2800" s="204" t="s">
        <v>2276</v>
      </c>
      <c r="X2800" s="21">
        <f>T2800/'Record info'!K$1128</f>
        <v>7.2321428571428571E-3</v>
      </c>
      <c r="Y2800" s="204" t="s">
        <v>2276</v>
      </c>
      <c r="Z2800" s="204" t="s">
        <v>68</v>
      </c>
      <c r="AA2800" s="204" t="s">
        <v>86</v>
      </c>
      <c r="AB2800" s="204" t="s">
        <v>76</v>
      </c>
      <c r="AC2800" s="204"/>
      <c r="AD2800" s="204"/>
    </row>
    <row r="2801" spans="1:30" ht="41" customHeight="1">
      <c r="A2801" s="19" t="s">
        <v>7379</v>
      </c>
      <c r="B2801" s="19" t="s">
        <v>7576</v>
      </c>
      <c r="C2801" s="204" t="s">
        <v>24</v>
      </c>
      <c r="D2801" s="204" t="s">
        <v>1242</v>
      </c>
      <c r="E2801" s="204" t="s">
        <v>3209</v>
      </c>
      <c r="F2801" s="152" t="s">
        <v>2276</v>
      </c>
      <c r="G2801" s="152" t="s">
        <v>2276</v>
      </c>
      <c r="H2801" s="204" t="s">
        <v>523</v>
      </c>
      <c r="I2801" s="204">
        <v>2015</v>
      </c>
      <c r="J2801" s="204" t="s">
        <v>2276</v>
      </c>
      <c r="K2801" s="204" t="s">
        <v>2276</v>
      </c>
      <c r="L2801" s="204" t="s">
        <v>2276</v>
      </c>
      <c r="M2801" s="204" t="s">
        <v>2276</v>
      </c>
      <c r="N2801" s="204" t="s">
        <v>2276</v>
      </c>
      <c r="O2801" s="204" t="s">
        <v>2276</v>
      </c>
      <c r="P2801" s="204" t="s">
        <v>2276</v>
      </c>
      <c r="Q2801" s="204" t="s">
        <v>2276</v>
      </c>
      <c r="R2801" s="204" t="s">
        <v>2276</v>
      </c>
      <c r="S2801" s="204" t="s">
        <v>2276</v>
      </c>
      <c r="T2801" s="21">
        <f>750*0.041</f>
        <v>30.75</v>
      </c>
      <c r="U2801" s="204" t="s">
        <v>2276</v>
      </c>
      <c r="V2801" s="204" t="s">
        <v>2276</v>
      </c>
      <c r="W2801" s="204" t="s">
        <v>2276</v>
      </c>
      <c r="X2801" s="21">
        <f>T2801/'Record info'!K$1129</f>
        <v>8.7482219061166423E-3</v>
      </c>
      <c r="Y2801" s="204" t="s">
        <v>2276</v>
      </c>
      <c r="Z2801" s="204" t="s">
        <v>68</v>
      </c>
      <c r="AA2801" s="204" t="s">
        <v>86</v>
      </c>
      <c r="AB2801" s="204" t="s">
        <v>76</v>
      </c>
      <c r="AC2801" s="204"/>
      <c r="AD2801" s="204"/>
    </row>
    <row r="2802" spans="1:30" ht="41" customHeight="1">
      <c r="A2802" s="19" t="s">
        <v>7380</v>
      </c>
      <c r="B2802" s="19" t="s">
        <v>7577</v>
      </c>
      <c r="C2802" s="204" t="s">
        <v>24</v>
      </c>
      <c r="D2802" s="204" t="s">
        <v>1242</v>
      </c>
      <c r="E2802" s="204" t="s">
        <v>3209</v>
      </c>
      <c r="F2802" s="152" t="s">
        <v>2276</v>
      </c>
      <c r="G2802" s="152" t="s">
        <v>2276</v>
      </c>
      <c r="H2802" s="204" t="s">
        <v>523</v>
      </c>
      <c r="I2802" s="204">
        <v>2015</v>
      </c>
      <c r="J2802" s="204" t="s">
        <v>2276</v>
      </c>
      <c r="K2802" s="204" t="s">
        <v>2276</v>
      </c>
      <c r="L2802" s="204" t="s">
        <v>2276</v>
      </c>
      <c r="M2802" s="204" t="s">
        <v>2276</v>
      </c>
      <c r="N2802" s="204" t="s">
        <v>2276</v>
      </c>
      <c r="O2802" s="204" t="s">
        <v>2276</v>
      </c>
      <c r="P2802" s="204" t="s">
        <v>2276</v>
      </c>
      <c r="Q2802" s="204" t="s">
        <v>2276</v>
      </c>
      <c r="R2802" s="204" t="s">
        <v>2276</v>
      </c>
      <c r="S2802" s="204" t="s">
        <v>2276</v>
      </c>
      <c r="T2802" s="21">
        <f>750*0.004</f>
        <v>3</v>
      </c>
      <c r="U2802" s="204" t="s">
        <v>2276</v>
      </c>
      <c r="V2802" s="204" t="s">
        <v>2276</v>
      </c>
      <c r="W2802" s="204" t="s">
        <v>2276</v>
      </c>
      <c r="X2802" s="21">
        <f>T2802/'Record info'!K$1130</f>
        <v>4.4464206313917296E-4</v>
      </c>
      <c r="Y2802" s="204" t="s">
        <v>2276</v>
      </c>
      <c r="Z2802" s="204" t="s">
        <v>68</v>
      </c>
      <c r="AA2802" s="204" t="s">
        <v>86</v>
      </c>
      <c r="AB2802" s="204" t="s">
        <v>76</v>
      </c>
      <c r="AC2802" s="204"/>
      <c r="AD2802" s="204"/>
    </row>
    <row r="2803" spans="1:30" ht="41" customHeight="1">
      <c r="A2803" s="19" t="s">
        <v>7381</v>
      </c>
      <c r="B2803" s="19" t="s">
        <v>7578</v>
      </c>
      <c r="C2803" s="204" t="s">
        <v>24</v>
      </c>
      <c r="D2803" s="204" t="s">
        <v>1242</v>
      </c>
      <c r="E2803" s="204" t="s">
        <v>3209</v>
      </c>
      <c r="F2803" s="152" t="s">
        <v>2276</v>
      </c>
      <c r="G2803" s="152" t="s">
        <v>2276</v>
      </c>
      <c r="H2803" s="204" t="s">
        <v>523</v>
      </c>
      <c r="I2803" s="204">
        <v>2015</v>
      </c>
      <c r="J2803" s="204" t="s">
        <v>2276</v>
      </c>
      <c r="K2803" s="204" t="s">
        <v>2276</v>
      </c>
      <c r="L2803" s="204" t="s">
        <v>2276</v>
      </c>
      <c r="M2803" s="204" t="s">
        <v>2276</v>
      </c>
      <c r="N2803" s="204" t="s">
        <v>2276</v>
      </c>
      <c r="O2803" s="204" t="s">
        <v>2276</v>
      </c>
      <c r="P2803" s="204" t="s">
        <v>2276</v>
      </c>
      <c r="Q2803" s="204" t="s">
        <v>2276</v>
      </c>
      <c r="R2803" s="204" t="s">
        <v>2276</v>
      </c>
      <c r="S2803" s="204" t="s">
        <v>2276</v>
      </c>
      <c r="T2803" s="21">
        <f>750*0.004</f>
        <v>3</v>
      </c>
      <c r="U2803" s="204" t="s">
        <v>2276</v>
      </c>
      <c r="V2803" s="204" t="s">
        <v>2276</v>
      </c>
      <c r="W2803" s="204" t="s">
        <v>2276</v>
      </c>
      <c r="X2803" s="21">
        <f>T2803/'Record info'!K$1131</f>
        <v>5.9241706161137445E-4</v>
      </c>
      <c r="Y2803" s="204" t="s">
        <v>2276</v>
      </c>
      <c r="Z2803" s="204" t="s">
        <v>68</v>
      </c>
      <c r="AA2803" s="204" t="s">
        <v>86</v>
      </c>
      <c r="AB2803" s="204" t="s">
        <v>76</v>
      </c>
      <c r="AC2803" s="204"/>
      <c r="AD2803" s="204"/>
    </row>
    <row r="2804" spans="1:30" ht="41" customHeight="1">
      <c r="A2804" s="19" t="s">
        <v>7382</v>
      </c>
      <c r="B2804" s="19" t="s">
        <v>7579</v>
      </c>
      <c r="C2804" s="204" t="s">
        <v>24</v>
      </c>
      <c r="D2804" s="204" t="s">
        <v>1242</v>
      </c>
      <c r="E2804" s="204" t="s">
        <v>3209</v>
      </c>
      <c r="F2804" s="152" t="s">
        <v>2276</v>
      </c>
      <c r="G2804" s="152" t="s">
        <v>2276</v>
      </c>
      <c r="H2804" s="204" t="s">
        <v>524</v>
      </c>
      <c r="I2804" s="204">
        <v>2015</v>
      </c>
      <c r="J2804" s="21">
        <v>0</v>
      </c>
      <c r="K2804" s="21">
        <v>0</v>
      </c>
      <c r="L2804" s="21">
        <v>0</v>
      </c>
      <c r="M2804" s="21">
        <v>0</v>
      </c>
      <c r="N2804" s="21">
        <v>0</v>
      </c>
      <c r="O2804" s="21">
        <v>0</v>
      </c>
      <c r="P2804" s="21">
        <v>0</v>
      </c>
      <c r="Q2804" s="21">
        <v>0</v>
      </c>
      <c r="R2804" s="21">
        <v>0</v>
      </c>
      <c r="S2804" s="21">
        <v>0</v>
      </c>
      <c r="T2804" s="21">
        <v>0</v>
      </c>
      <c r="U2804" s="21">
        <v>0</v>
      </c>
      <c r="V2804" s="21">
        <v>0</v>
      </c>
      <c r="W2804" s="21">
        <v>0</v>
      </c>
      <c r="X2804" s="21">
        <f>T2804/'Record info'!K$1132</f>
        <v>0</v>
      </c>
      <c r="Y2804" s="204" t="s">
        <v>2276</v>
      </c>
      <c r="Z2804" s="204" t="s">
        <v>68</v>
      </c>
      <c r="AA2804" s="204" t="s">
        <v>86</v>
      </c>
      <c r="AB2804" s="204" t="s">
        <v>76</v>
      </c>
      <c r="AC2804" s="204"/>
      <c r="AD2804" s="204"/>
    </row>
    <row r="2805" spans="1:30" ht="41" customHeight="1">
      <c r="A2805" s="19" t="s">
        <v>7383</v>
      </c>
      <c r="B2805" s="19" t="s">
        <v>7580</v>
      </c>
      <c r="C2805" s="204" t="s">
        <v>24</v>
      </c>
      <c r="D2805" s="204" t="s">
        <v>1242</v>
      </c>
      <c r="E2805" s="204" t="s">
        <v>3209</v>
      </c>
      <c r="F2805" s="152" t="s">
        <v>2276</v>
      </c>
      <c r="G2805" s="152" t="s">
        <v>2276</v>
      </c>
      <c r="H2805" s="204" t="s">
        <v>524</v>
      </c>
      <c r="I2805" s="204">
        <v>2015</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info'!K$1133</f>
        <v>0</v>
      </c>
      <c r="Y2805" s="204" t="s">
        <v>2276</v>
      </c>
      <c r="Z2805" s="204" t="s">
        <v>68</v>
      </c>
      <c r="AA2805" s="204" t="s">
        <v>86</v>
      </c>
      <c r="AB2805" s="204" t="s">
        <v>76</v>
      </c>
      <c r="AC2805" s="204"/>
      <c r="AD2805" s="204"/>
    </row>
    <row r="2806" spans="1:30" ht="41" customHeight="1">
      <c r="A2806" s="19" t="s">
        <v>7384</v>
      </c>
      <c r="B2806" s="19" t="s">
        <v>7581</v>
      </c>
      <c r="C2806" s="204" t="s">
        <v>24</v>
      </c>
      <c r="D2806" s="204" t="s">
        <v>1242</v>
      </c>
      <c r="E2806" s="204" t="s">
        <v>3209</v>
      </c>
      <c r="F2806" s="152" t="s">
        <v>2276</v>
      </c>
      <c r="G2806" s="152" t="s">
        <v>2276</v>
      </c>
      <c r="H2806" s="204" t="s">
        <v>524</v>
      </c>
      <c r="I2806" s="204">
        <v>2015</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info'!K$1134</f>
        <v>0</v>
      </c>
      <c r="Y2806" s="204" t="s">
        <v>2276</v>
      </c>
      <c r="Z2806" s="204" t="s">
        <v>68</v>
      </c>
      <c r="AA2806" s="204" t="s">
        <v>86</v>
      </c>
      <c r="AB2806" s="204" t="s">
        <v>76</v>
      </c>
      <c r="AC2806" s="204"/>
      <c r="AD2806" s="204"/>
    </row>
    <row r="2807" spans="1:30" ht="41" customHeight="1">
      <c r="A2807" s="19" t="s">
        <v>7385</v>
      </c>
      <c r="B2807" s="19" t="s">
        <v>7582</v>
      </c>
      <c r="C2807" s="204" t="s">
        <v>24</v>
      </c>
      <c r="D2807" s="204" t="s">
        <v>1242</v>
      </c>
      <c r="E2807" s="204" t="s">
        <v>3209</v>
      </c>
      <c r="F2807" s="152" t="s">
        <v>2276</v>
      </c>
      <c r="G2807" s="152" t="s">
        <v>2276</v>
      </c>
      <c r="H2807" s="204" t="s">
        <v>523</v>
      </c>
      <c r="I2807" s="204">
        <v>2015</v>
      </c>
      <c r="J2807" s="204" t="s">
        <v>2276</v>
      </c>
      <c r="K2807" s="204" t="s">
        <v>2276</v>
      </c>
      <c r="L2807" s="204" t="s">
        <v>2276</v>
      </c>
      <c r="M2807" s="204" t="s">
        <v>2276</v>
      </c>
      <c r="N2807" s="204" t="s">
        <v>2276</v>
      </c>
      <c r="O2807" s="204" t="s">
        <v>2276</v>
      </c>
      <c r="P2807" s="204" t="s">
        <v>2276</v>
      </c>
      <c r="Q2807" s="204" t="s">
        <v>2276</v>
      </c>
      <c r="R2807" s="204" t="s">
        <v>2276</v>
      </c>
      <c r="S2807" s="204" t="s">
        <v>2276</v>
      </c>
      <c r="T2807" s="21">
        <f>750*0.035</f>
        <v>26.250000000000004</v>
      </c>
      <c r="U2807" s="204" t="s">
        <v>2276</v>
      </c>
      <c r="V2807" s="204" t="s">
        <v>2276</v>
      </c>
      <c r="W2807" s="204" t="s">
        <v>2276</v>
      </c>
      <c r="X2807" s="21">
        <f>T2807/'Record info'!K$1135</f>
        <v>4.3281121187139331E-3</v>
      </c>
      <c r="Y2807" s="204" t="s">
        <v>2276</v>
      </c>
      <c r="Z2807" s="204" t="s">
        <v>68</v>
      </c>
      <c r="AA2807" s="204" t="s">
        <v>86</v>
      </c>
      <c r="AB2807" s="204" t="s">
        <v>76</v>
      </c>
      <c r="AC2807" s="204"/>
      <c r="AD2807" s="204"/>
    </row>
    <row r="2808" spans="1:30" ht="41" customHeight="1">
      <c r="A2808" s="19" t="s">
        <v>7386</v>
      </c>
      <c r="B2808" s="19" t="s">
        <v>7583</v>
      </c>
      <c r="C2808" s="204" t="s">
        <v>24</v>
      </c>
      <c r="D2808" s="204" t="s">
        <v>1242</v>
      </c>
      <c r="E2808" s="204" t="s">
        <v>3209</v>
      </c>
      <c r="F2808" s="152" t="s">
        <v>2276</v>
      </c>
      <c r="G2808" s="152" t="s">
        <v>2276</v>
      </c>
      <c r="H2808" s="204" t="s">
        <v>523</v>
      </c>
      <c r="I2808" s="204">
        <v>2015</v>
      </c>
      <c r="J2808" s="204" t="s">
        <v>2276</v>
      </c>
      <c r="K2808" s="204" t="s">
        <v>2276</v>
      </c>
      <c r="L2808" s="204" t="s">
        <v>2276</v>
      </c>
      <c r="M2808" s="204" t="s">
        <v>2276</v>
      </c>
      <c r="N2808" s="204" t="s">
        <v>2276</v>
      </c>
      <c r="O2808" s="204" t="s">
        <v>2276</v>
      </c>
      <c r="P2808" s="204" t="s">
        <v>2276</v>
      </c>
      <c r="Q2808" s="204" t="s">
        <v>2276</v>
      </c>
      <c r="R2808" s="204" t="s">
        <v>2276</v>
      </c>
      <c r="S2808" s="204" t="s">
        <v>2276</v>
      </c>
      <c r="T2808" s="21">
        <f>750*0.079</f>
        <v>59.25</v>
      </c>
      <c r="U2808" s="204" t="s">
        <v>2276</v>
      </c>
      <c r="V2808" s="204" t="s">
        <v>2276</v>
      </c>
      <c r="W2808" s="204" t="s">
        <v>2276</v>
      </c>
      <c r="X2808" s="21">
        <f>T2808/'Record info'!K$1136</f>
        <v>8.8764044943820224E-3</v>
      </c>
      <c r="Y2808" s="204" t="s">
        <v>2276</v>
      </c>
      <c r="Z2808" s="204" t="s">
        <v>68</v>
      </c>
      <c r="AA2808" s="204" t="s">
        <v>86</v>
      </c>
      <c r="AB2808" s="204" t="s">
        <v>76</v>
      </c>
      <c r="AC2808" s="204"/>
      <c r="AD2808" s="204"/>
    </row>
    <row r="2809" spans="1:30" ht="41" customHeight="1">
      <c r="A2809" s="19" t="s">
        <v>7387</v>
      </c>
      <c r="B2809" s="19" t="s">
        <v>7584</v>
      </c>
      <c r="C2809" s="204" t="s">
        <v>24</v>
      </c>
      <c r="D2809" s="204" t="s">
        <v>1242</v>
      </c>
      <c r="E2809" s="204" t="s">
        <v>3209</v>
      </c>
      <c r="F2809" s="152" t="s">
        <v>2276</v>
      </c>
      <c r="G2809" s="152" t="s">
        <v>2276</v>
      </c>
      <c r="H2809" s="204" t="s">
        <v>523</v>
      </c>
      <c r="I2809" s="204">
        <v>2015</v>
      </c>
      <c r="J2809" s="204" t="s">
        <v>2276</v>
      </c>
      <c r="K2809" s="204" t="s">
        <v>2276</v>
      </c>
      <c r="L2809" s="204" t="s">
        <v>2276</v>
      </c>
      <c r="M2809" s="204" t="s">
        <v>2276</v>
      </c>
      <c r="N2809" s="204" t="s">
        <v>2276</v>
      </c>
      <c r="O2809" s="204" t="s">
        <v>2276</v>
      </c>
      <c r="P2809" s="204" t="s">
        <v>2276</v>
      </c>
      <c r="Q2809" s="204" t="s">
        <v>2276</v>
      </c>
      <c r="R2809" s="204" t="s">
        <v>2276</v>
      </c>
      <c r="S2809" s="204" t="s">
        <v>2276</v>
      </c>
      <c r="T2809" s="21">
        <f>750*0.132</f>
        <v>99</v>
      </c>
      <c r="U2809" s="204" t="s">
        <v>2276</v>
      </c>
      <c r="V2809" s="204" t="s">
        <v>2276</v>
      </c>
      <c r="W2809" s="204" t="s">
        <v>2276</v>
      </c>
      <c r="X2809" s="21">
        <f>T2809/'Record info'!K$1137</f>
        <v>1.7941283073577383E-2</v>
      </c>
      <c r="Y2809" s="204" t="s">
        <v>2276</v>
      </c>
      <c r="Z2809" s="204" t="s">
        <v>68</v>
      </c>
      <c r="AA2809" s="204" t="s">
        <v>86</v>
      </c>
      <c r="AB2809" s="204" t="s">
        <v>76</v>
      </c>
      <c r="AC2809" s="204"/>
      <c r="AD2809" s="204"/>
    </row>
    <row r="2810" spans="1:30" ht="41" customHeight="1">
      <c r="A2810" s="19" t="s">
        <v>7388</v>
      </c>
      <c r="B2810" s="19" t="s">
        <v>7585</v>
      </c>
      <c r="C2810" s="204" t="s">
        <v>24</v>
      </c>
      <c r="D2810" s="204" t="s">
        <v>1242</v>
      </c>
      <c r="E2810" s="204" t="s">
        <v>3209</v>
      </c>
      <c r="F2810" s="152" t="s">
        <v>2276</v>
      </c>
      <c r="G2810" s="152" t="s">
        <v>2276</v>
      </c>
      <c r="H2810" s="204" t="s">
        <v>523</v>
      </c>
      <c r="I2810" s="204">
        <v>2015</v>
      </c>
      <c r="J2810" s="204" t="s">
        <v>2276</v>
      </c>
      <c r="K2810" s="204" t="s">
        <v>2276</v>
      </c>
      <c r="L2810" s="204" t="s">
        <v>2276</v>
      </c>
      <c r="M2810" s="204" t="s">
        <v>2276</v>
      </c>
      <c r="N2810" s="204" t="s">
        <v>2276</v>
      </c>
      <c r="O2810" s="204" t="s">
        <v>2276</v>
      </c>
      <c r="P2810" s="204" t="s">
        <v>2276</v>
      </c>
      <c r="Q2810" s="204" t="s">
        <v>2276</v>
      </c>
      <c r="R2810" s="204" t="s">
        <v>2276</v>
      </c>
      <c r="S2810" s="204" t="s">
        <v>2276</v>
      </c>
      <c r="T2810" s="21">
        <f>750*0.057</f>
        <v>42.75</v>
      </c>
      <c r="U2810" s="204" t="s">
        <v>2276</v>
      </c>
      <c r="V2810" s="204" t="s">
        <v>2276</v>
      </c>
      <c r="W2810" s="204" t="s">
        <v>2276</v>
      </c>
      <c r="X2810" s="21">
        <f>T2810/'Record info'!K$1138</f>
        <v>1.0831010894350139E-2</v>
      </c>
      <c r="Y2810" s="204" t="s">
        <v>2276</v>
      </c>
      <c r="Z2810" s="204" t="s">
        <v>68</v>
      </c>
      <c r="AA2810" s="204" t="s">
        <v>86</v>
      </c>
      <c r="AB2810" s="204" t="s">
        <v>76</v>
      </c>
      <c r="AC2810" s="204"/>
      <c r="AD2810" s="204"/>
    </row>
    <row r="2811" spans="1:30" ht="41" customHeight="1">
      <c r="A2811" s="19" t="s">
        <v>7389</v>
      </c>
      <c r="B2811" s="19" t="s">
        <v>7586</v>
      </c>
      <c r="C2811" s="204" t="s">
        <v>24</v>
      </c>
      <c r="D2811" s="204" t="s">
        <v>1242</v>
      </c>
      <c r="E2811" s="204" t="s">
        <v>3209</v>
      </c>
      <c r="F2811" s="152" t="s">
        <v>2276</v>
      </c>
      <c r="G2811" s="152" t="s">
        <v>2276</v>
      </c>
      <c r="H2811" s="204" t="s">
        <v>523</v>
      </c>
      <c r="I2811" s="204">
        <v>2015</v>
      </c>
      <c r="J2811" s="204" t="s">
        <v>2276</v>
      </c>
      <c r="K2811" s="204" t="s">
        <v>2276</v>
      </c>
      <c r="L2811" s="204" t="s">
        <v>2276</v>
      </c>
      <c r="M2811" s="204" t="s">
        <v>2276</v>
      </c>
      <c r="N2811" s="204" t="s">
        <v>2276</v>
      </c>
      <c r="O2811" s="204" t="s">
        <v>2276</v>
      </c>
      <c r="P2811" s="204" t="s">
        <v>2276</v>
      </c>
      <c r="Q2811" s="204" t="s">
        <v>2276</v>
      </c>
      <c r="R2811" s="204" t="s">
        <v>2276</v>
      </c>
      <c r="S2811" s="204" t="s">
        <v>2276</v>
      </c>
      <c r="T2811" s="21">
        <f>750*0.024</f>
        <v>18</v>
      </c>
      <c r="U2811" s="204" t="s">
        <v>2276</v>
      </c>
      <c r="V2811" s="204" t="s">
        <v>2276</v>
      </c>
      <c r="W2811" s="204" t="s">
        <v>2276</v>
      </c>
      <c r="X2811" s="21">
        <f>T2811/'Record info'!K$1139</f>
        <v>6.41025641025641E-3</v>
      </c>
      <c r="Y2811" s="204" t="s">
        <v>2276</v>
      </c>
      <c r="Z2811" s="204" t="s">
        <v>68</v>
      </c>
      <c r="AA2811" s="204" t="s">
        <v>86</v>
      </c>
      <c r="AB2811" s="204" t="s">
        <v>76</v>
      </c>
      <c r="AC2811" s="204"/>
      <c r="AD2811" s="204"/>
    </row>
    <row r="2812" spans="1:30" ht="41" customHeight="1">
      <c r="A2812" s="19" t="s">
        <v>7390</v>
      </c>
      <c r="B2812" s="19" t="s">
        <v>7587</v>
      </c>
      <c r="C2812" s="204" t="s">
        <v>24</v>
      </c>
      <c r="D2812" s="204" t="s">
        <v>1242</v>
      </c>
      <c r="E2812" s="204" t="s">
        <v>3209</v>
      </c>
      <c r="F2812" s="152" t="s">
        <v>2276</v>
      </c>
      <c r="G2812" s="152" t="s">
        <v>2276</v>
      </c>
      <c r="H2812" s="204" t="s">
        <v>523</v>
      </c>
      <c r="I2812" s="204">
        <v>2015</v>
      </c>
      <c r="J2812" s="204" t="s">
        <v>2276</v>
      </c>
      <c r="K2812" s="204" t="s">
        <v>2276</v>
      </c>
      <c r="L2812" s="204" t="s">
        <v>2276</v>
      </c>
      <c r="M2812" s="204" t="s">
        <v>2276</v>
      </c>
      <c r="N2812" s="204" t="s">
        <v>2276</v>
      </c>
      <c r="O2812" s="204" t="s">
        <v>2276</v>
      </c>
      <c r="P2812" s="204" t="s">
        <v>2276</v>
      </c>
      <c r="Q2812" s="204" t="s">
        <v>2276</v>
      </c>
      <c r="R2812" s="204" t="s">
        <v>2276</v>
      </c>
      <c r="S2812" s="204" t="s">
        <v>2276</v>
      </c>
      <c r="T2812" s="21">
        <f>750*0.072</f>
        <v>53.999999999999993</v>
      </c>
      <c r="U2812" s="204" t="s">
        <v>2276</v>
      </c>
      <c r="V2812" s="204" t="s">
        <v>2276</v>
      </c>
      <c r="W2812" s="204" t="s">
        <v>2276</v>
      </c>
      <c r="X2812" s="21">
        <f>T2812/'Record info'!K$1140</f>
        <v>1.078490113840623E-2</v>
      </c>
      <c r="Y2812" s="204" t="s">
        <v>2276</v>
      </c>
      <c r="Z2812" s="204" t="s">
        <v>68</v>
      </c>
      <c r="AA2812" s="204" t="s">
        <v>86</v>
      </c>
      <c r="AB2812" s="204" t="s">
        <v>76</v>
      </c>
      <c r="AC2812" s="204"/>
      <c r="AD2812" s="204"/>
    </row>
    <row r="2813" spans="1:30" ht="41" customHeight="1">
      <c r="A2813" s="19" t="s">
        <v>7391</v>
      </c>
      <c r="B2813" s="19" t="s">
        <v>7588</v>
      </c>
      <c r="C2813" s="204" t="s">
        <v>24</v>
      </c>
      <c r="D2813" s="204" t="s">
        <v>1242</v>
      </c>
      <c r="E2813" s="204" t="s">
        <v>3209</v>
      </c>
      <c r="F2813" s="152" t="s">
        <v>2276</v>
      </c>
      <c r="G2813" s="152" t="s">
        <v>2276</v>
      </c>
      <c r="H2813" s="204" t="s">
        <v>523</v>
      </c>
      <c r="I2813" s="204">
        <v>2015</v>
      </c>
      <c r="J2813" s="204" t="s">
        <v>2276</v>
      </c>
      <c r="K2813" s="204" t="s">
        <v>2276</v>
      </c>
      <c r="L2813" s="204" t="s">
        <v>2276</v>
      </c>
      <c r="M2813" s="204" t="s">
        <v>2276</v>
      </c>
      <c r="N2813" s="204" t="s">
        <v>2276</v>
      </c>
      <c r="O2813" s="204" t="s">
        <v>2276</v>
      </c>
      <c r="P2813" s="204" t="s">
        <v>2276</v>
      </c>
      <c r="Q2813" s="204" t="s">
        <v>2276</v>
      </c>
      <c r="R2813" s="204" t="s">
        <v>2276</v>
      </c>
      <c r="S2813" s="204" t="s">
        <v>2276</v>
      </c>
      <c r="T2813" s="21">
        <f>750*0.068</f>
        <v>51.000000000000007</v>
      </c>
      <c r="U2813" s="204" t="s">
        <v>2276</v>
      </c>
      <c r="V2813" s="204" t="s">
        <v>2276</v>
      </c>
      <c r="W2813" s="204" t="s">
        <v>2276</v>
      </c>
      <c r="X2813" s="21">
        <f>T2813/'Record info'!K$1141</f>
        <v>4.3441226575809205E-2</v>
      </c>
      <c r="Y2813" s="204" t="s">
        <v>2276</v>
      </c>
      <c r="Z2813" s="204" t="s">
        <v>68</v>
      </c>
      <c r="AA2813" s="204" t="s">
        <v>86</v>
      </c>
      <c r="AB2813" s="204" t="s">
        <v>76</v>
      </c>
      <c r="AC2813" s="204"/>
      <c r="AD2813" s="204"/>
    </row>
    <row r="2814" spans="1:30" ht="41" customHeight="1">
      <c r="A2814" s="19" t="s">
        <v>7392</v>
      </c>
      <c r="B2814" s="19" t="s">
        <v>7589</v>
      </c>
      <c r="C2814" s="204" t="s">
        <v>24</v>
      </c>
      <c r="D2814" s="204" t="s">
        <v>1242</v>
      </c>
      <c r="E2814" s="204" t="s">
        <v>3209</v>
      </c>
      <c r="F2814" s="152" t="s">
        <v>2276</v>
      </c>
      <c r="G2814" s="152" t="s">
        <v>2276</v>
      </c>
      <c r="H2814" s="204" t="s">
        <v>523</v>
      </c>
      <c r="I2814" s="204">
        <v>2015</v>
      </c>
      <c r="J2814" s="204" t="s">
        <v>2276</v>
      </c>
      <c r="K2814" s="204" t="s">
        <v>2276</v>
      </c>
      <c r="L2814" s="204" t="s">
        <v>2276</v>
      </c>
      <c r="M2814" s="204" t="s">
        <v>2276</v>
      </c>
      <c r="N2814" s="204" t="s">
        <v>2276</v>
      </c>
      <c r="O2814" s="204" t="s">
        <v>2276</v>
      </c>
      <c r="P2814" s="204" t="s">
        <v>2276</v>
      </c>
      <c r="Q2814" s="204" t="s">
        <v>2276</v>
      </c>
      <c r="R2814" s="204" t="s">
        <v>2276</v>
      </c>
      <c r="S2814" s="204" t="s">
        <v>2276</v>
      </c>
      <c r="T2814" s="21">
        <f>750*0.075</f>
        <v>56.25</v>
      </c>
      <c r="U2814" s="204" t="s">
        <v>2276</v>
      </c>
      <c r="V2814" s="204" t="s">
        <v>2276</v>
      </c>
      <c r="W2814" s="204" t="s">
        <v>2276</v>
      </c>
      <c r="X2814" s="21">
        <f>T2814/'Record info'!K$1142</f>
        <v>1.2996765249537892E-2</v>
      </c>
      <c r="Y2814" s="204" t="s">
        <v>2276</v>
      </c>
      <c r="Z2814" s="204" t="s">
        <v>68</v>
      </c>
      <c r="AA2814" s="204" t="s">
        <v>86</v>
      </c>
      <c r="AB2814" s="204" t="s">
        <v>76</v>
      </c>
      <c r="AC2814" s="204"/>
      <c r="AD2814" s="204"/>
    </row>
    <row r="2815" spans="1:30" ht="41" customHeight="1">
      <c r="A2815" s="19" t="s">
        <v>7393</v>
      </c>
      <c r="B2815" s="19" t="s">
        <v>7590</v>
      </c>
      <c r="C2815" s="204" t="s">
        <v>24</v>
      </c>
      <c r="D2815" s="204" t="s">
        <v>1242</v>
      </c>
      <c r="E2815" s="204" t="s">
        <v>3209</v>
      </c>
      <c r="F2815" s="152" t="s">
        <v>2276</v>
      </c>
      <c r="G2815" s="152" t="s">
        <v>2276</v>
      </c>
      <c r="H2815" s="204" t="s">
        <v>523</v>
      </c>
      <c r="I2815" s="204">
        <v>2015</v>
      </c>
      <c r="J2815" s="204" t="s">
        <v>2276</v>
      </c>
      <c r="K2815" s="204" t="s">
        <v>2276</v>
      </c>
      <c r="L2815" s="204" t="s">
        <v>2276</v>
      </c>
      <c r="M2815" s="204" t="s">
        <v>2276</v>
      </c>
      <c r="N2815" s="204" t="s">
        <v>2276</v>
      </c>
      <c r="O2815" s="204" t="s">
        <v>2276</v>
      </c>
      <c r="P2815" s="204" t="s">
        <v>2276</v>
      </c>
      <c r="Q2815" s="204" t="s">
        <v>2276</v>
      </c>
      <c r="R2815" s="204" t="s">
        <v>2276</v>
      </c>
      <c r="S2815" s="204" t="s">
        <v>2276</v>
      </c>
      <c r="T2815" s="21">
        <f>750*0.111</f>
        <v>83.25</v>
      </c>
      <c r="U2815" s="204" t="s">
        <v>2276</v>
      </c>
      <c r="V2815" s="204" t="s">
        <v>2276</v>
      </c>
      <c r="W2815" s="204" t="s">
        <v>2276</v>
      </c>
      <c r="X2815" s="21">
        <f>T2815/'Record info'!K$1143</f>
        <v>3.475991649269311E-2</v>
      </c>
      <c r="Y2815" s="204" t="s">
        <v>2276</v>
      </c>
      <c r="Z2815" s="204" t="s">
        <v>68</v>
      </c>
      <c r="AA2815" s="204" t="s">
        <v>86</v>
      </c>
      <c r="AB2815" s="204" t="s">
        <v>76</v>
      </c>
      <c r="AC2815" s="204"/>
      <c r="AD2815" s="204"/>
    </row>
    <row r="2816" spans="1:30" ht="41" customHeight="1">
      <c r="A2816" s="19" t="s">
        <v>7394</v>
      </c>
      <c r="B2816" s="19" t="s">
        <v>7591</v>
      </c>
      <c r="C2816" s="204" t="s">
        <v>24</v>
      </c>
      <c r="D2816" s="204" t="s">
        <v>1242</v>
      </c>
      <c r="E2816" s="204" t="s">
        <v>3209</v>
      </c>
      <c r="F2816" s="152" t="s">
        <v>2276</v>
      </c>
      <c r="G2816" s="152" t="s">
        <v>2276</v>
      </c>
      <c r="H2816" s="204" t="s">
        <v>523</v>
      </c>
      <c r="I2816" s="204">
        <v>2015</v>
      </c>
      <c r="J2816" s="204" t="s">
        <v>2276</v>
      </c>
      <c r="K2816" s="204" t="s">
        <v>2276</v>
      </c>
      <c r="L2816" s="204" t="s">
        <v>2276</v>
      </c>
      <c r="M2816" s="204" t="s">
        <v>2276</v>
      </c>
      <c r="N2816" s="204" t="s">
        <v>2276</v>
      </c>
      <c r="O2816" s="204" t="s">
        <v>2276</v>
      </c>
      <c r="P2816" s="204" t="s">
        <v>2276</v>
      </c>
      <c r="Q2816" s="204" t="s">
        <v>2276</v>
      </c>
      <c r="R2816" s="204" t="s">
        <v>2276</v>
      </c>
      <c r="S2816" s="204" t="s">
        <v>2276</v>
      </c>
      <c r="T2816" s="21">
        <f>750*0.106</f>
        <v>79.5</v>
      </c>
      <c r="U2816" s="204" t="s">
        <v>2276</v>
      </c>
      <c r="V2816" s="204" t="s">
        <v>2276</v>
      </c>
      <c r="W2816" s="204" t="s">
        <v>2276</v>
      </c>
      <c r="X2816" s="21">
        <f>T2816/'Record info'!K$1144</f>
        <v>2.9741863075196408E-2</v>
      </c>
      <c r="Y2816" s="204" t="s">
        <v>2276</v>
      </c>
      <c r="Z2816" s="204" t="s">
        <v>68</v>
      </c>
      <c r="AA2816" s="204" t="s">
        <v>86</v>
      </c>
      <c r="AB2816" s="204" t="s">
        <v>76</v>
      </c>
      <c r="AC2816" s="204"/>
      <c r="AD2816" s="204"/>
    </row>
    <row r="2817" spans="1:30" ht="41" customHeight="1">
      <c r="A2817" s="19" t="s">
        <v>7395</v>
      </c>
      <c r="B2817" s="19" t="s">
        <v>7592</v>
      </c>
      <c r="C2817" s="204" t="s">
        <v>24</v>
      </c>
      <c r="D2817" s="204" t="s">
        <v>1242</v>
      </c>
      <c r="E2817" s="204" t="s">
        <v>3209</v>
      </c>
      <c r="F2817" s="152" t="s">
        <v>2276</v>
      </c>
      <c r="G2817" s="152" t="s">
        <v>2276</v>
      </c>
      <c r="H2817" s="204" t="s">
        <v>523</v>
      </c>
      <c r="I2817" s="204">
        <v>2015</v>
      </c>
      <c r="J2817" s="204" t="s">
        <v>2276</v>
      </c>
      <c r="K2817" s="204" t="s">
        <v>2276</v>
      </c>
      <c r="L2817" s="204" t="s">
        <v>2276</v>
      </c>
      <c r="M2817" s="204" t="s">
        <v>2276</v>
      </c>
      <c r="N2817" s="204" t="s">
        <v>2276</v>
      </c>
      <c r="O2817" s="204" t="s">
        <v>2276</v>
      </c>
      <c r="P2817" s="204" t="s">
        <v>2276</v>
      </c>
      <c r="Q2817" s="204" t="s">
        <v>2276</v>
      </c>
      <c r="R2817" s="204" t="s">
        <v>2276</v>
      </c>
      <c r="S2817" s="204" t="s">
        <v>2276</v>
      </c>
      <c r="T2817" s="21">
        <f>750*0.166</f>
        <v>124.5</v>
      </c>
      <c r="U2817" s="204" t="s">
        <v>2276</v>
      </c>
      <c r="V2817" s="204" t="s">
        <v>2276</v>
      </c>
      <c r="W2817" s="204" t="s">
        <v>2276</v>
      </c>
      <c r="X2817" s="21">
        <f>T2817/'Record info'!K$1145</f>
        <v>5.5210643015521067E-2</v>
      </c>
      <c r="Y2817" s="204" t="s">
        <v>2276</v>
      </c>
      <c r="Z2817" s="204" t="s">
        <v>68</v>
      </c>
      <c r="AA2817" s="204" t="s">
        <v>86</v>
      </c>
      <c r="AB2817" s="204" t="s">
        <v>76</v>
      </c>
      <c r="AC2817" s="204"/>
      <c r="AD2817" s="204"/>
    </row>
    <row r="2818" spans="1:30" ht="31" customHeight="1">
      <c r="A2818" s="19" t="s">
        <v>7594</v>
      </c>
      <c r="B2818" s="19" t="s">
        <v>7595</v>
      </c>
      <c r="C2818" s="204" t="s">
        <v>24</v>
      </c>
      <c r="D2818" s="204" t="s">
        <v>1242</v>
      </c>
      <c r="E2818" s="204" t="s">
        <v>3209</v>
      </c>
      <c r="F2818" s="152" t="s">
        <v>2276</v>
      </c>
      <c r="G2818" s="152" t="s">
        <v>2276</v>
      </c>
      <c r="H2818" s="204" t="s">
        <v>523</v>
      </c>
      <c r="I2818" s="11">
        <v>1998</v>
      </c>
      <c r="J2818" s="204" t="s">
        <v>2276</v>
      </c>
      <c r="K2818" s="204" t="s">
        <v>2276</v>
      </c>
      <c r="L2818" s="204" t="s">
        <v>2276</v>
      </c>
      <c r="M2818" s="204" t="s">
        <v>2276</v>
      </c>
      <c r="N2818" s="204" t="s">
        <v>2276</v>
      </c>
      <c r="O2818" s="204" t="s">
        <v>2276</v>
      </c>
      <c r="P2818" s="204" t="s">
        <v>2276</v>
      </c>
      <c r="Q2818" s="204" t="s">
        <v>2276</v>
      </c>
      <c r="R2818" s="204" t="s">
        <v>2276</v>
      </c>
      <c r="S2818" s="204" t="s">
        <v>2276</v>
      </c>
      <c r="T2818" s="21">
        <v>6</v>
      </c>
      <c r="U2818" s="204" t="s">
        <v>2276</v>
      </c>
      <c r="V2818" s="204" t="s">
        <v>2276</v>
      </c>
      <c r="W2818" s="204" t="s">
        <v>2276</v>
      </c>
      <c r="X2818" s="218">
        <f>T2818/'Record info'!K$1146</f>
        <v>2.5965033754543881E-4</v>
      </c>
      <c r="Y2818" s="204" t="s">
        <v>2276</v>
      </c>
      <c r="Z2818" s="204" t="s">
        <v>188</v>
      </c>
      <c r="AA2818" s="204" t="s">
        <v>189</v>
      </c>
      <c r="AB2818" s="204" t="s">
        <v>64</v>
      </c>
      <c r="AC2818" s="204"/>
      <c r="AD2818" s="204"/>
    </row>
    <row r="2819" spans="1:30" ht="27.5" customHeight="1">
      <c r="A2819" s="19" t="s">
        <v>7594</v>
      </c>
      <c r="B2819" s="19" t="s">
        <v>7596</v>
      </c>
      <c r="C2819" s="204" t="s">
        <v>24</v>
      </c>
      <c r="D2819" s="204" t="s">
        <v>1242</v>
      </c>
      <c r="E2819" s="204" t="s">
        <v>3209</v>
      </c>
      <c r="F2819" s="152" t="s">
        <v>2276</v>
      </c>
      <c r="G2819" s="152" t="s">
        <v>2276</v>
      </c>
      <c r="H2819" s="204" t="s">
        <v>523</v>
      </c>
      <c r="I2819" s="11">
        <v>1999</v>
      </c>
      <c r="J2819" s="204" t="s">
        <v>2276</v>
      </c>
      <c r="K2819" s="204" t="s">
        <v>2276</v>
      </c>
      <c r="L2819" s="204" t="s">
        <v>2276</v>
      </c>
      <c r="M2819" s="204" t="s">
        <v>2276</v>
      </c>
      <c r="N2819" s="204" t="s">
        <v>2276</v>
      </c>
      <c r="O2819" s="204" t="s">
        <v>2276</v>
      </c>
      <c r="P2819" s="204" t="s">
        <v>2276</v>
      </c>
      <c r="Q2819" s="204" t="s">
        <v>2276</v>
      </c>
      <c r="R2819" s="204" t="s">
        <v>2276</v>
      </c>
      <c r="S2819" s="204" t="s">
        <v>2276</v>
      </c>
      <c r="T2819" s="21">
        <v>0.4</v>
      </c>
      <c r="U2819" s="204" t="s">
        <v>2276</v>
      </c>
      <c r="V2819" s="204" t="s">
        <v>2276</v>
      </c>
      <c r="W2819" s="204" t="s">
        <v>2276</v>
      </c>
      <c r="X2819" s="218">
        <f>T2819/'Record info'!K$1146</f>
        <v>1.7310022503029254E-5</v>
      </c>
      <c r="Y2819" s="204" t="s">
        <v>2276</v>
      </c>
      <c r="Z2819" s="204" t="s">
        <v>188</v>
      </c>
      <c r="AA2819" s="204" t="s">
        <v>189</v>
      </c>
      <c r="AB2819" s="204" t="s">
        <v>64</v>
      </c>
      <c r="AC2819" s="204"/>
      <c r="AD2819" s="204"/>
    </row>
    <row r="2820" spans="1:30" ht="27.5" customHeight="1">
      <c r="A2820" s="19" t="s">
        <v>7594</v>
      </c>
      <c r="B2820" s="19" t="s">
        <v>7597</v>
      </c>
      <c r="C2820" s="204" t="s">
        <v>24</v>
      </c>
      <c r="D2820" s="204" t="s">
        <v>1242</v>
      </c>
      <c r="E2820" s="204" t="s">
        <v>3209</v>
      </c>
      <c r="F2820" s="152" t="s">
        <v>2276</v>
      </c>
      <c r="G2820" s="152" t="s">
        <v>2276</v>
      </c>
      <c r="H2820" s="204" t="s">
        <v>523</v>
      </c>
      <c r="I2820" s="11">
        <v>2000</v>
      </c>
      <c r="J2820" s="204" t="s">
        <v>2276</v>
      </c>
      <c r="K2820" s="204" t="s">
        <v>2276</v>
      </c>
      <c r="L2820" s="204" t="s">
        <v>2276</v>
      </c>
      <c r="M2820" s="204" t="s">
        <v>2276</v>
      </c>
      <c r="N2820" s="204" t="s">
        <v>2276</v>
      </c>
      <c r="O2820" s="204" t="s">
        <v>2276</v>
      </c>
      <c r="P2820" s="204" t="s">
        <v>2276</v>
      </c>
      <c r="Q2820" s="204" t="s">
        <v>2276</v>
      </c>
      <c r="R2820" s="204" t="s">
        <v>2276</v>
      </c>
      <c r="S2820" s="204" t="s">
        <v>2276</v>
      </c>
      <c r="T2820" s="21">
        <v>35</v>
      </c>
      <c r="U2820" s="204" t="s">
        <v>2276</v>
      </c>
      <c r="V2820" s="204" t="s">
        <v>2276</v>
      </c>
      <c r="W2820" s="204" t="s">
        <v>2276</v>
      </c>
      <c r="X2820" s="218">
        <f>T2820/'Record info'!K$1146</f>
        <v>1.5146269690150596E-3</v>
      </c>
      <c r="Y2820" s="204" t="s">
        <v>2276</v>
      </c>
      <c r="Z2820" s="204" t="s">
        <v>188</v>
      </c>
      <c r="AA2820" s="204" t="s">
        <v>189</v>
      </c>
      <c r="AB2820" s="204" t="s">
        <v>64</v>
      </c>
      <c r="AC2820" s="204"/>
      <c r="AD2820" s="204"/>
    </row>
    <row r="2821" spans="1:30" ht="27.5" customHeight="1">
      <c r="A2821" s="19" t="s">
        <v>7594</v>
      </c>
      <c r="B2821" s="19" t="s">
        <v>7598</v>
      </c>
      <c r="C2821" s="204" t="s">
        <v>24</v>
      </c>
      <c r="D2821" s="204" t="s">
        <v>1242</v>
      </c>
      <c r="E2821" s="204" t="s">
        <v>3209</v>
      </c>
      <c r="F2821" s="152" t="s">
        <v>2276</v>
      </c>
      <c r="G2821" s="152" t="s">
        <v>2276</v>
      </c>
      <c r="H2821" s="204" t="s">
        <v>523</v>
      </c>
      <c r="I2821" s="11">
        <v>2001</v>
      </c>
      <c r="J2821" s="204" t="s">
        <v>2276</v>
      </c>
      <c r="K2821" s="204" t="s">
        <v>2276</v>
      </c>
      <c r="L2821" s="204" t="s">
        <v>2276</v>
      </c>
      <c r="M2821" s="204" t="s">
        <v>2276</v>
      </c>
      <c r="N2821" s="204" t="s">
        <v>2276</v>
      </c>
      <c r="O2821" s="204" t="s">
        <v>2276</v>
      </c>
      <c r="P2821" s="204" t="s">
        <v>2276</v>
      </c>
      <c r="Q2821" s="204" t="s">
        <v>2276</v>
      </c>
      <c r="R2821" s="204" t="s">
        <v>2276</v>
      </c>
      <c r="S2821" s="204" t="s">
        <v>2276</v>
      </c>
      <c r="T2821" s="21">
        <v>45</v>
      </c>
      <c r="U2821" s="204" t="s">
        <v>2276</v>
      </c>
      <c r="V2821" s="204" t="s">
        <v>2276</v>
      </c>
      <c r="W2821" s="204" t="s">
        <v>2276</v>
      </c>
      <c r="X2821" s="218">
        <f>T2821/'Record info'!K$1146</f>
        <v>1.9473775315907911E-3</v>
      </c>
      <c r="Y2821" s="204" t="s">
        <v>2276</v>
      </c>
      <c r="Z2821" s="204" t="s">
        <v>188</v>
      </c>
      <c r="AA2821" s="204" t="s">
        <v>189</v>
      </c>
      <c r="AB2821" s="204" t="s">
        <v>64</v>
      </c>
      <c r="AC2821" s="204"/>
      <c r="AD2821" s="204"/>
    </row>
    <row r="2822" spans="1:30" ht="27.5" customHeight="1">
      <c r="A2822" s="19" t="s">
        <v>7594</v>
      </c>
      <c r="B2822" s="19" t="s">
        <v>7599</v>
      </c>
      <c r="C2822" s="204" t="s">
        <v>24</v>
      </c>
      <c r="D2822" s="204" t="s">
        <v>1242</v>
      </c>
      <c r="E2822" s="204" t="s">
        <v>3209</v>
      </c>
      <c r="F2822" s="152" t="s">
        <v>2276</v>
      </c>
      <c r="G2822" s="152" t="s">
        <v>2276</v>
      </c>
      <c r="H2822" s="204" t="s">
        <v>523</v>
      </c>
      <c r="I2822" s="11">
        <v>2002</v>
      </c>
      <c r="J2822" s="204" t="s">
        <v>2276</v>
      </c>
      <c r="K2822" s="204" t="s">
        <v>2276</v>
      </c>
      <c r="L2822" s="204" t="s">
        <v>2276</v>
      </c>
      <c r="M2822" s="204" t="s">
        <v>2276</v>
      </c>
      <c r="N2822" s="204" t="s">
        <v>2276</v>
      </c>
      <c r="O2822" s="204" t="s">
        <v>2276</v>
      </c>
      <c r="P2822" s="204" t="s">
        <v>2276</v>
      </c>
      <c r="Q2822" s="204" t="s">
        <v>2276</v>
      </c>
      <c r="R2822" s="204" t="s">
        <v>2276</v>
      </c>
      <c r="S2822" s="204" t="s">
        <v>2276</v>
      </c>
      <c r="T2822" s="21">
        <v>325</v>
      </c>
      <c r="U2822" s="204" t="s">
        <v>2276</v>
      </c>
      <c r="V2822" s="204" t="s">
        <v>2276</v>
      </c>
      <c r="W2822" s="204" t="s">
        <v>2276</v>
      </c>
      <c r="X2822" s="218">
        <f>T2822/'Record info'!K$1146</f>
        <v>1.4064393283711269E-2</v>
      </c>
      <c r="Y2822" s="204" t="s">
        <v>2276</v>
      </c>
      <c r="Z2822" s="204" t="s">
        <v>188</v>
      </c>
      <c r="AA2822" s="204" t="s">
        <v>189</v>
      </c>
      <c r="AB2822" s="204" t="s">
        <v>64</v>
      </c>
      <c r="AC2822" s="204"/>
      <c r="AD2822" s="204"/>
    </row>
    <row r="2823" spans="1:30" ht="27.5" customHeight="1">
      <c r="A2823" s="19" t="s">
        <v>7594</v>
      </c>
      <c r="B2823" s="19" t="s">
        <v>7600</v>
      </c>
      <c r="C2823" s="204" t="s">
        <v>24</v>
      </c>
      <c r="D2823" s="204" t="s">
        <v>1242</v>
      </c>
      <c r="E2823" s="204" t="s">
        <v>3209</v>
      </c>
      <c r="F2823" s="152" t="s">
        <v>2276</v>
      </c>
      <c r="G2823" s="152" t="s">
        <v>2276</v>
      </c>
      <c r="H2823" s="204" t="s">
        <v>523</v>
      </c>
      <c r="I2823" s="11">
        <v>2003</v>
      </c>
      <c r="J2823" s="204" t="s">
        <v>2276</v>
      </c>
      <c r="K2823" s="204" t="s">
        <v>2276</v>
      </c>
      <c r="L2823" s="204" t="s">
        <v>2276</v>
      </c>
      <c r="M2823" s="204" t="s">
        <v>2276</v>
      </c>
      <c r="N2823" s="204" t="s">
        <v>2276</v>
      </c>
      <c r="O2823" s="204" t="s">
        <v>2276</v>
      </c>
      <c r="P2823" s="204" t="s">
        <v>2276</v>
      </c>
      <c r="Q2823" s="204" t="s">
        <v>2276</v>
      </c>
      <c r="R2823" s="204" t="s">
        <v>2276</v>
      </c>
      <c r="S2823" s="204" t="s">
        <v>2276</v>
      </c>
      <c r="T2823" s="21">
        <v>175</v>
      </c>
      <c r="U2823" s="204" t="s">
        <v>2276</v>
      </c>
      <c r="V2823" s="204" t="s">
        <v>2276</v>
      </c>
      <c r="W2823" s="204" t="s">
        <v>2276</v>
      </c>
      <c r="X2823" s="218">
        <f>T2823/'Record info'!K$1146</f>
        <v>7.5731348450752984E-3</v>
      </c>
      <c r="Y2823" s="204" t="s">
        <v>2276</v>
      </c>
      <c r="Z2823" s="204" t="s">
        <v>188</v>
      </c>
      <c r="AA2823" s="204" t="s">
        <v>189</v>
      </c>
      <c r="AB2823" s="204" t="s">
        <v>64</v>
      </c>
      <c r="AC2823" s="204"/>
      <c r="AD2823" s="204"/>
    </row>
    <row r="2824" spans="1:30" ht="27.5" customHeight="1">
      <c r="A2824" s="19" t="s">
        <v>7594</v>
      </c>
      <c r="B2824" s="19" t="s">
        <v>7601</v>
      </c>
      <c r="C2824" s="204" t="s">
        <v>24</v>
      </c>
      <c r="D2824" s="204" t="s">
        <v>1242</v>
      </c>
      <c r="E2824" s="204" t="s">
        <v>3209</v>
      </c>
      <c r="F2824" s="152" t="s">
        <v>2276</v>
      </c>
      <c r="G2824" s="152" t="s">
        <v>2276</v>
      </c>
      <c r="H2824" s="204" t="s">
        <v>523</v>
      </c>
      <c r="I2824" s="11">
        <v>2004</v>
      </c>
      <c r="J2824" s="204" t="s">
        <v>2276</v>
      </c>
      <c r="K2824" s="204" t="s">
        <v>2276</v>
      </c>
      <c r="L2824" s="204" t="s">
        <v>2276</v>
      </c>
      <c r="M2824" s="204" t="s">
        <v>2276</v>
      </c>
      <c r="N2824" s="204" t="s">
        <v>2276</v>
      </c>
      <c r="O2824" s="204" t="s">
        <v>2276</v>
      </c>
      <c r="P2824" s="204" t="s">
        <v>2276</v>
      </c>
      <c r="Q2824" s="204" t="s">
        <v>2276</v>
      </c>
      <c r="R2824" s="204" t="s">
        <v>2276</v>
      </c>
      <c r="S2824" s="204" t="s">
        <v>2276</v>
      </c>
      <c r="T2824" s="21">
        <v>100</v>
      </c>
      <c r="U2824" s="204" t="s">
        <v>2276</v>
      </c>
      <c r="V2824" s="204" t="s">
        <v>2276</v>
      </c>
      <c r="W2824" s="204" t="s">
        <v>2276</v>
      </c>
      <c r="X2824" s="218">
        <f>T2824/'Record info'!K$1146</f>
        <v>4.3275056257573137E-3</v>
      </c>
      <c r="Y2824" s="204" t="s">
        <v>2276</v>
      </c>
      <c r="Z2824" s="204" t="s">
        <v>188</v>
      </c>
      <c r="AA2824" s="204" t="s">
        <v>189</v>
      </c>
      <c r="AB2824" s="204" t="s">
        <v>64</v>
      </c>
      <c r="AC2824" s="204"/>
      <c r="AD2824" s="204"/>
    </row>
    <row r="2825" spans="1:30" ht="27.5" customHeight="1">
      <c r="A2825" s="19" t="s">
        <v>7594</v>
      </c>
      <c r="B2825" s="19" t="s">
        <v>7602</v>
      </c>
      <c r="C2825" s="204" t="s">
        <v>24</v>
      </c>
      <c r="D2825" s="204" t="s">
        <v>1242</v>
      </c>
      <c r="E2825" s="204" t="s">
        <v>3209</v>
      </c>
      <c r="F2825" s="152" t="s">
        <v>2276</v>
      </c>
      <c r="G2825" s="152" t="s">
        <v>2276</v>
      </c>
      <c r="H2825" s="204" t="s">
        <v>523</v>
      </c>
      <c r="I2825" s="11">
        <v>2005</v>
      </c>
      <c r="J2825" s="204" t="s">
        <v>2276</v>
      </c>
      <c r="K2825" s="204" t="s">
        <v>2276</v>
      </c>
      <c r="L2825" s="204" t="s">
        <v>2276</v>
      </c>
      <c r="M2825" s="204" t="s">
        <v>2276</v>
      </c>
      <c r="N2825" s="204" t="s">
        <v>2276</v>
      </c>
      <c r="O2825" s="204" t="s">
        <v>2276</v>
      </c>
      <c r="P2825" s="204" t="s">
        <v>2276</v>
      </c>
      <c r="Q2825" s="204" t="s">
        <v>2276</v>
      </c>
      <c r="R2825" s="204" t="s">
        <v>2276</v>
      </c>
      <c r="S2825" s="204" t="s">
        <v>2276</v>
      </c>
      <c r="T2825" s="21">
        <v>125</v>
      </c>
      <c r="U2825" s="204" t="s">
        <v>2276</v>
      </c>
      <c r="V2825" s="204" t="s">
        <v>2276</v>
      </c>
      <c r="W2825" s="204" t="s">
        <v>2276</v>
      </c>
      <c r="X2825" s="218">
        <f>T2825/'Record info'!K$1146</f>
        <v>5.409382032196642E-3</v>
      </c>
      <c r="Y2825" s="204" t="s">
        <v>2276</v>
      </c>
      <c r="Z2825" s="204" t="s">
        <v>188</v>
      </c>
      <c r="AA2825" s="204" t="s">
        <v>189</v>
      </c>
      <c r="AB2825" s="204" t="s">
        <v>64</v>
      </c>
      <c r="AC2825" s="204"/>
      <c r="AD2825" s="204"/>
    </row>
    <row r="2826" spans="1:30" ht="27.5" customHeight="1">
      <c r="A2826" s="19" t="s">
        <v>7594</v>
      </c>
      <c r="B2826" s="19" t="s">
        <v>7603</v>
      </c>
      <c r="C2826" s="204" t="s">
        <v>24</v>
      </c>
      <c r="D2826" s="204" t="s">
        <v>1242</v>
      </c>
      <c r="E2826" s="204" t="s">
        <v>3209</v>
      </c>
      <c r="F2826" s="152" t="s">
        <v>2276</v>
      </c>
      <c r="G2826" s="152" t="s">
        <v>2276</v>
      </c>
      <c r="H2826" s="204" t="s">
        <v>523</v>
      </c>
      <c r="I2826" s="11">
        <v>2006</v>
      </c>
      <c r="J2826" s="204" t="s">
        <v>2276</v>
      </c>
      <c r="K2826" s="204" t="s">
        <v>2276</v>
      </c>
      <c r="L2826" s="204" t="s">
        <v>2276</v>
      </c>
      <c r="M2826" s="204" t="s">
        <v>2276</v>
      </c>
      <c r="N2826" s="204" t="s">
        <v>2276</v>
      </c>
      <c r="O2826" s="204" t="s">
        <v>2276</v>
      </c>
      <c r="P2826" s="204" t="s">
        <v>2276</v>
      </c>
      <c r="Q2826" s="204" t="s">
        <v>2276</v>
      </c>
      <c r="R2826" s="204" t="s">
        <v>2276</v>
      </c>
      <c r="S2826" s="204" t="s">
        <v>2276</v>
      </c>
      <c r="T2826" s="21">
        <v>75</v>
      </c>
      <c r="U2826" s="204" t="s">
        <v>2276</v>
      </c>
      <c r="V2826" s="204" t="s">
        <v>2276</v>
      </c>
      <c r="W2826" s="204" t="s">
        <v>2276</v>
      </c>
      <c r="X2826" s="218">
        <f>T2826/'Record info'!K$1146</f>
        <v>3.2456292193179851E-3</v>
      </c>
      <c r="Y2826" s="204" t="s">
        <v>2276</v>
      </c>
      <c r="Z2826" s="204" t="s">
        <v>188</v>
      </c>
      <c r="AA2826" s="204" t="s">
        <v>189</v>
      </c>
      <c r="AB2826" s="204" t="s">
        <v>64</v>
      </c>
      <c r="AC2826" s="204"/>
      <c r="AD2826" s="204"/>
    </row>
    <row r="2827" spans="1:30" ht="27.5" customHeight="1">
      <c r="A2827" s="19" t="s">
        <v>7594</v>
      </c>
      <c r="B2827" s="19" t="s">
        <v>7604</v>
      </c>
      <c r="C2827" s="204" t="s">
        <v>24</v>
      </c>
      <c r="D2827" s="204" t="s">
        <v>1242</v>
      </c>
      <c r="E2827" s="204" t="s">
        <v>3209</v>
      </c>
      <c r="F2827" s="152" t="s">
        <v>2276</v>
      </c>
      <c r="G2827" s="152" t="s">
        <v>2276</v>
      </c>
      <c r="H2827" s="204" t="s">
        <v>523</v>
      </c>
      <c r="I2827" s="11">
        <v>2007</v>
      </c>
      <c r="J2827" s="204" t="s">
        <v>2276</v>
      </c>
      <c r="K2827" s="204" t="s">
        <v>2276</v>
      </c>
      <c r="L2827" s="204" t="s">
        <v>2276</v>
      </c>
      <c r="M2827" s="204" t="s">
        <v>2276</v>
      </c>
      <c r="N2827" s="204" t="s">
        <v>2276</v>
      </c>
      <c r="O2827" s="204" t="s">
        <v>2276</v>
      </c>
      <c r="P2827" s="204" t="s">
        <v>2276</v>
      </c>
      <c r="Q2827" s="204" t="s">
        <v>2276</v>
      </c>
      <c r="R2827" s="204" t="s">
        <v>2276</v>
      </c>
      <c r="S2827" s="204" t="s">
        <v>2276</v>
      </c>
      <c r="T2827" s="21">
        <v>95</v>
      </c>
      <c r="U2827" s="204" t="s">
        <v>2276</v>
      </c>
      <c r="V2827" s="204" t="s">
        <v>2276</v>
      </c>
      <c r="W2827" s="204" t="s">
        <v>2276</v>
      </c>
      <c r="X2827" s="218">
        <f>T2827/'Record info'!K$1146</f>
        <v>4.1111303444694479E-3</v>
      </c>
      <c r="Y2827" s="204" t="s">
        <v>2276</v>
      </c>
      <c r="Z2827" s="204" t="s">
        <v>188</v>
      </c>
      <c r="AA2827" s="204" t="s">
        <v>189</v>
      </c>
      <c r="AB2827" s="204" t="s">
        <v>64</v>
      </c>
      <c r="AC2827" s="204"/>
      <c r="AD2827" s="204"/>
    </row>
    <row r="2828" spans="1:30" ht="27.5" customHeight="1">
      <c r="A2828" s="19" t="s">
        <v>7594</v>
      </c>
      <c r="B2828" s="19" t="s">
        <v>7605</v>
      </c>
      <c r="C2828" s="204" t="s">
        <v>24</v>
      </c>
      <c r="D2828" s="204" t="s">
        <v>1242</v>
      </c>
      <c r="E2828" s="204" t="s">
        <v>3209</v>
      </c>
      <c r="F2828" s="152" t="s">
        <v>2276</v>
      </c>
      <c r="G2828" s="152" t="s">
        <v>2276</v>
      </c>
      <c r="H2828" s="204" t="s">
        <v>523</v>
      </c>
      <c r="I2828" s="11">
        <v>2008</v>
      </c>
      <c r="J2828" s="204" t="s">
        <v>2276</v>
      </c>
      <c r="K2828" s="204" t="s">
        <v>2276</v>
      </c>
      <c r="L2828" s="204" t="s">
        <v>2276</v>
      </c>
      <c r="M2828" s="204" t="s">
        <v>2276</v>
      </c>
      <c r="N2828" s="204" t="s">
        <v>2276</v>
      </c>
      <c r="O2828" s="204" t="s">
        <v>2276</v>
      </c>
      <c r="P2828" s="204" t="s">
        <v>2276</v>
      </c>
      <c r="Q2828" s="204" t="s">
        <v>2276</v>
      </c>
      <c r="R2828" s="204" t="s">
        <v>2276</v>
      </c>
      <c r="S2828" s="204" t="s">
        <v>2276</v>
      </c>
      <c r="T2828" s="21">
        <v>60</v>
      </c>
      <c r="U2828" s="204" t="s">
        <v>2276</v>
      </c>
      <c r="V2828" s="204" t="s">
        <v>2276</v>
      </c>
      <c r="W2828" s="204" t="s">
        <v>2276</v>
      </c>
      <c r="X2828" s="218">
        <f>T2828/'Record info'!K$1146</f>
        <v>2.5965033754543881E-3</v>
      </c>
      <c r="Y2828" s="204" t="s">
        <v>2276</v>
      </c>
      <c r="Z2828" s="204" t="s">
        <v>188</v>
      </c>
      <c r="AA2828" s="204" t="s">
        <v>189</v>
      </c>
      <c r="AB2828" s="204" t="s">
        <v>64</v>
      </c>
      <c r="AC2828" s="204"/>
      <c r="AD2828" s="204"/>
    </row>
    <row r="2829" spans="1:30" ht="27.5" customHeight="1">
      <c r="A2829" s="19" t="s">
        <v>7594</v>
      </c>
      <c r="B2829" s="19" t="s">
        <v>7606</v>
      </c>
      <c r="C2829" s="204" t="s">
        <v>24</v>
      </c>
      <c r="D2829" s="204" t="s">
        <v>1242</v>
      </c>
      <c r="E2829" s="204" t="s">
        <v>3209</v>
      </c>
      <c r="F2829" s="152" t="s">
        <v>2276</v>
      </c>
      <c r="G2829" s="152" t="s">
        <v>2276</v>
      </c>
      <c r="H2829" s="204" t="s">
        <v>523</v>
      </c>
      <c r="I2829" s="11">
        <v>2009</v>
      </c>
      <c r="J2829" s="204" t="s">
        <v>2276</v>
      </c>
      <c r="K2829" s="204" t="s">
        <v>2276</v>
      </c>
      <c r="L2829" s="204" t="s">
        <v>2276</v>
      </c>
      <c r="M2829" s="204" t="s">
        <v>2276</v>
      </c>
      <c r="N2829" s="204" t="s">
        <v>2276</v>
      </c>
      <c r="O2829" s="204" t="s">
        <v>2276</v>
      </c>
      <c r="P2829" s="204" t="s">
        <v>2276</v>
      </c>
      <c r="Q2829" s="204" t="s">
        <v>2276</v>
      </c>
      <c r="R2829" s="204" t="s">
        <v>2276</v>
      </c>
      <c r="S2829" s="204" t="s">
        <v>2276</v>
      </c>
      <c r="T2829" s="21">
        <v>15</v>
      </c>
      <c r="U2829" s="204" t="s">
        <v>2276</v>
      </c>
      <c r="V2829" s="204" t="s">
        <v>2276</v>
      </c>
      <c r="W2829" s="204" t="s">
        <v>2276</v>
      </c>
      <c r="X2829" s="218">
        <f>T2829/'Record info'!K$1146</f>
        <v>6.4912584386359702E-4</v>
      </c>
      <c r="Y2829" s="204" t="s">
        <v>2276</v>
      </c>
      <c r="Z2829" s="204" t="s">
        <v>188</v>
      </c>
      <c r="AA2829" s="204" t="s">
        <v>189</v>
      </c>
      <c r="AB2829" s="204" t="s">
        <v>64</v>
      </c>
      <c r="AC2829" s="204"/>
      <c r="AD2829" s="204"/>
    </row>
    <row r="2830" spans="1:30" ht="27.5" customHeight="1">
      <c r="A2830" s="19" t="s">
        <v>7594</v>
      </c>
      <c r="B2830" s="19" t="s">
        <v>7607</v>
      </c>
      <c r="C2830" s="204" t="s">
        <v>24</v>
      </c>
      <c r="D2830" s="204" t="s">
        <v>1242</v>
      </c>
      <c r="E2830" s="204" t="s">
        <v>3209</v>
      </c>
      <c r="F2830" s="152" t="s">
        <v>2276</v>
      </c>
      <c r="G2830" s="152" t="s">
        <v>2276</v>
      </c>
      <c r="H2830" s="204" t="s">
        <v>523</v>
      </c>
      <c r="I2830" s="11">
        <v>2010</v>
      </c>
      <c r="J2830" s="204" t="s">
        <v>2276</v>
      </c>
      <c r="K2830" s="204" t="s">
        <v>2276</v>
      </c>
      <c r="L2830" s="204" t="s">
        <v>2276</v>
      </c>
      <c r="M2830" s="204" t="s">
        <v>2276</v>
      </c>
      <c r="N2830" s="204" t="s">
        <v>2276</v>
      </c>
      <c r="O2830" s="204" t="s">
        <v>2276</v>
      </c>
      <c r="P2830" s="204" t="s">
        <v>2276</v>
      </c>
      <c r="Q2830" s="204" t="s">
        <v>2276</v>
      </c>
      <c r="R2830" s="204" t="s">
        <v>2276</v>
      </c>
      <c r="S2830" s="204" t="s">
        <v>2276</v>
      </c>
      <c r="T2830" s="21">
        <v>20</v>
      </c>
      <c r="U2830" s="204" t="s">
        <v>2276</v>
      </c>
      <c r="V2830" s="204" t="s">
        <v>2276</v>
      </c>
      <c r="W2830" s="204" t="s">
        <v>2276</v>
      </c>
      <c r="X2830" s="218">
        <f>T2830/'Record info'!K$1146</f>
        <v>8.6550112515146273E-4</v>
      </c>
      <c r="Y2830" s="204" t="s">
        <v>2276</v>
      </c>
      <c r="Z2830" s="204" t="s">
        <v>188</v>
      </c>
      <c r="AA2830" s="204" t="s">
        <v>189</v>
      </c>
      <c r="AB2830" s="204" t="s">
        <v>64</v>
      </c>
      <c r="AC2830" s="204"/>
      <c r="AD2830" s="204"/>
    </row>
    <row r="2831" spans="1:30" ht="27.5" customHeight="1">
      <c r="A2831" s="19" t="s">
        <v>7594</v>
      </c>
      <c r="B2831" s="19" t="s">
        <v>7608</v>
      </c>
      <c r="C2831" s="204" t="s">
        <v>24</v>
      </c>
      <c r="D2831" s="204" t="s">
        <v>1242</v>
      </c>
      <c r="E2831" s="204" t="s">
        <v>3209</v>
      </c>
      <c r="F2831" s="152" t="s">
        <v>2276</v>
      </c>
      <c r="G2831" s="152" t="s">
        <v>2276</v>
      </c>
      <c r="H2831" s="204" t="s">
        <v>523</v>
      </c>
      <c r="I2831" s="11">
        <v>2011</v>
      </c>
      <c r="J2831" s="204" t="s">
        <v>2276</v>
      </c>
      <c r="K2831" s="204" t="s">
        <v>2276</v>
      </c>
      <c r="L2831" s="204" t="s">
        <v>2276</v>
      </c>
      <c r="M2831" s="204" t="s">
        <v>2276</v>
      </c>
      <c r="N2831" s="204" t="s">
        <v>2276</v>
      </c>
      <c r="O2831" s="204" t="s">
        <v>2276</v>
      </c>
      <c r="P2831" s="204" t="s">
        <v>2276</v>
      </c>
      <c r="Q2831" s="204" t="s">
        <v>2276</v>
      </c>
      <c r="R2831" s="204" t="s">
        <v>2276</v>
      </c>
      <c r="S2831" s="204" t="s">
        <v>2276</v>
      </c>
      <c r="T2831" s="21">
        <v>70</v>
      </c>
      <c r="U2831" s="204" t="s">
        <v>2276</v>
      </c>
      <c r="V2831" s="204" t="s">
        <v>2276</v>
      </c>
      <c r="W2831" s="204" t="s">
        <v>2276</v>
      </c>
      <c r="X2831" s="218">
        <f>T2831/'Record info'!K$1146</f>
        <v>3.0292539380301193E-3</v>
      </c>
      <c r="Y2831" s="204" t="s">
        <v>2276</v>
      </c>
      <c r="Z2831" s="204" t="s">
        <v>188</v>
      </c>
      <c r="AA2831" s="204" t="s">
        <v>189</v>
      </c>
      <c r="AB2831" s="204" t="s">
        <v>64</v>
      </c>
      <c r="AC2831" s="204"/>
      <c r="AD2831" s="204"/>
    </row>
    <row r="2832" spans="1:30" ht="27.5" customHeight="1">
      <c r="A2832" s="19" t="s">
        <v>7594</v>
      </c>
      <c r="B2832" s="19" t="s">
        <v>7609</v>
      </c>
      <c r="C2832" s="204" t="s">
        <v>24</v>
      </c>
      <c r="D2832" s="204" t="s">
        <v>1242</v>
      </c>
      <c r="E2832" s="204" t="s">
        <v>3209</v>
      </c>
      <c r="F2832" s="152" t="s">
        <v>2276</v>
      </c>
      <c r="G2832" s="152" t="s">
        <v>2276</v>
      </c>
      <c r="H2832" s="204" t="s">
        <v>523</v>
      </c>
      <c r="I2832" s="11">
        <v>2012</v>
      </c>
      <c r="J2832" s="204" t="s">
        <v>2276</v>
      </c>
      <c r="K2832" s="204" t="s">
        <v>2276</v>
      </c>
      <c r="L2832" s="204" t="s">
        <v>2276</v>
      </c>
      <c r="M2832" s="204" t="s">
        <v>2276</v>
      </c>
      <c r="N2832" s="204" t="s">
        <v>2276</v>
      </c>
      <c r="O2832" s="204" t="s">
        <v>2276</v>
      </c>
      <c r="P2832" s="204" t="s">
        <v>2276</v>
      </c>
      <c r="Q2832" s="204" t="s">
        <v>2276</v>
      </c>
      <c r="R2832" s="204" t="s">
        <v>2276</v>
      </c>
      <c r="S2832" s="204" t="s">
        <v>2276</v>
      </c>
      <c r="T2832" s="21">
        <v>80</v>
      </c>
      <c r="U2832" s="204" t="s">
        <v>2276</v>
      </c>
      <c r="V2832" s="204" t="s">
        <v>2276</v>
      </c>
      <c r="W2832" s="204" t="s">
        <v>2276</v>
      </c>
      <c r="X2832" s="218">
        <f>T2832/'Record info'!K$1146</f>
        <v>3.4620045006058509E-3</v>
      </c>
      <c r="Y2832" s="204" t="s">
        <v>2276</v>
      </c>
      <c r="Z2832" s="204" t="s">
        <v>188</v>
      </c>
      <c r="AA2832" s="204" t="s">
        <v>189</v>
      </c>
      <c r="AB2832" s="204" t="s">
        <v>64</v>
      </c>
      <c r="AC2832" s="204"/>
      <c r="AD2832" s="204"/>
    </row>
    <row r="2833" spans="1:30" ht="27.5" customHeight="1">
      <c r="A2833" s="19" t="s">
        <v>7594</v>
      </c>
      <c r="B2833" s="19" t="s">
        <v>7610</v>
      </c>
      <c r="C2833" s="204" t="s">
        <v>24</v>
      </c>
      <c r="D2833" s="204" t="s">
        <v>1242</v>
      </c>
      <c r="E2833" s="204" t="s">
        <v>3209</v>
      </c>
      <c r="F2833" s="152" t="s">
        <v>2276</v>
      </c>
      <c r="G2833" s="152" t="s">
        <v>2276</v>
      </c>
      <c r="H2833" s="204" t="s">
        <v>523</v>
      </c>
      <c r="I2833" s="11">
        <v>2013</v>
      </c>
      <c r="J2833" s="204" t="s">
        <v>2276</v>
      </c>
      <c r="K2833" s="204" t="s">
        <v>2276</v>
      </c>
      <c r="L2833" s="204" t="s">
        <v>2276</v>
      </c>
      <c r="M2833" s="204" t="s">
        <v>2276</v>
      </c>
      <c r="N2833" s="204" t="s">
        <v>2276</v>
      </c>
      <c r="O2833" s="204" t="s">
        <v>2276</v>
      </c>
      <c r="P2833" s="204" t="s">
        <v>2276</v>
      </c>
      <c r="Q2833" s="204" t="s">
        <v>2276</v>
      </c>
      <c r="R2833" s="204" t="s">
        <v>2276</v>
      </c>
      <c r="S2833" s="204" t="s">
        <v>2276</v>
      </c>
      <c r="T2833" s="21">
        <v>75</v>
      </c>
      <c r="U2833" s="204" t="s">
        <v>2276</v>
      </c>
      <c r="V2833" s="204" t="s">
        <v>2276</v>
      </c>
      <c r="W2833" s="204" t="s">
        <v>2276</v>
      </c>
      <c r="X2833" s="218">
        <f>T2833/'Record info'!K$1146</f>
        <v>3.2456292193179851E-3</v>
      </c>
      <c r="Y2833" s="204" t="s">
        <v>2276</v>
      </c>
      <c r="Z2833" s="204" t="s">
        <v>188</v>
      </c>
      <c r="AA2833" s="204" t="s">
        <v>189</v>
      </c>
      <c r="AB2833" s="204" t="s">
        <v>64</v>
      </c>
      <c r="AC2833" s="204"/>
      <c r="AD2833" s="204"/>
    </row>
    <row r="2834" spans="1:30" ht="27.5" customHeight="1">
      <c r="A2834" s="19" t="s">
        <v>7594</v>
      </c>
      <c r="B2834" s="19" t="s">
        <v>7611</v>
      </c>
      <c r="C2834" s="204" t="s">
        <v>24</v>
      </c>
      <c r="D2834" s="204" t="s">
        <v>1242</v>
      </c>
      <c r="E2834" s="204" t="s">
        <v>3209</v>
      </c>
      <c r="F2834" s="152" t="s">
        <v>2276</v>
      </c>
      <c r="G2834" s="152" t="s">
        <v>2276</v>
      </c>
      <c r="H2834" s="204" t="s">
        <v>523</v>
      </c>
      <c r="I2834" s="11">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v>80</v>
      </c>
      <c r="U2834" s="204" t="s">
        <v>2276</v>
      </c>
      <c r="V2834" s="204" t="s">
        <v>2276</v>
      </c>
      <c r="W2834" s="204" t="s">
        <v>2276</v>
      </c>
      <c r="X2834" s="218">
        <f>T2834/'Record info'!K$1146</f>
        <v>3.4620045006058509E-3</v>
      </c>
      <c r="Y2834" s="204" t="s">
        <v>2276</v>
      </c>
      <c r="Z2834" s="204" t="s">
        <v>188</v>
      </c>
      <c r="AA2834" s="204" t="s">
        <v>189</v>
      </c>
      <c r="AB2834" s="204" t="s">
        <v>64</v>
      </c>
      <c r="AC2834" s="204"/>
      <c r="AD2834" s="204"/>
    </row>
    <row r="2835" spans="1:30" ht="27.5" customHeight="1">
      <c r="A2835" s="19" t="s">
        <v>7594</v>
      </c>
      <c r="B2835" s="19" t="s">
        <v>7612</v>
      </c>
      <c r="C2835" s="204" t="s">
        <v>24</v>
      </c>
      <c r="D2835" s="204" t="s">
        <v>1242</v>
      </c>
      <c r="E2835" s="204" t="s">
        <v>3209</v>
      </c>
      <c r="F2835" s="152" t="s">
        <v>2276</v>
      </c>
      <c r="G2835" s="152" t="s">
        <v>2276</v>
      </c>
      <c r="H2835" s="204" t="s">
        <v>523</v>
      </c>
      <c r="I2835" s="11">
        <v>2015</v>
      </c>
      <c r="J2835" s="204" t="s">
        <v>2276</v>
      </c>
      <c r="K2835" s="204" t="s">
        <v>2276</v>
      </c>
      <c r="L2835" s="204" t="s">
        <v>2276</v>
      </c>
      <c r="M2835" s="204" t="s">
        <v>2276</v>
      </c>
      <c r="N2835" s="204" t="s">
        <v>2276</v>
      </c>
      <c r="O2835" s="204" t="s">
        <v>2276</v>
      </c>
      <c r="P2835" s="204" t="s">
        <v>2276</v>
      </c>
      <c r="Q2835" s="204" t="s">
        <v>2276</v>
      </c>
      <c r="R2835" s="204" t="s">
        <v>2276</v>
      </c>
      <c r="S2835" s="204" t="s">
        <v>2276</v>
      </c>
      <c r="T2835" s="21">
        <v>84</v>
      </c>
      <c r="U2835" s="204" t="s">
        <v>2276</v>
      </c>
      <c r="V2835" s="204" t="s">
        <v>2276</v>
      </c>
      <c r="W2835" s="204" t="s">
        <v>2276</v>
      </c>
      <c r="X2835" s="218">
        <f>T2835/'Record info'!K$1146</f>
        <v>3.6351047256361433E-3</v>
      </c>
      <c r="Y2835" s="204" t="s">
        <v>2276</v>
      </c>
      <c r="Z2835" s="204" t="s">
        <v>188</v>
      </c>
      <c r="AA2835" s="204" t="s">
        <v>189</v>
      </c>
      <c r="AB2835" s="204" t="s">
        <v>64</v>
      </c>
      <c r="AC2835" s="204"/>
      <c r="AD2835" s="204"/>
    </row>
    <row r="2836" spans="1:30" ht="32" customHeight="1">
      <c r="A2836" s="19" t="s">
        <v>7616</v>
      </c>
      <c r="B2836" s="19" t="s">
        <v>7617</v>
      </c>
      <c r="C2836" s="204" t="s">
        <v>24</v>
      </c>
      <c r="D2836" s="204" t="s">
        <v>1242</v>
      </c>
      <c r="E2836" s="204" t="s">
        <v>3209</v>
      </c>
      <c r="F2836" s="152" t="s">
        <v>2276</v>
      </c>
      <c r="G2836" s="152" t="s">
        <v>2276</v>
      </c>
      <c r="H2836" s="204" t="s">
        <v>523</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1">
        <v>50</v>
      </c>
      <c r="U2836" s="204" t="s">
        <v>2276</v>
      </c>
      <c r="V2836" s="204" t="s">
        <v>2276</v>
      </c>
      <c r="W2836" s="204" t="s">
        <v>2276</v>
      </c>
      <c r="X2836" s="21">
        <f>T2836/'Record info'!K1147</f>
        <v>1.6592663387956383E-4</v>
      </c>
      <c r="Y2836" s="204" t="s">
        <v>2276</v>
      </c>
      <c r="Z2836" s="204" t="s">
        <v>68</v>
      </c>
      <c r="AA2836" s="204" t="s">
        <v>189</v>
      </c>
      <c r="AB2836" s="204" t="s">
        <v>64</v>
      </c>
      <c r="AC2836" s="204"/>
      <c r="AD2836" s="204"/>
    </row>
    <row r="2837" spans="1:30" ht="37.5" customHeight="1">
      <c r="A2837" s="19" t="s">
        <v>7594</v>
      </c>
      <c r="B2837" s="19" t="s">
        <v>7618</v>
      </c>
      <c r="C2837" s="11" t="s">
        <v>24</v>
      </c>
      <c r="D2837" s="11" t="s">
        <v>1242</v>
      </c>
      <c r="E2837" s="11" t="s">
        <v>3209</v>
      </c>
      <c r="F2837" s="19" t="s">
        <v>2662</v>
      </c>
      <c r="G2837" s="19" t="s">
        <v>2662</v>
      </c>
      <c r="H2837" s="11" t="s">
        <v>523</v>
      </c>
      <c r="I2837" s="11"/>
      <c r="J2837" s="11" t="s">
        <v>2276</v>
      </c>
      <c r="K2837" s="11" t="s">
        <v>2276</v>
      </c>
      <c r="L2837" s="11" t="s">
        <v>2276</v>
      </c>
      <c r="M2837" s="11" t="s">
        <v>2276</v>
      </c>
      <c r="N2837" s="74">
        <v>67</v>
      </c>
      <c r="O2837" s="11" t="s">
        <v>2276</v>
      </c>
      <c r="P2837" s="74">
        <v>5.35</v>
      </c>
      <c r="Q2837" s="11" t="s">
        <v>2276</v>
      </c>
      <c r="R2837" s="11" t="s">
        <v>2276</v>
      </c>
      <c r="S2837" s="11" t="s">
        <v>2276</v>
      </c>
      <c r="T2837" s="11" t="s">
        <v>2276</v>
      </c>
      <c r="U2837" s="11" t="s">
        <v>2276</v>
      </c>
      <c r="V2837" s="11" t="s">
        <v>2276</v>
      </c>
      <c r="W2837" s="11" t="s">
        <v>2276</v>
      </c>
      <c r="X2837" s="11" t="s">
        <v>2276</v>
      </c>
      <c r="Y2837" s="11" t="s">
        <v>2276</v>
      </c>
      <c r="Z2837" s="204" t="s">
        <v>188</v>
      </c>
      <c r="AA2837" s="204" t="s">
        <v>189</v>
      </c>
      <c r="AB2837" s="204" t="s">
        <v>64</v>
      </c>
      <c r="AC2837" s="19" t="s">
        <v>7629</v>
      </c>
      <c r="AD2837" s="11"/>
    </row>
    <row r="2838" spans="1:30" s="203" customFormat="1" ht="31" customHeight="1">
      <c r="A2838" s="19" t="s">
        <v>7594</v>
      </c>
      <c r="B2838" s="19" t="s">
        <v>7626</v>
      </c>
      <c r="C2838" s="11" t="s">
        <v>24</v>
      </c>
      <c r="D2838" s="11" t="s">
        <v>1242</v>
      </c>
      <c r="E2838" s="11" t="s">
        <v>3209</v>
      </c>
      <c r="F2838" s="19" t="s">
        <v>74</v>
      </c>
      <c r="G2838" s="19" t="s">
        <v>74</v>
      </c>
      <c r="H2838" s="11" t="s">
        <v>523</v>
      </c>
      <c r="I2838" s="11"/>
      <c r="J2838" s="11" t="s">
        <v>2276</v>
      </c>
      <c r="K2838" s="11" t="s">
        <v>2276</v>
      </c>
      <c r="L2838" s="11" t="s">
        <v>2276</v>
      </c>
      <c r="M2838" s="11" t="s">
        <v>2276</v>
      </c>
      <c r="N2838" s="11" t="s">
        <v>2276</v>
      </c>
      <c r="O2838" s="11" t="s">
        <v>2276</v>
      </c>
      <c r="P2838" s="74">
        <v>2.13</v>
      </c>
      <c r="Q2838" s="11" t="s">
        <v>2276</v>
      </c>
      <c r="R2838" s="11" t="s">
        <v>2276</v>
      </c>
      <c r="S2838" s="11" t="s">
        <v>2276</v>
      </c>
      <c r="T2838" s="11" t="s">
        <v>2276</v>
      </c>
      <c r="U2838" s="11" t="s">
        <v>2276</v>
      </c>
      <c r="V2838" s="11" t="s">
        <v>2276</v>
      </c>
      <c r="W2838" s="11" t="s">
        <v>2276</v>
      </c>
      <c r="X2838" s="11" t="s">
        <v>2276</v>
      </c>
      <c r="Y2838" s="11" t="s">
        <v>2276</v>
      </c>
      <c r="Z2838" s="204" t="s">
        <v>188</v>
      </c>
      <c r="AA2838" s="204" t="s">
        <v>189</v>
      </c>
      <c r="AB2838" s="204" t="s">
        <v>64</v>
      </c>
      <c r="AC2838" s="19" t="s">
        <v>7629</v>
      </c>
      <c r="AD2838" s="11"/>
    </row>
    <row r="2839" spans="1:30" ht="39" customHeight="1">
      <c r="A2839" s="19" t="s">
        <v>7619</v>
      </c>
      <c r="B2839" s="19" t="s">
        <v>7621</v>
      </c>
      <c r="C2839" s="204" t="s">
        <v>24</v>
      </c>
      <c r="D2839" s="204" t="s">
        <v>1242</v>
      </c>
      <c r="E2839" s="204" t="s">
        <v>3209</v>
      </c>
      <c r="F2839" s="4" t="s">
        <v>74</v>
      </c>
      <c r="G2839" s="4" t="s">
        <v>74</v>
      </c>
      <c r="H2839" s="204" t="s">
        <v>523</v>
      </c>
      <c r="I2839" s="204"/>
      <c r="J2839" s="204" t="s">
        <v>2276</v>
      </c>
      <c r="K2839" s="204" t="s">
        <v>2276</v>
      </c>
      <c r="L2839" s="204" t="s">
        <v>2276</v>
      </c>
      <c r="M2839" s="204" t="s">
        <v>2276</v>
      </c>
      <c r="N2839" s="21">
        <v>146</v>
      </c>
      <c r="O2839" s="204" t="s">
        <v>2276</v>
      </c>
      <c r="P2839" s="21">
        <v>8.1999999999999993</v>
      </c>
      <c r="Q2839" s="204" t="s">
        <v>2276</v>
      </c>
      <c r="R2839" s="204" t="s">
        <v>2276</v>
      </c>
      <c r="S2839" s="204" t="s">
        <v>2276</v>
      </c>
      <c r="T2839" s="204" t="s">
        <v>2276</v>
      </c>
      <c r="U2839" s="204" t="s">
        <v>2276</v>
      </c>
      <c r="V2839" s="204" t="s">
        <v>2276</v>
      </c>
      <c r="W2839" s="204" t="s">
        <v>2276</v>
      </c>
      <c r="X2839" s="204" t="s">
        <v>2276</v>
      </c>
      <c r="Y2839" s="204" t="s">
        <v>2276</v>
      </c>
      <c r="Z2839" s="204" t="s">
        <v>68</v>
      </c>
      <c r="AA2839" s="204" t="s">
        <v>86</v>
      </c>
      <c r="AB2839" s="204" t="s">
        <v>76</v>
      </c>
      <c r="AC2839" s="4" t="s">
        <v>7628</v>
      </c>
      <c r="AD2839" s="204"/>
    </row>
    <row r="2840" spans="1:30" ht="31" customHeight="1">
      <c r="A2840" s="19" t="s">
        <v>7620</v>
      </c>
      <c r="B2840" s="19" t="s">
        <v>7622</v>
      </c>
      <c r="C2840" s="204" t="s">
        <v>24</v>
      </c>
      <c r="D2840" s="204" t="s">
        <v>1242</v>
      </c>
      <c r="E2840" s="204" t="s">
        <v>3209</v>
      </c>
      <c r="F2840" s="4" t="s">
        <v>74</v>
      </c>
      <c r="G2840" s="4" t="s">
        <v>74</v>
      </c>
      <c r="H2840" s="204" t="s">
        <v>523</v>
      </c>
      <c r="I2840" s="204"/>
      <c r="J2840" s="204" t="s">
        <v>2276</v>
      </c>
      <c r="K2840" s="204" t="s">
        <v>2276</v>
      </c>
      <c r="L2840" s="204" t="s">
        <v>2276</v>
      </c>
      <c r="M2840" s="204" t="s">
        <v>2276</v>
      </c>
      <c r="N2840" s="21">
        <v>179</v>
      </c>
      <c r="O2840" s="204" t="s">
        <v>2276</v>
      </c>
      <c r="P2840" s="21">
        <v>11.54</v>
      </c>
      <c r="Q2840" s="204" t="s">
        <v>2276</v>
      </c>
      <c r="R2840" s="204" t="s">
        <v>2276</v>
      </c>
      <c r="S2840" s="204" t="s">
        <v>2276</v>
      </c>
      <c r="T2840" s="204" t="s">
        <v>2276</v>
      </c>
      <c r="U2840" s="204" t="s">
        <v>2276</v>
      </c>
      <c r="V2840" s="204" t="s">
        <v>2276</v>
      </c>
      <c r="W2840" s="204" t="s">
        <v>2276</v>
      </c>
      <c r="X2840" s="204" t="s">
        <v>2276</v>
      </c>
      <c r="Y2840" s="204" t="s">
        <v>2276</v>
      </c>
      <c r="Z2840" s="204" t="s">
        <v>35</v>
      </c>
      <c r="AA2840" s="204" t="s">
        <v>38</v>
      </c>
      <c r="AB2840" s="204" t="s">
        <v>64</v>
      </c>
      <c r="AC2840" s="204" t="s">
        <v>7627</v>
      </c>
      <c r="AD2840" s="204"/>
    </row>
    <row r="2841" spans="1:30" ht="41" customHeight="1">
      <c r="A2841" s="19" t="s">
        <v>7620</v>
      </c>
      <c r="B2841" s="19" t="s">
        <v>7625</v>
      </c>
      <c r="C2841" s="204" t="s">
        <v>24</v>
      </c>
      <c r="D2841" s="204" t="s">
        <v>1242</v>
      </c>
      <c r="E2841" s="204" t="s">
        <v>3209</v>
      </c>
      <c r="F2841" s="4" t="s">
        <v>2662</v>
      </c>
      <c r="G2841" s="4" t="s">
        <v>2662</v>
      </c>
      <c r="H2841" s="204" t="s">
        <v>523</v>
      </c>
      <c r="I2841" s="204"/>
      <c r="J2841" s="204" t="s">
        <v>2276</v>
      </c>
      <c r="K2841" s="204" t="s">
        <v>2276</v>
      </c>
      <c r="L2841" s="204" t="s">
        <v>2276</v>
      </c>
      <c r="M2841" s="204" t="s">
        <v>2276</v>
      </c>
      <c r="N2841" s="204" t="s">
        <v>2276</v>
      </c>
      <c r="O2841" s="204" t="s">
        <v>2276</v>
      </c>
      <c r="P2841" s="21">
        <v>4.93</v>
      </c>
      <c r="Q2841" s="204" t="s">
        <v>2276</v>
      </c>
      <c r="R2841" s="204" t="s">
        <v>2276</v>
      </c>
      <c r="S2841" s="204" t="s">
        <v>2276</v>
      </c>
      <c r="T2841" s="204" t="s">
        <v>2276</v>
      </c>
      <c r="U2841" s="204" t="s">
        <v>2276</v>
      </c>
      <c r="V2841" s="204" t="s">
        <v>2276</v>
      </c>
      <c r="W2841" s="204" t="s">
        <v>2276</v>
      </c>
      <c r="X2841" s="204" t="s">
        <v>2276</v>
      </c>
      <c r="Y2841" s="204" t="s">
        <v>2276</v>
      </c>
      <c r="Z2841" s="204" t="s">
        <v>68</v>
      </c>
      <c r="AA2841" s="204" t="s">
        <v>86</v>
      </c>
      <c r="AB2841" s="204" t="s">
        <v>76</v>
      </c>
      <c r="AC2841" s="4" t="s">
        <v>7628</v>
      </c>
      <c r="AD2841" s="204"/>
    </row>
    <row r="2842" spans="1:30" ht="43.5" customHeight="1">
      <c r="A2842" s="19" t="s">
        <v>7619</v>
      </c>
      <c r="B2842" s="19" t="s">
        <v>7623</v>
      </c>
      <c r="C2842" s="204" t="s">
        <v>24</v>
      </c>
      <c r="D2842" s="204" t="s">
        <v>1242</v>
      </c>
      <c r="E2842" s="204" t="s">
        <v>3209</v>
      </c>
      <c r="F2842" s="4" t="s">
        <v>2662</v>
      </c>
      <c r="G2842" s="4" t="s">
        <v>2662</v>
      </c>
      <c r="H2842" s="204" t="s">
        <v>523</v>
      </c>
      <c r="I2842" s="204"/>
      <c r="J2842" s="204" t="s">
        <v>2276</v>
      </c>
      <c r="K2842" s="204" t="s">
        <v>2276</v>
      </c>
      <c r="L2842" s="204" t="s">
        <v>2276</v>
      </c>
      <c r="M2842" s="204" t="s">
        <v>2276</v>
      </c>
      <c r="N2842" s="204" t="s">
        <v>2276</v>
      </c>
      <c r="O2842" s="204" t="s">
        <v>2276</v>
      </c>
      <c r="P2842" s="21">
        <v>5.23</v>
      </c>
      <c r="Q2842" s="204" t="s">
        <v>2276</v>
      </c>
      <c r="R2842" s="204" t="s">
        <v>2276</v>
      </c>
      <c r="S2842" s="204" t="s">
        <v>2276</v>
      </c>
      <c r="T2842" s="204" t="s">
        <v>2276</v>
      </c>
      <c r="U2842" s="204" t="s">
        <v>2276</v>
      </c>
      <c r="V2842" s="204" t="s">
        <v>2276</v>
      </c>
      <c r="W2842" s="204" t="s">
        <v>2276</v>
      </c>
      <c r="X2842" s="204" t="s">
        <v>2276</v>
      </c>
      <c r="Y2842" s="204" t="s">
        <v>2276</v>
      </c>
      <c r="Z2842" s="204" t="s">
        <v>35</v>
      </c>
      <c r="AA2842" s="204" t="s">
        <v>38</v>
      </c>
      <c r="AB2842" s="204" t="s">
        <v>64</v>
      </c>
      <c r="AC2842" s="204" t="s">
        <v>7627</v>
      </c>
      <c r="AD2842" s="204"/>
    </row>
    <row r="2843" spans="1:30" ht="38.5" customHeight="1">
      <c r="A2843" s="19" t="s">
        <v>7643</v>
      </c>
      <c r="B2843" s="19" t="s">
        <v>7779</v>
      </c>
      <c r="C2843" s="204" t="s">
        <v>24</v>
      </c>
      <c r="D2843" s="204" t="s">
        <v>1242</v>
      </c>
      <c r="E2843" s="204" t="s">
        <v>3209</v>
      </c>
      <c r="F2843" s="4" t="s">
        <v>2662</v>
      </c>
      <c r="G2843" s="4" t="s">
        <v>2662</v>
      </c>
      <c r="H2843" s="204" t="s">
        <v>523</v>
      </c>
      <c r="I2843" s="11"/>
      <c r="J2843" s="204" t="s">
        <v>2276</v>
      </c>
      <c r="K2843" s="204" t="s">
        <v>2276</v>
      </c>
      <c r="L2843" s="204" t="s">
        <v>2276</v>
      </c>
      <c r="M2843" s="204" t="s">
        <v>2276</v>
      </c>
      <c r="N2843" s="204" t="s">
        <v>2276</v>
      </c>
      <c r="O2843" s="204" t="s">
        <v>2276</v>
      </c>
      <c r="P2843" s="74">
        <v>34.51</v>
      </c>
      <c r="Q2843" s="204" t="s">
        <v>2276</v>
      </c>
      <c r="R2843" s="204" t="s">
        <v>2276</v>
      </c>
      <c r="S2843" s="204" t="s">
        <v>2276</v>
      </c>
      <c r="T2843" s="74">
        <f>1631087/13</f>
        <v>125468.23076923077</v>
      </c>
      <c r="U2843" s="204" t="s">
        <v>2276</v>
      </c>
      <c r="V2843" s="204" t="s">
        <v>2276</v>
      </c>
      <c r="W2843" s="204" t="s">
        <v>2276</v>
      </c>
      <c r="X2843" s="74">
        <f>T2843/'Record info'!K$1150</f>
        <v>1.6371240241719318E-3</v>
      </c>
      <c r="Y2843" s="204" t="s">
        <v>2276</v>
      </c>
      <c r="Z2843" s="204" t="s">
        <v>2276</v>
      </c>
      <c r="AA2843" s="204" t="s">
        <v>2276</v>
      </c>
      <c r="AB2843" s="204" t="s">
        <v>2276</v>
      </c>
      <c r="AC2843" s="11" t="s">
        <v>7781</v>
      </c>
      <c r="AD2843" s="11"/>
    </row>
    <row r="2844" spans="1:30" ht="37.5" customHeight="1">
      <c r="A2844" s="19" t="s">
        <v>7643</v>
      </c>
      <c r="B2844" s="19" t="s">
        <v>7780</v>
      </c>
      <c r="C2844" s="204" t="s">
        <v>24</v>
      </c>
      <c r="D2844" s="204" t="s">
        <v>1242</v>
      </c>
      <c r="E2844" s="204" t="s">
        <v>3209</v>
      </c>
      <c r="F2844" s="4" t="s">
        <v>74</v>
      </c>
      <c r="G2844" s="4" t="s">
        <v>74</v>
      </c>
      <c r="H2844" s="204" t="s">
        <v>523</v>
      </c>
      <c r="I2844" s="103"/>
      <c r="J2844" s="204" t="s">
        <v>2276</v>
      </c>
      <c r="K2844" s="204" t="s">
        <v>2276</v>
      </c>
      <c r="L2844" s="204" t="s">
        <v>2276</v>
      </c>
      <c r="M2844" s="204" t="s">
        <v>2276</v>
      </c>
      <c r="N2844" s="204" t="s">
        <v>2276</v>
      </c>
      <c r="O2844" s="204" t="s">
        <v>2276</v>
      </c>
      <c r="P2844" s="74">
        <v>11.42</v>
      </c>
      <c r="Q2844" s="204" t="s">
        <v>2276</v>
      </c>
      <c r="R2844" s="204" t="s">
        <v>2276</v>
      </c>
      <c r="S2844" s="204" t="s">
        <v>2276</v>
      </c>
      <c r="T2844" s="74">
        <f>107311/13</f>
        <v>8254.6923076923085</v>
      </c>
      <c r="U2844" s="204" t="s">
        <v>2276</v>
      </c>
      <c r="V2844" s="204" t="s">
        <v>2276</v>
      </c>
      <c r="W2844" s="204" t="s">
        <v>2276</v>
      </c>
      <c r="X2844" s="74">
        <f>T2844/'Record info'!K$1150</f>
        <v>1.0770818243166318E-4</v>
      </c>
      <c r="Y2844" s="204" t="s">
        <v>2276</v>
      </c>
      <c r="Z2844" s="204" t="s">
        <v>2276</v>
      </c>
      <c r="AA2844" s="204" t="s">
        <v>2276</v>
      </c>
      <c r="AB2844" s="204" t="s">
        <v>2276</v>
      </c>
      <c r="AC2844" s="11" t="s">
        <v>7782</v>
      </c>
      <c r="AD2844" s="11"/>
    </row>
    <row r="2845" spans="1:30" ht="33.5" customHeight="1">
      <c r="A2845" s="19" t="s">
        <v>7644</v>
      </c>
      <c r="B2845" s="204" t="s">
        <v>7785</v>
      </c>
      <c r="C2845" s="204" t="s">
        <v>24</v>
      </c>
      <c r="D2845" s="204" t="s">
        <v>1242</v>
      </c>
      <c r="E2845" s="204" t="s">
        <v>3209</v>
      </c>
      <c r="F2845" s="4" t="s">
        <v>2276</v>
      </c>
      <c r="G2845" s="4" t="s">
        <v>2276</v>
      </c>
      <c r="H2845" s="204" t="s">
        <v>523</v>
      </c>
      <c r="I2845" s="103"/>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2276</v>
      </c>
      <c r="Y2845" s="204" t="s">
        <v>2276</v>
      </c>
      <c r="Z2845" s="204" t="s">
        <v>2276</v>
      </c>
      <c r="AA2845" s="204" t="s">
        <v>2276</v>
      </c>
      <c r="AB2845" s="204" t="s">
        <v>2276</v>
      </c>
      <c r="AC2845" s="204"/>
      <c r="AD2845" s="204"/>
    </row>
    <row r="2846" spans="1:30" ht="33.5" customHeight="1">
      <c r="A2846" s="19" t="s">
        <v>7645</v>
      </c>
      <c r="B2846" s="204" t="s">
        <v>7786</v>
      </c>
      <c r="C2846" s="204" t="s">
        <v>24</v>
      </c>
      <c r="D2846" s="204" t="s">
        <v>1242</v>
      </c>
      <c r="E2846" s="204" t="s">
        <v>3209</v>
      </c>
      <c r="F2846" s="4" t="s">
        <v>2276</v>
      </c>
      <c r="G2846" s="4" t="s">
        <v>2276</v>
      </c>
      <c r="H2846" s="204" t="s">
        <v>523</v>
      </c>
      <c r="I2846" s="103"/>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2276</v>
      </c>
      <c r="Y2846" s="204" t="s">
        <v>2276</v>
      </c>
      <c r="Z2846" s="204" t="s">
        <v>2276</v>
      </c>
      <c r="AA2846" s="204" t="s">
        <v>2276</v>
      </c>
      <c r="AB2846" s="204" t="s">
        <v>2276</v>
      </c>
      <c r="AC2846" s="204"/>
      <c r="AD2846" s="204"/>
    </row>
    <row r="2847" spans="1:30" ht="33.5" customHeight="1">
      <c r="A2847" s="19" t="s">
        <v>7646</v>
      </c>
      <c r="B2847" s="204" t="s">
        <v>7787</v>
      </c>
      <c r="C2847" s="204" t="s">
        <v>24</v>
      </c>
      <c r="D2847" s="204" t="s">
        <v>1242</v>
      </c>
      <c r="E2847" s="204" t="s">
        <v>3209</v>
      </c>
      <c r="F2847" s="4" t="s">
        <v>2276</v>
      </c>
      <c r="G2847" s="4" t="s">
        <v>2276</v>
      </c>
      <c r="H2847" s="204" t="s">
        <v>523</v>
      </c>
      <c r="I2847" s="103"/>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2276</v>
      </c>
      <c r="Y2847" s="204" t="s">
        <v>2276</v>
      </c>
      <c r="Z2847" s="204" t="s">
        <v>2276</v>
      </c>
      <c r="AA2847" s="204" t="s">
        <v>2276</v>
      </c>
      <c r="AB2847" s="204" t="s">
        <v>2276</v>
      </c>
      <c r="AC2847" s="204"/>
      <c r="AD2847" s="204"/>
    </row>
    <row r="2848" spans="1:30" ht="33.5" customHeight="1">
      <c r="A2848" s="19" t="s">
        <v>7647</v>
      </c>
      <c r="B2848" s="204" t="s">
        <v>7788</v>
      </c>
      <c r="C2848" s="204" t="s">
        <v>24</v>
      </c>
      <c r="D2848" s="204" t="s">
        <v>1242</v>
      </c>
      <c r="E2848" s="204" t="s">
        <v>3209</v>
      </c>
      <c r="F2848" s="4" t="s">
        <v>2276</v>
      </c>
      <c r="G2848" s="4" t="s">
        <v>2276</v>
      </c>
      <c r="H2848" s="204" t="s">
        <v>523</v>
      </c>
      <c r="I2848" s="103"/>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2276</v>
      </c>
      <c r="Y2848" s="204" t="s">
        <v>2276</v>
      </c>
      <c r="Z2848" s="204" t="s">
        <v>2276</v>
      </c>
      <c r="AA2848" s="204" t="s">
        <v>2276</v>
      </c>
      <c r="AB2848" s="204" t="s">
        <v>2276</v>
      </c>
      <c r="AC2848" s="204"/>
      <c r="AD2848" s="204"/>
    </row>
    <row r="2849" spans="1:30" ht="33.5" customHeight="1">
      <c r="A2849" s="19" t="s">
        <v>7648</v>
      </c>
      <c r="B2849" s="204" t="s">
        <v>7789</v>
      </c>
      <c r="C2849" s="204" t="s">
        <v>24</v>
      </c>
      <c r="D2849" s="204" t="s">
        <v>1242</v>
      </c>
      <c r="E2849" s="204" t="s">
        <v>3209</v>
      </c>
      <c r="F2849" s="4" t="s">
        <v>2276</v>
      </c>
      <c r="G2849" s="4" t="s">
        <v>2276</v>
      </c>
      <c r="H2849" s="204" t="s">
        <v>523</v>
      </c>
      <c r="I2849" s="103"/>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2276</v>
      </c>
      <c r="Y2849" s="204" t="s">
        <v>2276</v>
      </c>
      <c r="Z2849" s="204" t="s">
        <v>2276</v>
      </c>
      <c r="AA2849" s="204" t="s">
        <v>2276</v>
      </c>
      <c r="AB2849" s="204" t="s">
        <v>2276</v>
      </c>
      <c r="AC2849" s="204"/>
      <c r="AD2849" s="204"/>
    </row>
    <row r="2850" spans="1:30" ht="33.5" customHeight="1">
      <c r="A2850" s="19" t="s">
        <v>7649</v>
      </c>
      <c r="B2850" s="204" t="s">
        <v>7790</v>
      </c>
      <c r="C2850" s="204" t="s">
        <v>24</v>
      </c>
      <c r="D2850" s="204" t="s">
        <v>1242</v>
      </c>
      <c r="E2850" s="204" t="s">
        <v>3209</v>
      </c>
      <c r="F2850" s="4" t="s">
        <v>2276</v>
      </c>
      <c r="G2850" s="4" t="s">
        <v>2276</v>
      </c>
      <c r="H2850" s="204" t="s">
        <v>523</v>
      </c>
      <c r="I2850" s="103"/>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2276</v>
      </c>
      <c r="Y2850" s="204" t="s">
        <v>2276</v>
      </c>
      <c r="Z2850" s="204" t="s">
        <v>2276</v>
      </c>
      <c r="AA2850" s="204" t="s">
        <v>2276</v>
      </c>
      <c r="AB2850" s="204" t="s">
        <v>2276</v>
      </c>
      <c r="AC2850" s="204"/>
      <c r="AD2850" s="204"/>
    </row>
    <row r="2851" spans="1:30" ht="33.5" customHeight="1">
      <c r="A2851" s="19" t="s">
        <v>7650</v>
      </c>
      <c r="B2851" s="204" t="s">
        <v>7791</v>
      </c>
      <c r="C2851" s="204" t="s">
        <v>24</v>
      </c>
      <c r="D2851" s="204" t="s">
        <v>1242</v>
      </c>
      <c r="E2851" s="204" t="s">
        <v>3209</v>
      </c>
      <c r="F2851" s="4" t="s">
        <v>2276</v>
      </c>
      <c r="G2851" s="4" t="s">
        <v>2276</v>
      </c>
      <c r="H2851" s="204" t="s">
        <v>523</v>
      </c>
      <c r="I2851" s="103"/>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2276</v>
      </c>
      <c r="Y2851" s="204" t="s">
        <v>2276</v>
      </c>
      <c r="Z2851" s="204" t="s">
        <v>2276</v>
      </c>
      <c r="AA2851" s="204" t="s">
        <v>2276</v>
      </c>
      <c r="AB2851" s="204" t="s">
        <v>2276</v>
      </c>
      <c r="AC2851" s="204"/>
      <c r="AD2851" s="204"/>
    </row>
    <row r="2852" spans="1:30" ht="33.5" customHeight="1">
      <c r="A2852" s="19" t="s">
        <v>7651</v>
      </c>
      <c r="B2852" s="204" t="s">
        <v>7792</v>
      </c>
      <c r="C2852" s="204" t="s">
        <v>24</v>
      </c>
      <c r="D2852" s="204" t="s">
        <v>1242</v>
      </c>
      <c r="E2852" s="204" t="s">
        <v>3209</v>
      </c>
      <c r="F2852" s="4" t="s">
        <v>2276</v>
      </c>
      <c r="G2852" s="4" t="s">
        <v>2276</v>
      </c>
      <c r="H2852" s="204" t="s">
        <v>523</v>
      </c>
      <c r="I2852" s="103"/>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2276</v>
      </c>
      <c r="Y2852" s="204" t="s">
        <v>2276</v>
      </c>
      <c r="Z2852" s="204" t="s">
        <v>2276</v>
      </c>
      <c r="AA2852" s="204" t="s">
        <v>2276</v>
      </c>
      <c r="AB2852" s="204" t="s">
        <v>2276</v>
      </c>
      <c r="AC2852" s="204"/>
      <c r="AD2852" s="204"/>
    </row>
    <row r="2853" spans="1:30" ht="33.5" customHeight="1">
      <c r="A2853" s="19" t="s">
        <v>7652</v>
      </c>
      <c r="B2853" s="204" t="s">
        <v>7793</v>
      </c>
      <c r="C2853" s="204" t="s">
        <v>24</v>
      </c>
      <c r="D2853" s="204" t="s">
        <v>1242</v>
      </c>
      <c r="E2853" s="204" t="s">
        <v>3209</v>
      </c>
      <c r="F2853" s="4" t="s">
        <v>2276</v>
      </c>
      <c r="G2853" s="4" t="s">
        <v>2276</v>
      </c>
      <c r="H2853" s="204" t="s">
        <v>523</v>
      </c>
      <c r="I2853" s="103"/>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2276</v>
      </c>
      <c r="Y2853" s="204" t="s">
        <v>2276</v>
      </c>
      <c r="Z2853" s="204" t="s">
        <v>2276</v>
      </c>
      <c r="AA2853" s="204" t="s">
        <v>2276</v>
      </c>
      <c r="AB2853" s="204" t="s">
        <v>2276</v>
      </c>
      <c r="AC2853" s="204"/>
      <c r="AD2853" s="204"/>
    </row>
    <row r="2854" spans="1:30" ht="33.5" customHeight="1">
      <c r="A2854" s="19" t="s">
        <v>7653</v>
      </c>
      <c r="B2854" s="204" t="s">
        <v>7794</v>
      </c>
      <c r="C2854" s="204" t="s">
        <v>24</v>
      </c>
      <c r="D2854" s="204" t="s">
        <v>1242</v>
      </c>
      <c r="E2854" s="204" t="s">
        <v>3209</v>
      </c>
      <c r="F2854" s="4" t="s">
        <v>2276</v>
      </c>
      <c r="G2854" s="4" t="s">
        <v>2276</v>
      </c>
      <c r="H2854" s="204" t="s">
        <v>523</v>
      </c>
      <c r="I2854" s="103"/>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2276</v>
      </c>
      <c r="Y2854" s="204" t="s">
        <v>2276</v>
      </c>
      <c r="Z2854" s="204" t="s">
        <v>2276</v>
      </c>
      <c r="AA2854" s="204" t="s">
        <v>2276</v>
      </c>
      <c r="AB2854" s="204" t="s">
        <v>2276</v>
      </c>
      <c r="AC2854" s="204"/>
      <c r="AD2854" s="204"/>
    </row>
    <row r="2855" spans="1:30" ht="33.5" customHeight="1">
      <c r="A2855" s="19" t="s">
        <v>7654</v>
      </c>
      <c r="B2855" s="204" t="s">
        <v>7795</v>
      </c>
      <c r="C2855" s="204" t="s">
        <v>24</v>
      </c>
      <c r="D2855" s="204" t="s">
        <v>1242</v>
      </c>
      <c r="E2855" s="204" t="s">
        <v>3209</v>
      </c>
      <c r="F2855" s="4" t="s">
        <v>2276</v>
      </c>
      <c r="G2855" s="4" t="s">
        <v>2276</v>
      </c>
      <c r="H2855" s="204" t="s">
        <v>523</v>
      </c>
      <c r="I2855" s="103"/>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2276</v>
      </c>
      <c r="Y2855" s="204" t="s">
        <v>2276</v>
      </c>
      <c r="Z2855" s="204" t="s">
        <v>2276</v>
      </c>
      <c r="AA2855" s="204" t="s">
        <v>2276</v>
      </c>
      <c r="AB2855" s="204" t="s">
        <v>2276</v>
      </c>
      <c r="AC2855" s="204"/>
      <c r="AD2855" s="204"/>
    </row>
    <row r="2856" spans="1:30" ht="33.5" customHeight="1">
      <c r="A2856" s="19" t="s">
        <v>7655</v>
      </c>
      <c r="B2856" s="204" t="s">
        <v>7796</v>
      </c>
      <c r="C2856" s="204" t="s">
        <v>24</v>
      </c>
      <c r="D2856" s="204" t="s">
        <v>1242</v>
      </c>
      <c r="E2856" s="204" t="s">
        <v>3209</v>
      </c>
      <c r="F2856" s="4" t="s">
        <v>2276</v>
      </c>
      <c r="G2856" s="4" t="s">
        <v>2276</v>
      </c>
      <c r="H2856" s="204" t="s">
        <v>523</v>
      </c>
      <c r="I2856" s="103"/>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2276</v>
      </c>
      <c r="Y2856" s="204" t="s">
        <v>2276</v>
      </c>
      <c r="Z2856" s="204" t="s">
        <v>2276</v>
      </c>
      <c r="AA2856" s="204" t="s">
        <v>2276</v>
      </c>
      <c r="AB2856" s="204" t="s">
        <v>2276</v>
      </c>
      <c r="AC2856" s="204"/>
      <c r="AD2856" s="204"/>
    </row>
    <row r="2857" spans="1:30" ht="33.5" customHeight="1">
      <c r="A2857" s="19" t="s">
        <v>7656</v>
      </c>
      <c r="B2857" s="204" t="s">
        <v>7797</v>
      </c>
      <c r="C2857" s="204" t="s">
        <v>24</v>
      </c>
      <c r="D2857" s="204" t="s">
        <v>1242</v>
      </c>
      <c r="E2857" s="204" t="s">
        <v>3209</v>
      </c>
      <c r="F2857" s="4" t="s">
        <v>2276</v>
      </c>
      <c r="G2857" s="4" t="s">
        <v>2276</v>
      </c>
      <c r="H2857" s="204" t="s">
        <v>523</v>
      </c>
      <c r="I2857" s="103"/>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2276</v>
      </c>
      <c r="Y2857" s="204" t="s">
        <v>2276</v>
      </c>
      <c r="Z2857" s="204" t="s">
        <v>2276</v>
      </c>
      <c r="AA2857" s="204" t="s">
        <v>2276</v>
      </c>
      <c r="AB2857" s="204" t="s">
        <v>2276</v>
      </c>
      <c r="AC2857" s="204"/>
      <c r="AD2857" s="204"/>
    </row>
    <row r="2858" spans="1:30" ht="33.5" customHeight="1">
      <c r="A2858" s="19" t="s">
        <v>7657</v>
      </c>
      <c r="B2858" s="204" t="s">
        <v>7798</v>
      </c>
      <c r="C2858" s="204" t="s">
        <v>24</v>
      </c>
      <c r="D2858" s="204" t="s">
        <v>1242</v>
      </c>
      <c r="E2858" s="204" t="s">
        <v>3209</v>
      </c>
      <c r="F2858" s="4" t="s">
        <v>2276</v>
      </c>
      <c r="G2858" s="4" t="s">
        <v>2276</v>
      </c>
      <c r="H2858" s="204" t="s">
        <v>523</v>
      </c>
      <c r="I2858" s="103"/>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2276</v>
      </c>
      <c r="Y2858" s="204" t="s">
        <v>2276</v>
      </c>
      <c r="Z2858" s="204" t="s">
        <v>2276</v>
      </c>
      <c r="AA2858" s="204" t="s">
        <v>2276</v>
      </c>
      <c r="AB2858" s="204" t="s">
        <v>2276</v>
      </c>
      <c r="AC2858" s="204"/>
      <c r="AD2858" s="204"/>
    </row>
    <row r="2859" spans="1:30" ht="33.5" customHeight="1">
      <c r="A2859" s="19" t="s">
        <v>7658</v>
      </c>
      <c r="B2859" s="204" t="s">
        <v>7799</v>
      </c>
      <c r="C2859" s="204" t="s">
        <v>24</v>
      </c>
      <c r="D2859" s="204" t="s">
        <v>1242</v>
      </c>
      <c r="E2859" s="204" t="s">
        <v>3209</v>
      </c>
      <c r="F2859" s="4" t="s">
        <v>2276</v>
      </c>
      <c r="G2859" s="4" t="s">
        <v>2276</v>
      </c>
      <c r="H2859" s="204" t="s">
        <v>523</v>
      </c>
      <c r="I2859" s="103"/>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2276</v>
      </c>
      <c r="Y2859" s="204" t="s">
        <v>2276</v>
      </c>
      <c r="Z2859" s="204" t="s">
        <v>2276</v>
      </c>
      <c r="AA2859" s="204" t="s">
        <v>2276</v>
      </c>
      <c r="AB2859" s="204" t="s">
        <v>2276</v>
      </c>
      <c r="AC2859" s="204"/>
      <c r="AD2859" s="204"/>
    </row>
    <row r="2860" spans="1:30" ht="33.5" customHeight="1">
      <c r="A2860" s="19" t="s">
        <v>7659</v>
      </c>
      <c r="B2860" s="204" t="s">
        <v>7800</v>
      </c>
      <c r="C2860" s="204" t="s">
        <v>24</v>
      </c>
      <c r="D2860" s="204" t="s">
        <v>1242</v>
      </c>
      <c r="E2860" s="204" t="s">
        <v>3209</v>
      </c>
      <c r="F2860" s="4" t="s">
        <v>2276</v>
      </c>
      <c r="G2860" s="4" t="s">
        <v>2276</v>
      </c>
      <c r="H2860" s="204" t="s">
        <v>523</v>
      </c>
      <c r="I2860" s="103"/>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2276</v>
      </c>
      <c r="Y2860" s="204" t="s">
        <v>2276</v>
      </c>
      <c r="Z2860" s="204" t="s">
        <v>2276</v>
      </c>
      <c r="AA2860" s="204" t="s">
        <v>2276</v>
      </c>
      <c r="AB2860" s="204" t="s">
        <v>2276</v>
      </c>
      <c r="AC2860" s="204"/>
      <c r="AD2860" s="204"/>
    </row>
    <row r="2861" spans="1:30" ht="33.5" customHeight="1">
      <c r="A2861" s="19" t="s">
        <v>7660</v>
      </c>
      <c r="B2861" s="204" t="s">
        <v>7801</v>
      </c>
      <c r="C2861" s="204" t="s">
        <v>24</v>
      </c>
      <c r="D2861" s="204" t="s">
        <v>1242</v>
      </c>
      <c r="E2861" s="204" t="s">
        <v>3209</v>
      </c>
      <c r="F2861" s="4" t="s">
        <v>2276</v>
      </c>
      <c r="G2861" s="4" t="s">
        <v>2276</v>
      </c>
      <c r="H2861" s="204" t="s">
        <v>523</v>
      </c>
      <c r="I2861" s="103"/>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2276</v>
      </c>
      <c r="Y2861" s="204" t="s">
        <v>2276</v>
      </c>
      <c r="Z2861" s="204" t="s">
        <v>2276</v>
      </c>
      <c r="AA2861" s="204" t="s">
        <v>2276</v>
      </c>
      <c r="AB2861" s="204" t="s">
        <v>2276</v>
      </c>
      <c r="AC2861" s="204"/>
      <c r="AD2861" s="204"/>
    </row>
    <row r="2862" spans="1:30" ht="33.5" customHeight="1">
      <c r="A2862" s="19" t="s">
        <v>7661</v>
      </c>
      <c r="B2862" s="204" t="s">
        <v>7802</v>
      </c>
      <c r="C2862" s="204" t="s">
        <v>24</v>
      </c>
      <c r="D2862" s="204" t="s">
        <v>1242</v>
      </c>
      <c r="E2862" s="204" t="s">
        <v>3209</v>
      </c>
      <c r="F2862" s="4" t="s">
        <v>2276</v>
      </c>
      <c r="G2862" s="4" t="s">
        <v>2276</v>
      </c>
      <c r="H2862" s="204" t="s">
        <v>523</v>
      </c>
      <c r="I2862" s="103"/>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2276</v>
      </c>
      <c r="Y2862" s="204" t="s">
        <v>2276</v>
      </c>
      <c r="Z2862" s="204" t="s">
        <v>2276</v>
      </c>
      <c r="AA2862" s="204" t="s">
        <v>2276</v>
      </c>
      <c r="AB2862" s="204" t="s">
        <v>2276</v>
      </c>
      <c r="AC2862" s="204"/>
      <c r="AD2862" s="204"/>
    </row>
    <row r="2863" spans="1:30" ht="33.5" customHeight="1">
      <c r="A2863" s="19" t="s">
        <v>7662</v>
      </c>
      <c r="B2863" s="204" t="s">
        <v>7803</v>
      </c>
      <c r="C2863" s="204" t="s">
        <v>24</v>
      </c>
      <c r="D2863" s="204" t="s">
        <v>1242</v>
      </c>
      <c r="E2863" s="204" t="s">
        <v>3209</v>
      </c>
      <c r="F2863" s="4" t="s">
        <v>2276</v>
      </c>
      <c r="G2863" s="4" t="s">
        <v>2276</v>
      </c>
      <c r="H2863" s="204" t="s">
        <v>523</v>
      </c>
      <c r="I2863" s="103"/>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2276</v>
      </c>
      <c r="Y2863" s="204" t="s">
        <v>2276</v>
      </c>
      <c r="Z2863" s="204" t="s">
        <v>2276</v>
      </c>
      <c r="AA2863" s="204" t="s">
        <v>2276</v>
      </c>
      <c r="AB2863" s="204" t="s">
        <v>2276</v>
      </c>
      <c r="AC2863" s="204"/>
      <c r="AD2863" s="204"/>
    </row>
    <row r="2864" spans="1:30" ht="33.5" customHeight="1">
      <c r="A2864" s="19" t="s">
        <v>7663</v>
      </c>
      <c r="B2864" s="204" t="s">
        <v>7804</v>
      </c>
      <c r="C2864" s="204" t="s">
        <v>24</v>
      </c>
      <c r="D2864" s="204" t="s">
        <v>1242</v>
      </c>
      <c r="E2864" s="204" t="s">
        <v>3209</v>
      </c>
      <c r="F2864" s="4" t="s">
        <v>2276</v>
      </c>
      <c r="G2864" s="4" t="s">
        <v>2276</v>
      </c>
      <c r="H2864" s="204" t="s">
        <v>523</v>
      </c>
      <c r="I2864" s="103"/>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2276</v>
      </c>
      <c r="Y2864" s="204" t="s">
        <v>2276</v>
      </c>
      <c r="Z2864" s="204" t="s">
        <v>2276</v>
      </c>
      <c r="AA2864" s="204" t="s">
        <v>2276</v>
      </c>
      <c r="AB2864" s="204" t="s">
        <v>2276</v>
      </c>
      <c r="AC2864" s="204"/>
      <c r="AD2864" s="204"/>
    </row>
    <row r="2865" spans="1:30" ht="33.5" customHeight="1">
      <c r="A2865" s="19" t="s">
        <v>7664</v>
      </c>
      <c r="B2865" s="204" t="s">
        <v>7805</v>
      </c>
      <c r="C2865" s="204" t="s">
        <v>24</v>
      </c>
      <c r="D2865" s="204" t="s">
        <v>1242</v>
      </c>
      <c r="E2865" s="204" t="s">
        <v>3209</v>
      </c>
      <c r="F2865" s="4" t="s">
        <v>2276</v>
      </c>
      <c r="G2865" s="4" t="s">
        <v>2276</v>
      </c>
      <c r="H2865" s="204" t="s">
        <v>523</v>
      </c>
      <c r="I2865" s="103"/>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2276</v>
      </c>
      <c r="Y2865" s="204" t="s">
        <v>2276</v>
      </c>
      <c r="Z2865" s="204" t="s">
        <v>2276</v>
      </c>
      <c r="AA2865" s="204" t="s">
        <v>2276</v>
      </c>
      <c r="AB2865" s="204" t="s">
        <v>2276</v>
      </c>
      <c r="AC2865" s="204"/>
      <c r="AD2865" s="204"/>
    </row>
    <row r="2866" spans="1:30" ht="33.5" customHeight="1">
      <c r="A2866" s="19" t="s">
        <v>7665</v>
      </c>
      <c r="B2866" s="204" t="s">
        <v>7806</v>
      </c>
      <c r="C2866" s="204" t="s">
        <v>24</v>
      </c>
      <c r="D2866" s="204" t="s">
        <v>1242</v>
      </c>
      <c r="E2866" s="204" t="s">
        <v>3209</v>
      </c>
      <c r="F2866" s="4" t="s">
        <v>2276</v>
      </c>
      <c r="G2866" s="4" t="s">
        <v>2276</v>
      </c>
      <c r="H2866" s="204" t="s">
        <v>523</v>
      </c>
      <c r="I2866" s="103"/>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2276</v>
      </c>
      <c r="Y2866" s="204" t="s">
        <v>2276</v>
      </c>
      <c r="Z2866" s="204" t="s">
        <v>2276</v>
      </c>
      <c r="AA2866" s="204" t="s">
        <v>2276</v>
      </c>
      <c r="AB2866" s="204" t="s">
        <v>2276</v>
      </c>
      <c r="AC2866" s="204"/>
      <c r="AD2866" s="204"/>
    </row>
    <row r="2867" spans="1:30" ht="33.5" customHeight="1">
      <c r="A2867" s="19" t="s">
        <v>7666</v>
      </c>
      <c r="B2867" s="204" t="s">
        <v>7807</v>
      </c>
      <c r="C2867" s="204" t="s">
        <v>24</v>
      </c>
      <c r="D2867" s="204" t="s">
        <v>1242</v>
      </c>
      <c r="E2867" s="204" t="s">
        <v>3209</v>
      </c>
      <c r="F2867" s="4" t="s">
        <v>2276</v>
      </c>
      <c r="G2867" s="4" t="s">
        <v>2276</v>
      </c>
      <c r="H2867" s="204" t="s">
        <v>523</v>
      </c>
      <c r="I2867" s="103"/>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2276</v>
      </c>
      <c r="Y2867" s="204" t="s">
        <v>2276</v>
      </c>
      <c r="Z2867" s="204" t="s">
        <v>2276</v>
      </c>
      <c r="AA2867" s="204" t="s">
        <v>2276</v>
      </c>
      <c r="AB2867" s="204" t="s">
        <v>2276</v>
      </c>
      <c r="AC2867" s="204"/>
      <c r="AD2867" s="204"/>
    </row>
    <row r="2868" spans="1:30" ht="33.5" customHeight="1">
      <c r="A2868" s="19" t="s">
        <v>7667</v>
      </c>
      <c r="B2868" s="204" t="s">
        <v>7808</v>
      </c>
      <c r="C2868" s="204" t="s">
        <v>24</v>
      </c>
      <c r="D2868" s="204" t="s">
        <v>1242</v>
      </c>
      <c r="E2868" s="204" t="s">
        <v>3209</v>
      </c>
      <c r="F2868" s="4" t="s">
        <v>2276</v>
      </c>
      <c r="G2868" s="4" t="s">
        <v>2276</v>
      </c>
      <c r="H2868" s="204" t="s">
        <v>523</v>
      </c>
      <c r="I2868" s="103"/>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2276</v>
      </c>
      <c r="Y2868" s="204" t="s">
        <v>2276</v>
      </c>
      <c r="Z2868" s="204" t="s">
        <v>2276</v>
      </c>
      <c r="AA2868" s="204" t="s">
        <v>2276</v>
      </c>
      <c r="AB2868" s="204" t="s">
        <v>2276</v>
      </c>
      <c r="AC2868" s="204"/>
      <c r="AD2868" s="204"/>
    </row>
    <row r="2869" spans="1:30" ht="33.5" customHeight="1">
      <c r="A2869" s="19" t="s">
        <v>7668</v>
      </c>
      <c r="B2869" s="204" t="s">
        <v>7809</v>
      </c>
      <c r="C2869" s="204" t="s">
        <v>24</v>
      </c>
      <c r="D2869" s="204" t="s">
        <v>1242</v>
      </c>
      <c r="E2869" s="204" t="s">
        <v>3209</v>
      </c>
      <c r="F2869" s="4" t="s">
        <v>2276</v>
      </c>
      <c r="G2869" s="4" t="s">
        <v>2276</v>
      </c>
      <c r="H2869" s="204" t="s">
        <v>523</v>
      </c>
      <c r="I2869" s="103"/>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2276</v>
      </c>
      <c r="Y2869" s="204" t="s">
        <v>2276</v>
      </c>
      <c r="Z2869" s="204" t="s">
        <v>2276</v>
      </c>
      <c r="AA2869" s="204" t="s">
        <v>2276</v>
      </c>
      <c r="AB2869" s="204" t="s">
        <v>2276</v>
      </c>
      <c r="AC2869" s="204"/>
      <c r="AD2869" s="204"/>
    </row>
    <row r="2870" spans="1:30" ht="33.5" customHeight="1">
      <c r="A2870" s="19" t="s">
        <v>7669</v>
      </c>
      <c r="B2870" s="204" t="s">
        <v>7810</v>
      </c>
      <c r="C2870" s="204" t="s">
        <v>24</v>
      </c>
      <c r="D2870" s="204" t="s">
        <v>1242</v>
      </c>
      <c r="E2870" s="204" t="s">
        <v>3209</v>
      </c>
      <c r="F2870" s="4" t="s">
        <v>2276</v>
      </c>
      <c r="G2870" s="4" t="s">
        <v>2276</v>
      </c>
      <c r="H2870" s="204" t="s">
        <v>523</v>
      </c>
      <c r="I2870" s="103"/>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2276</v>
      </c>
      <c r="Y2870" s="204" t="s">
        <v>2276</v>
      </c>
      <c r="Z2870" s="204" t="s">
        <v>2276</v>
      </c>
      <c r="AA2870" s="204" t="s">
        <v>2276</v>
      </c>
      <c r="AB2870" s="204" t="s">
        <v>2276</v>
      </c>
      <c r="AC2870" s="204"/>
      <c r="AD2870" s="204"/>
    </row>
    <row r="2871" spans="1:30" ht="33.5" customHeight="1">
      <c r="A2871" s="19" t="s">
        <v>7670</v>
      </c>
      <c r="B2871" s="204" t="s">
        <v>7811</v>
      </c>
      <c r="C2871" s="204" t="s">
        <v>24</v>
      </c>
      <c r="D2871" s="204" t="s">
        <v>1242</v>
      </c>
      <c r="E2871" s="204" t="s">
        <v>3209</v>
      </c>
      <c r="F2871" s="4" t="s">
        <v>2276</v>
      </c>
      <c r="G2871" s="4" t="s">
        <v>2276</v>
      </c>
      <c r="H2871" s="204" t="s">
        <v>523</v>
      </c>
      <c r="I2871" s="103"/>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2276</v>
      </c>
      <c r="Y2871" s="204" t="s">
        <v>2276</v>
      </c>
      <c r="Z2871" s="204" t="s">
        <v>2276</v>
      </c>
      <c r="AA2871" s="204" t="s">
        <v>2276</v>
      </c>
      <c r="AB2871" s="204" t="s">
        <v>2276</v>
      </c>
      <c r="AC2871" s="204"/>
      <c r="AD2871" s="204"/>
    </row>
    <row r="2872" spans="1:30" ht="33.5" customHeight="1">
      <c r="A2872" s="19" t="s">
        <v>7671</v>
      </c>
      <c r="B2872" s="204" t="s">
        <v>7812</v>
      </c>
      <c r="C2872" s="204" t="s">
        <v>24</v>
      </c>
      <c r="D2872" s="204" t="s">
        <v>1242</v>
      </c>
      <c r="E2872" s="204" t="s">
        <v>3209</v>
      </c>
      <c r="F2872" s="4" t="s">
        <v>2276</v>
      </c>
      <c r="G2872" s="4" t="s">
        <v>2276</v>
      </c>
      <c r="H2872" s="204" t="s">
        <v>523</v>
      </c>
      <c r="I2872" s="103"/>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2276</v>
      </c>
      <c r="Y2872" s="204" t="s">
        <v>2276</v>
      </c>
      <c r="Z2872" s="204" t="s">
        <v>2276</v>
      </c>
      <c r="AA2872" s="204" t="s">
        <v>2276</v>
      </c>
      <c r="AB2872" s="204" t="s">
        <v>2276</v>
      </c>
      <c r="AC2872" s="204"/>
      <c r="AD2872" s="204"/>
    </row>
    <row r="2873" spans="1:30" ht="33.5" customHeight="1">
      <c r="A2873" s="19" t="s">
        <v>7672</v>
      </c>
      <c r="B2873" s="204" t="s">
        <v>7813</v>
      </c>
      <c r="C2873" s="204" t="s">
        <v>24</v>
      </c>
      <c r="D2873" s="204" t="s">
        <v>1242</v>
      </c>
      <c r="E2873" s="204" t="s">
        <v>3209</v>
      </c>
      <c r="F2873" s="4" t="s">
        <v>2276</v>
      </c>
      <c r="G2873" s="4" t="s">
        <v>2276</v>
      </c>
      <c r="H2873" s="204" t="s">
        <v>523</v>
      </c>
      <c r="I2873" s="103"/>
      <c r="J2873" s="204" t="s">
        <v>2276</v>
      </c>
      <c r="K2873" s="204" t="s">
        <v>2276</v>
      </c>
      <c r="L2873" s="204" t="s">
        <v>2276</v>
      </c>
      <c r="M2873" s="204" t="s">
        <v>2276</v>
      </c>
      <c r="N2873" s="204" t="s">
        <v>2276</v>
      </c>
      <c r="O2873" s="204" t="s">
        <v>2276</v>
      </c>
      <c r="P2873" s="204" t="s">
        <v>2276</v>
      </c>
      <c r="Q2873" s="204" t="s">
        <v>2276</v>
      </c>
      <c r="R2873" s="204" t="s">
        <v>2276</v>
      </c>
      <c r="S2873" s="204" t="s">
        <v>2276</v>
      </c>
      <c r="T2873" s="204" t="s">
        <v>2276</v>
      </c>
      <c r="U2873" s="204" t="s">
        <v>2276</v>
      </c>
      <c r="V2873" s="204" t="s">
        <v>2276</v>
      </c>
      <c r="W2873" s="204" t="s">
        <v>2276</v>
      </c>
      <c r="X2873" s="204" t="s">
        <v>2276</v>
      </c>
      <c r="Y2873" s="204" t="s">
        <v>2276</v>
      </c>
      <c r="Z2873" s="204" t="s">
        <v>2276</v>
      </c>
      <c r="AA2873" s="204" t="s">
        <v>2276</v>
      </c>
      <c r="AB2873" s="204" t="s">
        <v>2276</v>
      </c>
      <c r="AC2873" s="204"/>
      <c r="AD2873" s="204"/>
    </row>
    <row r="2874" spans="1:30" ht="33.5" customHeight="1">
      <c r="A2874" s="19" t="s">
        <v>7673</v>
      </c>
      <c r="B2874" s="204" t="s">
        <v>7814</v>
      </c>
      <c r="C2874" s="204" t="s">
        <v>24</v>
      </c>
      <c r="D2874" s="204" t="s">
        <v>1242</v>
      </c>
      <c r="E2874" s="204" t="s">
        <v>3209</v>
      </c>
      <c r="F2874" s="4" t="s">
        <v>2276</v>
      </c>
      <c r="G2874" s="4" t="s">
        <v>2276</v>
      </c>
      <c r="H2874" s="204" t="s">
        <v>523</v>
      </c>
      <c r="I2874" s="103"/>
      <c r="J2874" s="204" t="s">
        <v>2276</v>
      </c>
      <c r="K2874" s="204" t="s">
        <v>2276</v>
      </c>
      <c r="L2874" s="204" t="s">
        <v>2276</v>
      </c>
      <c r="M2874" s="204" t="s">
        <v>2276</v>
      </c>
      <c r="N2874" s="204" t="s">
        <v>2276</v>
      </c>
      <c r="O2874" s="204" t="s">
        <v>2276</v>
      </c>
      <c r="P2874" s="204" t="s">
        <v>2276</v>
      </c>
      <c r="Q2874" s="204" t="s">
        <v>2276</v>
      </c>
      <c r="R2874" s="204" t="s">
        <v>2276</v>
      </c>
      <c r="S2874" s="204" t="s">
        <v>2276</v>
      </c>
      <c r="T2874" s="204" t="s">
        <v>2276</v>
      </c>
      <c r="U2874" s="204" t="s">
        <v>2276</v>
      </c>
      <c r="V2874" s="204" t="s">
        <v>2276</v>
      </c>
      <c r="W2874" s="204" t="s">
        <v>2276</v>
      </c>
      <c r="X2874" s="204" t="s">
        <v>2276</v>
      </c>
      <c r="Y2874" s="204" t="s">
        <v>2276</v>
      </c>
      <c r="Z2874" s="204" t="s">
        <v>2276</v>
      </c>
      <c r="AA2874" s="204" t="s">
        <v>2276</v>
      </c>
      <c r="AB2874" s="204" t="s">
        <v>2276</v>
      </c>
      <c r="AC2874" s="204"/>
      <c r="AD2874" s="204"/>
    </row>
    <row r="2875" spans="1:30" ht="33.5" customHeight="1">
      <c r="A2875" s="19" t="s">
        <v>7593</v>
      </c>
      <c r="B2875" s="204" t="s">
        <v>7815</v>
      </c>
      <c r="C2875" s="204" t="s">
        <v>24</v>
      </c>
      <c r="D2875" s="204" t="s">
        <v>1242</v>
      </c>
      <c r="E2875" s="204" t="s">
        <v>3209</v>
      </c>
      <c r="F2875" s="4" t="s">
        <v>2276</v>
      </c>
      <c r="G2875" s="4" t="s">
        <v>2276</v>
      </c>
      <c r="H2875" s="204" t="s">
        <v>523</v>
      </c>
      <c r="I2875" s="103"/>
      <c r="J2875" s="204" t="s">
        <v>2276</v>
      </c>
      <c r="K2875" s="204" t="s">
        <v>2276</v>
      </c>
      <c r="L2875" s="204" t="s">
        <v>2276</v>
      </c>
      <c r="M2875" s="204" t="s">
        <v>2276</v>
      </c>
      <c r="N2875" s="204" t="s">
        <v>2276</v>
      </c>
      <c r="O2875" s="204" t="s">
        <v>2276</v>
      </c>
      <c r="P2875" s="204" t="s">
        <v>2276</v>
      </c>
      <c r="Q2875" s="204" t="s">
        <v>2276</v>
      </c>
      <c r="R2875" s="204" t="s">
        <v>2276</v>
      </c>
      <c r="S2875" s="204" t="s">
        <v>2276</v>
      </c>
      <c r="T2875" s="204" t="s">
        <v>2276</v>
      </c>
      <c r="U2875" s="204" t="s">
        <v>2276</v>
      </c>
      <c r="V2875" s="204" t="s">
        <v>2276</v>
      </c>
      <c r="W2875" s="204" t="s">
        <v>2276</v>
      </c>
      <c r="X2875" s="204" t="s">
        <v>2276</v>
      </c>
      <c r="Y2875" s="204" t="s">
        <v>2276</v>
      </c>
      <c r="Z2875" s="204" t="s">
        <v>2276</v>
      </c>
      <c r="AA2875" s="204" t="s">
        <v>2276</v>
      </c>
      <c r="AB2875" s="204" t="s">
        <v>2276</v>
      </c>
      <c r="AC2875" s="204"/>
      <c r="AD2875" s="204"/>
    </row>
    <row r="2876" spans="1:30" ht="33.5" customHeight="1">
      <c r="A2876" s="19" t="s">
        <v>7614</v>
      </c>
      <c r="B2876" s="204" t="s">
        <v>7615</v>
      </c>
      <c r="C2876" s="204" t="s">
        <v>24</v>
      </c>
      <c r="D2876" s="204" t="s">
        <v>1242</v>
      </c>
      <c r="E2876" s="204" t="s">
        <v>3209</v>
      </c>
      <c r="F2876" s="4" t="s">
        <v>2276</v>
      </c>
      <c r="G2876" s="4" t="s">
        <v>2276</v>
      </c>
      <c r="H2876" s="204" t="s">
        <v>523</v>
      </c>
      <c r="I2876" s="103"/>
      <c r="J2876" s="204" t="s">
        <v>2276</v>
      </c>
      <c r="K2876" s="204" t="s">
        <v>2276</v>
      </c>
      <c r="L2876" s="204" t="s">
        <v>2276</v>
      </c>
      <c r="M2876" s="204" t="s">
        <v>2276</v>
      </c>
      <c r="N2876" s="204" t="s">
        <v>2276</v>
      </c>
      <c r="O2876" s="204" t="s">
        <v>2276</v>
      </c>
      <c r="P2876" s="204" t="s">
        <v>2276</v>
      </c>
      <c r="Q2876" s="204" t="s">
        <v>2276</v>
      </c>
      <c r="R2876" s="204" t="s">
        <v>2276</v>
      </c>
      <c r="S2876" s="204" t="s">
        <v>2276</v>
      </c>
      <c r="T2876" s="204" t="s">
        <v>2276</v>
      </c>
      <c r="U2876" s="204" t="s">
        <v>2276</v>
      </c>
      <c r="V2876" s="204" t="s">
        <v>2276</v>
      </c>
      <c r="W2876" s="204" t="s">
        <v>2276</v>
      </c>
      <c r="X2876" s="204" t="s">
        <v>2276</v>
      </c>
      <c r="Y2876" s="204" t="s">
        <v>2276</v>
      </c>
      <c r="Z2876" s="204" t="s">
        <v>2276</v>
      </c>
      <c r="AA2876" s="204" t="s">
        <v>2276</v>
      </c>
      <c r="AB2876" s="204" t="s">
        <v>2276</v>
      </c>
      <c r="AC2876" s="204"/>
      <c r="AD2876" s="204"/>
    </row>
    <row r="2877" spans="1:30" ht="33.5" customHeight="1">
      <c r="A2877" s="19" t="s">
        <v>7674</v>
      </c>
      <c r="B2877" s="204" t="s">
        <v>7816</v>
      </c>
      <c r="C2877" s="204" t="s">
        <v>24</v>
      </c>
      <c r="D2877" s="204" t="s">
        <v>1242</v>
      </c>
      <c r="E2877" s="204" t="s">
        <v>3209</v>
      </c>
      <c r="F2877" s="4" t="s">
        <v>2276</v>
      </c>
      <c r="G2877" s="4" t="s">
        <v>2276</v>
      </c>
      <c r="H2877" s="204" t="s">
        <v>523</v>
      </c>
      <c r="I2877" s="103"/>
      <c r="J2877" s="204" t="s">
        <v>2276</v>
      </c>
      <c r="K2877" s="204" t="s">
        <v>2276</v>
      </c>
      <c r="L2877" s="204" t="s">
        <v>2276</v>
      </c>
      <c r="M2877" s="204" t="s">
        <v>2276</v>
      </c>
      <c r="N2877" s="204" t="s">
        <v>2276</v>
      </c>
      <c r="O2877" s="204" t="s">
        <v>2276</v>
      </c>
      <c r="P2877" s="204" t="s">
        <v>2276</v>
      </c>
      <c r="Q2877" s="204" t="s">
        <v>2276</v>
      </c>
      <c r="R2877" s="204" t="s">
        <v>2276</v>
      </c>
      <c r="S2877" s="204" t="s">
        <v>2276</v>
      </c>
      <c r="T2877" s="204" t="s">
        <v>2276</v>
      </c>
      <c r="U2877" s="204" t="s">
        <v>2276</v>
      </c>
      <c r="V2877" s="204" t="s">
        <v>2276</v>
      </c>
      <c r="W2877" s="204" t="s">
        <v>2276</v>
      </c>
      <c r="X2877" s="204" t="s">
        <v>2276</v>
      </c>
      <c r="Y2877" s="204" t="s">
        <v>2276</v>
      </c>
      <c r="Z2877" s="204" t="s">
        <v>2276</v>
      </c>
      <c r="AA2877" s="204" t="s">
        <v>2276</v>
      </c>
      <c r="AB2877" s="204" t="s">
        <v>2276</v>
      </c>
      <c r="AC2877" s="204"/>
      <c r="AD2877" s="204"/>
    </row>
    <row r="2878" spans="1:30" ht="33.5" customHeight="1">
      <c r="A2878" s="19" t="s">
        <v>7675</v>
      </c>
      <c r="B2878" s="204" t="s">
        <v>7817</v>
      </c>
      <c r="C2878" s="204" t="s">
        <v>24</v>
      </c>
      <c r="D2878" s="204" t="s">
        <v>1242</v>
      </c>
      <c r="E2878" s="204" t="s">
        <v>3209</v>
      </c>
      <c r="F2878" s="4" t="s">
        <v>2276</v>
      </c>
      <c r="G2878" s="4" t="s">
        <v>2276</v>
      </c>
      <c r="H2878" s="204" t="s">
        <v>524</v>
      </c>
      <c r="I2878" s="103"/>
      <c r="J2878" s="21">
        <v>0</v>
      </c>
      <c r="K2878" s="21">
        <v>0</v>
      </c>
      <c r="L2878" s="21">
        <v>0</v>
      </c>
      <c r="M2878" s="21">
        <v>0</v>
      </c>
      <c r="N2878" s="21">
        <v>0</v>
      </c>
      <c r="O2878" s="21">
        <v>0</v>
      </c>
      <c r="P2878" s="21">
        <v>0</v>
      </c>
      <c r="Q2878" s="21">
        <v>0</v>
      </c>
      <c r="R2878" s="21">
        <v>0</v>
      </c>
      <c r="S2878" s="21">
        <v>0</v>
      </c>
      <c r="T2878" s="21">
        <v>0</v>
      </c>
      <c r="U2878" s="21">
        <v>0</v>
      </c>
      <c r="V2878" s="21">
        <v>0</v>
      </c>
      <c r="W2878" s="21">
        <v>0</v>
      </c>
      <c r="X2878" s="21">
        <v>0</v>
      </c>
      <c r="Y2878" s="21">
        <v>0</v>
      </c>
      <c r="Z2878" s="204" t="s">
        <v>2276</v>
      </c>
      <c r="AA2878" s="204" t="s">
        <v>2276</v>
      </c>
      <c r="AB2878" s="204" t="s">
        <v>2276</v>
      </c>
      <c r="AC2878" s="204"/>
      <c r="AD2878" s="204"/>
    </row>
    <row r="2879" spans="1:30" ht="33.5" customHeight="1">
      <c r="A2879" s="19" t="s">
        <v>7676</v>
      </c>
      <c r="B2879" s="204" t="s">
        <v>7818</v>
      </c>
      <c r="C2879" s="204" t="s">
        <v>24</v>
      </c>
      <c r="D2879" s="204" t="s">
        <v>1242</v>
      </c>
      <c r="E2879" s="204" t="s">
        <v>3209</v>
      </c>
      <c r="F2879" s="4" t="s">
        <v>2276</v>
      </c>
      <c r="G2879" s="4" t="s">
        <v>2276</v>
      </c>
      <c r="H2879" s="204" t="s">
        <v>523</v>
      </c>
      <c r="I2879" s="103"/>
      <c r="J2879" s="204" t="s">
        <v>2276</v>
      </c>
      <c r="K2879" s="204" t="s">
        <v>2276</v>
      </c>
      <c r="L2879" s="204" t="s">
        <v>2276</v>
      </c>
      <c r="M2879" s="204" t="s">
        <v>2276</v>
      </c>
      <c r="N2879" s="204" t="s">
        <v>2276</v>
      </c>
      <c r="O2879" s="204" t="s">
        <v>2276</v>
      </c>
      <c r="P2879" s="204" t="s">
        <v>2276</v>
      </c>
      <c r="Q2879" s="204" t="s">
        <v>2276</v>
      </c>
      <c r="R2879" s="204" t="s">
        <v>2276</v>
      </c>
      <c r="S2879" s="204" t="s">
        <v>2276</v>
      </c>
      <c r="T2879" s="204" t="s">
        <v>2276</v>
      </c>
      <c r="U2879" s="204" t="s">
        <v>2276</v>
      </c>
      <c r="V2879" s="204" t="s">
        <v>2276</v>
      </c>
      <c r="W2879" s="204" t="s">
        <v>2276</v>
      </c>
      <c r="X2879" s="204" t="s">
        <v>2276</v>
      </c>
      <c r="Y2879" s="204" t="s">
        <v>2276</v>
      </c>
      <c r="Z2879" s="204" t="s">
        <v>2276</v>
      </c>
      <c r="AA2879" s="204" t="s">
        <v>2276</v>
      </c>
      <c r="AB2879" s="204" t="s">
        <v>2276</v>
      </c>
      <c r="AC2879" s="204"/>
      <c r="AD2879" s="204"/>
    </row>
    <row r="2880" spans="1:30" ht="33.5" customHeight="1">
      <c r="A2880" s="19" t="s">
        <v>7677</v>
      </c>
      <c r="B2880" s="204" t="s">
        <v>7819</v>
      </c>
      <c r="C2880" s="204" t="s">
        <v>24</v>
      </c>
      <c r="D2880" s="204" t="s">
        <v>1242</v>
      </c>
      <c r="E2880" s="204" t="s">
        <v>3209</v>
      </c>
      <c r="F2880" s="4" t="s">
        <v>2276</v>
      </c>
      <c r="G2880" s="4" t="s">
        <v>2276</v>
      </c>
      <c r="H2880" s="204" t="s">
        <v>523</v>
      </c>
      <c r="I2880" s="103"/>
      <c r="J2880" s="204" t="s">
        <v>2276</v>
      </c>
      <c r="K2880" s="204" t="s">
        <v>2276</v>
      </c>
      <c r="L2880" s="204" t="s">
        <v>2276</v>
      </c>
      <c r="M2880" s="204" t="s">
        <v>2276</v>
      </c>
      <c r="N2880" s="204" t="s">
        <v>2276</v>
      </c>
      <c r="O2880" s="204" t="s">
        <v>2276</v>
      </c>
      <c r="P2880" s="204" t="s">
        <v>2276</v>
      </c>
      <c r="Q2880" s="204" t="s">
        <v>2276</v>
      </c>
      <c r="R2880" s="204" t="s">
        <v>2276</v>
      </c>
      <c r="S2880" s="204" t="s">
        <v>2276</v>
      </c>
      <c r="T2880" s="204" t="s">
        <v>2276</v>
      </c>
      <c r="U2880" s="204" t="s">
        <v>2276</v>
      </c>
      <c r="V2880" s="204" t="s">
        <v>2276</v>
      </c>
      <c r="W2880" s="204" t="s">
        <v>2276</v>
      </c>
      <c r="X2880" s="204" t="s">
        <v>2276</v>
      </c>
      <c r="Y2880" s="204" t="s">
        <v>2276</v>
      </c>
      <c r="Z2880" s="204" t="s">
        <v>2276</v>
      </c>
      <c r="AA2880" s="204" t="s">
        <v>2276</v>
      </c>
      <c r="AB2880" s="204" t="s">
        <v>2276</v>
      </c>
      <c r="AC2880" s="204"/>
      <c r="AD2880" s="204"/>
    </row>
    <row r="2881" spans="1:30" ht="33.5" customHeight="1">
      <c r="A2881" s="19" t="s">
        <v>7678</v>
      </c>
      <c r="B2881" s="204" t="s">
        <v>7820</v>
      </c>
      <c r="C2881" s="204" t="s">
        <v>24</v>
      </c>
      <c r="D2881" s="204" t="s">
        <v>1242</v>
      </c>
      <c r="E2881" s="204" t="s">
        <v>3209</v>
      </c>
      <c r="F2881" s="4" t="s">
        <v>2276</v>
      </c>
      <c r="G2881" s="4" t="s">
        <v>2276</v>
      </c>
      <c r="H2881" s="204" t="s">
        <v>523</v>
      </c>
      <c r="I2881" s="103"/>
      <c r="J2881" s="204" t="s">
        <v>2276</v>
      </c>
      <c r="K2881" s="204" t="s">
        <v>2276</v>
      </c>
      <c r="L2881" s="204" t="s">
        <v>2276</v>
      </c>
      <c r="M2881" s="204" t="s">
        <v>2276</v>
      </c>
      <c r="N2881" s="204" t="s">
        <v>2276</v>
      </c>
      <c r="O2881" s="204" t="s">
        <v>2276</v>
      </c>
      <c r="P2881" s="204" t="s">
        <v>2276</v>
      </c>
      <c r="Q2881" s="204" t="s">
        <v>2276</v>
      </c>
      <c r="R2881" s="204" t="s">
        <v>2276</v>
      </c>
      <c r="S2881" s="204" t="s">
        <v>2276</v>
      </c>
      <c r="T2881" s="204" t="s">
        <v>2276</v>
      </c>
      <c r="U2881" s="204" t="s">
        <v>2276</v>
      </c>
      <c r="V2881" s="204" t="s">
        <v>2276</v>
      </c>
      <c r="W2881" s="204" t="s">
        <v>2276</v>
      </c>
      <c r="X2881" s="204" t="s">
        <v>2276</v>
      </c>
      <c r="Y2881" s="204" t="s">
        <v>2276</v>
      </c>
      <c r="Z2881" s="204" t="s">
        <v>2276</v>
      </c>
      <c r="AA2881" s="204" t="s">
        <v>2276</v>
      </c>
      <c r="AB2881" s="204" t="s">
        <v>2276</v>
      </c>
      <c r="AC2881" s="204"/>
      <c r="AD2881" s="204"/>
    </row>
    <row r="2882" spans="1:30" ht="33.5" customHeight="1">
      <c r="A2882" s="19" t="s">
        <v>7679</v>
      </c>
      <c r="B2882" s="204" t="s">
        <v>7821</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7680</v>
      </c>
      <c r="B2883" s="204" t="s">
        <v>7822</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7681</v>
      </c>
      <c r="B2884" s="204" t="s">
        <v>7823</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7682</v>
      </c>
      <c r="B2885" s="204" t="s">
        <v>7824</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7683</v>
      </c>
      <c r="B2886" s="204" t="s">
        <v>7825</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7684</v>
      </c>
      <c r="B2887" s="204" t="s">
        <v>7826</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7685</v>
      </c>
      <c r="B2888" s="204" t="s">
        <v>7827</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7686</v>
      </c>
      <c r="B2889" s="204" t="s">
        <v>7828</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7687</v>
      </c>
      <c r="B2890" s="204" t="s">
        <v>7829</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7688</v>
      </c>
      <c r="B2891" s="204" t="s">
        <v>7830</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7689</v>
      </c>
      <c r="B2892" s="204" t="s">
        <v>7831</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7690</v>
      </c>
      <c r="B2893" s="204" t="s">
        <v>7832</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7691</v>
      </c>
      <c r="B2894" s="204" t="s">
        <v>7833</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7692</v>
      </c>
      <c r="B2895" s="204" t="s">
        <v>7834</v>
      </c>
      <c r="C2895" s="204" t="s">
        <v>24</v>
      </c>
      <c r="D2895" s="204" t="s">
        <v>1242</v>
      </c>
      <c r="E2895" s="204" t="s">
        <v>3209</v>
      </c>
      <c r="F2895" s="4" t="s">
        <v>2276</v>
      </c>
      <c r="G2895" s="4" t="s">
        <v>2276</v>
      </c>
      <c r="H2895" s="204" t="s">
        <v>524</v>
      </c>
      <c r="I2895" s="103"/>
      <c r="J2895" s="21">
        <v>0</v>
      </c>
      <c r="K2895" s="21">
        <v>0</v>
      </c>
      <c r="L2895" s="21">
        <v>0</v>
      </c>
      <c r="M2895" s="21">
        <v>0</v>
      </c>
      <c r="N2895" s="21">
        <v>0</v>
      </c>
      <c r="O2895" s="21">
        <v>0</v>
      </c>
      <c r="P2895" s="21">
        <v>0</v>
      </c>
      <c r="Q2895" s="21">
        <v>0</v>
      </c>
      <c r="R2895" s="21">
        <v>0</v>
      </c>
      <c r="S2895" s="21">
        <v>0</v>
      </c>
      <c r="T2895" s="21">
        <v>0</v>
      </c>
      <c r="U2895" s="21">
        <v>0</v>
      </c>
      <c r="V2895" s="21">
        <v>0</v>
      </c>
      <c r="W2895" s="21">
        <v>0</v>
      </c>
      <c r="X2895" s="21">
        <v>0</v>
      </c>
      <c r="Y2895" s="21">
        <v>0</v>
      </c>
      <c r="Z2895" s="204" t="s">
        <v>2276</v>
      </c>
      <c r="AA2895" s="204" t="s">
        <v>2276</v>
      </c>
      <c r="AB2895" s="204" t="s">
        <v>2276</v>
      </c>
      <c r="AC2895" s="204"/>
      <c r="AD2895" s="204"/>
    </row>
    <row r="2896" spans="1:30" ht="33.5" customHeight="1">
      <c r="A2896" s="19" t="s">
        <v>7760</v>
      </c>
      <c r="B2896" s="204" t="s">
        <v>7835</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7761</v>
      </c>
      <c r="B2897" s="204" t="s">
        <v>7836</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7762</v>
      </c>
      <c r="B2898" s="204" t="s">
        <v>7837</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7763</v>
      </c>
      <c r="B2899" s="204" t="s">
        <v>7838</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7764</v>
      </c>
      <c r="B2900" s="204" t="s">
        <v>7839</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7765</v>
      </c>
      <c r="B2901" s="204" t="s">
        <v>7840</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7766</v>
      </c>
      <c r="B2902" s="204" t="s">
        <v>7841</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7670</v>
      </c>
      <c r="B2903" s="204" t="s">
        <v>7811</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7767</v>
      </c>
      <c r="B2904" s="204" t="s">
        <v>7842</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7768</v>
      </c>
      <c r="B2905" s="204" t="s">
        <v>7843</v>
      </c>
      <c r="C2905" s="204" t="s">
        <v>24</v>
      </c>
      <c r="D2905" s="204" t="s">
        <v>1242</v>
      </c>
      <c r="E2905" s="204" t="s">
        <v>3209</v>
      </c>
      <c r="F2905" s="4" t="s">
        <v>2276</v>
      </c>
      <c r="G2905" s="4" t="s">
        <v>2276</v>
      </c>
      <c r="H2905" s="204" t="s">
        <v>524</v>
      </c>
      <c r="I2905" s="103"/>
      <c r="J2905" s="21">
        <v>0</v>
      </c>
      <c r="K2905" s="21">
        <v>0</v>
      </c>
      <c r="L2905" s="21">
        <v>0</v>
      </c>
      <c r="M2905" s="21">
        <v>0</v>
      </c>
      <c r="N2905" s="21">
        <v>0</v>
      </c>
      <c r="O2905" s="21">
        <v>0</v>
      </c>
      <c r="P2905" s="21">
        <v>0</v>
      </c>
      <c r="Q2905" s="21">
        <v>0</v>
      </c>
      <c r="R2905" s="21">
        <v>0</v>
      </c>
      <c r="S2905" s="21">
        <v>0</v>
      </c>
      <c r="T2905" s="21">
        <v>0</v>
      </c>
      <c r="U2905" s="21">
        <v>0</v>
      </c>
      <c r="V2905" s="21">
        <v>0</v>
      </c>
      <c r="W2905" s="21">
        <v>0</v>
      </c>
      <c r="X2905" s="21">
        <v>0</v>
      </c>
      <c r="Y2905" s="21">
        <v>0</v>
      </c>
      <c r="Z2905" s="204" t="s">
        <v>2276</v>
      </c>
      <c r="AA2905" s="204" t="s">
        <v>2276</v>
      </c>
      <c r="AB2905" s="204" t="s">
        <v>2276</v>
      </c>
      <c r="AC2905" s="204"/>
      <c r="AD2905" s="204"/>
    </row>
    <row r="2906" spans="1:30" ht="33.5" customHeight="1">
      <c r="A2906" s="19" t="s">
        <v>7769</v>
      </c>
      <c r="B2906" s="204" t="s">
        <v>7844</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7770</v>
      </c>
      <c r="B2907" s="204" t="s">
        <v>7845</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7771</v>
      </c>
      <c r="B2908" s="204" t="s">
        <v>7846</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7772</v>
      </c>
      <c r="B2909" s="204" t="s">
        <v>7847</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7773</v>
      </c>
      <c r="B2910" s="204" t="s">
        <v>7848</v>
      </c>
      <c r="C2910" s="204" t="s">
        <v>24</v>
      </c>
      <c r="D2910" s="204" t="s">
        <v>1242</v>
      </c>
      <c r="E2910" s="204" t="s">
        <v>3209</v>
      </c>
      <c r="F2910" s="4" t="s">
        <v>2276</v>
      </c>
      <c r="G2910" s="4" t="s">
        <v>2276</v>
      </c>
      <c r="H2910" s="204" t="s">
        <v>524</v>
      </c>
      <c r="I2910" s="103"/>
      <c r="J2910" s="21">
        <v>0</v>
      </c>
      <c r="K2910" s="21">
        <v>0</v>
      </c>
      <c r="L2910" s="21">
        <v>0</v>
      </c>
      <c r="M2910" s="21">
        <v>0</v>
      </c>
      <c r="N2910" s="21">
        <v>0</v>
      </c>
      <c r="O2910" s="21">
        <v>0</v>
      </c>
      <c r="P2910" s="21">
        <v>0</v>
      </c>
      <c r="Q2910" s="21">
        <v>0</v>
      </c>
      <c r="R2910" s="21">
        <v>0</v>
      </c>
      <c r="S2910" s="21">
        <v>0</v>
      </c>
      <c r="T2910" s="21">
        <v>0</v>
      </c>
      <c r="U2910" s="21">
        <v>0</v>
      </c>
      <c r="V2910" s="21">
        <v>0</v>
      </c>
      <c r="W2910" s="21">
        <v>0</v>
      </c>
      <c r="X2910" s="21">
        <v>0</v>
      </c>
      <c r="Y2910" s="21">
        <v>0</v>
      </c>
      <c r="Z2910" s="204" t="s">
        <v>2276</v>
      </c>
      <c r="AA2910" s="204" t="s">
        <v>2276</v>
      </c>
      <c r="AB2910" s="204" t="s">
        <v>2276</v>
      </c>
      <c r="AC2910" s="204"/>
      <c r="AD2910" s="204"/>
    </row>
    <row r="2911" spans="1:30" ht="33.5" customHeight="1">
      <c r="A2911" s="19" t="s">
        <v>7774</v>
      </c>
      <c r="B2911" s="204" t="s">
        <v>7849</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ht="36.5" customHeight="1">
      <c r="A2912" s="19" t="s">
        <v>7873</v>
      </c>
      <c r="B2912" s="11" t="s">
        <v>7875</v>
      </c>
      <c r="C2912" s="204" t="s">
        <v>24</v>
      </c>
      <c r="D2912" s="204" t="s">
        <v>143</v>
      </c>
      <c r="E2912" s="204" t="s">
        <v>130</v>
      </c>
      <c r="F2912" s="4" t="s">
        <v>74</v>
      </c>
      <c r="G2912" s="4" t="s">
        <v>74</v>
      </c>
      <c r="H2912" s="204" t="s">
        <v>523</v>
      </c>
      <c r="I2912" s="204"/>
      <c r="J2912" s="204" t="s">
        <v>2276</v>
      </c>
      <c r="K2912" s="21">
        <v>0.5</v>
      </c>
      <c r="L2912" s="204" t="s">
        <v>2276</v>
      </c>
      <c r="M2912" s="204" t="s">
        <v>2276</v>
      </c>
      <c r="N2912" s="204" t="s">
        <v>2276</v>
      </c>
      <c r="O2912" s="21">
        <v>2.327</v>
      </c>
      <c r="P2912" s="204" t="s">
        <v>2276</v>
      </c>
      <c r="Q2912" s="204" t="s">
        <v>2276</v>
      </c>
      <c r="R2912" s="204" t="s">
        <v>2276</v>
      </c>
      <c r="S2912" s="204" t="s">
        <v>2276</v>
      </c>
      <c r="T2912" s="204" t="s">
        <v>2276</v>
      </c>
      <c r="U2912" s="204" t="s">
        <v>2276</v>
      </c>
      <c r="V2912" s="204" t="s">
        <v>2276</v>
      </c>
      <c r="W2912" s="204" t="s">
        <v>2276</v>
      </c>
      <c r="X2912" s="204" t="s">
        <v>2276</v>
      </c>
      <c r="Y2912" s="204" t="s">
        <v>2276</v>
      </c>
      <c r="Z2912" s="204" t="s">
        <v>68</v>
      </c>
      <c r="AA2912" s="204" t="s">
        <v>35</v>
      </c>
      <c r="AB2912" s="204" t="s">
        <v>2276</v>
      </c>
      <c r="AC2912" s="204" t="s">
        <v>7884</v>
      </c>
      <c r="AD2912" s="204"/>
    </row>
    <row r="2913" spans="1:30" s="203" customFormat="1" ht="36.5" customHeight="1">
      <c r="A2913" s="19" t="s">
        <v>7873</v>
      </c>
      <c r="B2913" s="11" t="s">
        <v>7876</v>
      </c>
      <c r="C2913" s="204" t="s">
        <v>24</v>
      </c>
      <c r="D2913" s="204" t="s">
        <v>27</v>
      </c>
      <c r="E2913" s="204" t="s">
        <v>130</v>
      </c>
      <c r="F2913" s="4" t="s">
        <v>160</v>
      </c>
      <c r="G2913" s="4" t="s">
        <v>160</v>
      </c>
      <c r="H2913" s="204" t="s">
        <v>523</v>
      </c>
      <c r="I2913" s="204"/>
      <c r="J2913" s="204" t="s">
        <v>2276</v>
      </c>
      <c r="K2913" s="21">
        <v>0.5</v>
      </c>
      <c r="L2913" s="204" t="s">
        <v>2276</v>
      </c>
      <c r="M2913" s="204" t="s">
        <v>2276</v>
      </c>
      <c r="N2913" s="204" t="s">
        <v>2276</v>
      </c>
      <c r="O2913" s="21">
        <v>2.327</v>
      </c>
      <c r="P2913" s="204" t="s">
        <v>2276</v>
      </c>
      <c r="Q2913" s="204" t="s">
        <v>2276</v>
      </c>
      <c r="R2913" s="204" t="s">
        <v>2276</v>
      </c>
      <c r="S2913" s="204" t="s">
        <v>2276</v>
      </c>
      <c r="T2913" s="204" t="s">
        <v>2276</v>
      </c>
      <c r="U2913" s="204" t="s">
        <v>2276</v>
      </c>
      <c r="V2913" s="204" t="s">
        <v>2276</v>
      </c>
      <c r="W2913" s="204" t="s">
        <v>2276</v>
      </c>
      <c r="X2913" s="204" t="s">
        <v>2276</v>
      </c>
      <c r="Y2913" s="21" t="s">
        <v>2403</v>
      </c>
      <c r="Z2913" s="204" t="s">
        <v>425</v>
      </c>
      <c r="AA2913" s="204" t="s">
        <v>399</v>
      </c>
      <c r="AB2913" s="204" t="s">
        <v>2276</v>
      </c>
      <c r="AC2913" s="204"/>
      <c r="AD2913" s="204"/>
    </row>
    <row r="2914" spans="1:30" ht="47.5" customHeight="1">
      <c r="A2914" s="19" t="s">
        <v>7873</v>
      </c>
      <c r="B2914" s="11" t="s">
        <v>7877</v>
      </c>
      <c r="C2914" s="204" t="s">
        <v>24</v>
      </c>
      <c r="D2914" s="204" t="s">
        <v>143</v>
      </c>
      <c r="E2914" s="4" t="s">
        <v>3854</v>
      </c>
      <c r="F2914" s="4" t="s">
        <v>74</v>
      </c>
      <c r="G2914" s="4" t="s">
        <v>74</v>
      </c>
      <c r="H2914" s="204" t="s">
        <v>523</v>
      </c>
      <c r="I2914" s="204"/>
      <c r="J2914" s="204" t="s">
        <v>2276</v>
      </c>
      <c r="K2914" s="21">
        <v>1</v>
      </c>
      <c r="L2914" s="204" t="s">
        <v>2276</v>
      </c>
      <c r="M2914" s="21">
        <v>12.5</v>
      </c>
      <c r="N2914" s="204" t="s">
        <v>2276</v>
      </c>
      <c r="O2914" s="21">
        <v>5.4249999999999998</v>
      </c>
      <c r="P2914" s="204" t="s">
        <v>2276</v>
      </c>
      <c r="Q2914" s="204" t="s">
        <v>2276</v>
      </c>
      <c r="R2914" s="204" t="s">
        <v>2276</v>
      </c>
      <c r="S2914" s="204" t="s">
        <v>2276</v>
      </c>
      <c r="T2914" s="204" t="s">
        <v>2276</v>
      </c>
      <c r="U2914" s="204" t="s">
        <v>2276</v>
      </c>
      <c r="V2914" s="204" t="s">
        <v>2276</v>
      </c>
      <c r="W2914" s="204" t="s">
        <v>2276</v>
      </c>
      <c r="X2914" s="204" t="s">
        <v>2276</v>
      </c>
      <c r="Y2914" s="204" t="s">
        <v>2276</v>
      </c>
      <c r="Z2914" s="204" t="s">
        <v>68</v>
      </c>
      <c r="AA2914" s="204" t="s">
        <v>35</v>
      </c>
      <c r="AB2914" s="204" t="s">
        <v>2276</v>
      </c>
      <c r="AC2914" s="204"/>
      <c r="AD2914" s="204"/>
    </row>
    <row r="2915" spans="1:30" ht="47.5" customHeight="1">
      <c r="A2915" s="19" t="s">
        <v>7873</v>
      </c>
      <c r="B2915" s="11" t="s">
        <v>7878</v>
      </c>
      <c r="C2915" s="204" t="s">
        <v>24</v>
      </c>
      <c r="D2915" s="204" t="s">
        <v>25</v>
      </c>
      <c r="E2915" s="4" t="s">
        <v>3854</v>
      </c>
      <c r="F2915" s="4" t="s">
        <v>29</v>
      </c>
      <c r="G2915" s="4" t="s">
        <v>29</v>
      </c>
      <c r="H2915" s="204" t="s">
        <v>523</v>
      </c>
      <c r="I2915" s="204"/>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04" t="s">
        <v>2276</v>
      </c>
      <c r="X2915" s="204" t="s">
        <v>2276</v>
      </c>
      <c r="Y2915" s="21" t="s">
        <v>2375</v>
      </c>
      <c r="Z2915" s="204" t="s">
        <v>2276</v>
      </c>
      <c r="AA2915" s="204" t="s">
        <v>2276</v>
      </c>
      <c r="AB2915" s="204" t="s">
        <v>2276</v>
      </c>
      <c r="AC2915" s="204"/>
      <c r="AD2915" s="204"/>
    </row>
    <row r="2916" spans="1:30" ht="47.5" customHeight="1">
      <c r="A2916" s="19" t="s">
        <v>7873</v>
      </c>
      <c r="B2916" s="11" t="s">
        <v>7879</v>
      </c>
      <c r="C2916" s="204" t="s">
        <v>2458</v>
      </c>
      <c r="D2916" s="204" t="s">
        <v>25</v>
      </c>
      <c r="E2916" s="4" t="s">
        <v>3854</v>
      </c>
      <c r="F2916" s="4" t="s">
        <v>29</v>
      </c>
      <c r="G2916" s="4" t="s">
        <v>74</v>
      </c>
      <c r="H2916" s="204" t="s">
        <v>523</v>
      </c>
      <c r="I2916" s="204"/>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204"/>
      <c r="AD2916" s="204"/>
    </row>
    <row r="2917" spans="1:30" ht="36.5" customHeight="1">
      <c r="A2917" s="19" t="s">
        <v>7873</v>
      </c>
      <c r="B2917" s="11" t="s">
        <v>7880</v>
      </c>
      <c r="C2917" s="204" t="s">
        <v>24</v>
      </c>
      <c r="D2917" s="204" t="s">
        <v>143</v>
      </c>
      <c r="E2917" s="204" t="s">
        <v>45</v>
      </c>
      <c r="F2917" s="4" t="s">
        <v>74</v>
      </c>
      <c r="G2917" s="4" t="s">
        <v>74</v>
      </c>
      <c r="H2917" s="204" t="s">
        <v>523</v>
      </c>
      <c r="I2917" s="204"/>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68</v>
      </c>
      <c r="AA2917" s="204" t="s">
        <v>35</v>
      </c>
      <c r="AB2917" s="204" t="s">
        <v>2276</v>
      </c>
      <c r="AC2917" s="204"/>
      <c r="AD2917" s="204"/>
    </row>
    <row r="2918" spans="1:30" ht="36.5" customHeight="1">
      <c r="A2918" s="19" t="s">
        <v>7873</v>
      </c>
      <c r="B2918" s="11" t="s">
        <v>7881</v>
      </c>
      <c r="C2918" s="204" t="s">
        <v>24</v>
      </c>
      <c r="D2918" s="204" t="s">
        <v>25</v>
      </c>
      <c r="E2918" s="204" t="s">
        <v>45</v>
      </c>
      <c r="F2918" s="4" t="s">
        <v>29</v>
      </c>
      <c r="G2918" s="4" t="s">
        <v>29</v>
      </c>
      <c r="H2918" s="204" t="s">
        <v>523</v>
      </c>
      <c r="I2918" s="204"/>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04" t="s">
        <v>2276</v>
      </c>
      <c r="X2918" s="204" t="s">
        <v>2276</v>
      </c>
      <c r="Y2918" s="21" t="s">
        <v>2375</v>
      </c>
      <c r="Z2918" s="204" t="s">
        <v>2276</v>
      </c>
      <c r="AA2918" s="204" t="s">
        <v>2276</v>
      </c>
      <c r="AB2918" s="204" t="s">
        <v>2276</v>
      </c>
      <c r="AC2918" s="204"/>
      <c r="AD2918" s="204"/>
    </row>
    <row r="2919" spans="1:30" ht="36.5" customHeight="1">
      <c r="A2919" s="19" t="s">
        <v>7873</v>
      </c>
      <c r="B2919" s="11" t="s">
        <v>7882</v>
      </c>
      <c r="C2919" s="204" t="s">
        <v>2458</v>
      </c>
      <c r="D2919" s="204" t="s">
        <v>25</v>
      </c>
      <c r="E2919" s="204" t="s">
        <v>45</v>
      </c>
      <c r="F2919" s="4" t="s">
        <v>29</v>
      </c>
      <c r="G2919" s="4" t="s">
        <v>74</v>
      </c>
      <c r="H2919" s="204" t="s">
        <v>523</v>
      </c>
      <c r="I2919" s="204"/>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t="s">
        <v>2276</v>
      </c>
      <c r="AB2919" s="204" t="s">
        <v>2276</v>
      </c>
      <c r="AC2919" s="204"/>
      <c r="AD2919" s="204"/>
    </row>
    <row r="2920" spans="1:30" ht="49" customHeight="1">
      <c r="A2920" s="19" t="s">
        <v>7886</v>
      </c>
      <c r="B2920" s="11" t="s">
        <v>7890</v>
      </c>
      <c r="C2920" s="204" t="s">
        <v>24</v>
      </c>
      <c r="D2920" s="204" t="s">
        <v>25</v>
      </c>
      <c r="E2920" s="204" t="s">
        <v>45</v>
      </c>
      <c r="F2920" s="4" t="s">
        <v>55</v>
      </c>
      <c r="G2920" s="4" t="s">
        <v>55</v>
      </c>
      <c r="H2920" s="204" t="s">
        <v>523</v>
      </c>
      <c r="I2920" s="204"/>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204" t="s">
        <v>2276</v>
      </c>
      <c r="AB2920" s="204" t="s">
        <v>2276</v>
      </c>
      <c r="AC2920" s="4" t="s">
        <v>7892</v>
      </c>
      <c r="AD2920" s="204" t="s">
        <v>7894</v>
      </c>
    </row>
    <row r="2921" spans="1:30" ht="49" customHeight="1">
      <c r="A2921" s="19" t="s">
        <v>7886</v>
      </c>
      <c r="B2921" s="11" t="s">
        <v>7891</v>
      </c>
      <c r="C2921" s="204" t="s">
        <v>24</v>
      </c>
      <c r="D2921" s="204" t="s">
        <v>25</v>
      </c>
      <c r="E2921" s="204" t="s">
        <v>5005</v>
      </c>
      <c r="F2921" s="4" t="s">
        <v>55</v>
      </c>
      <c r="G2921" s="4" t="s">
        <v>55</v>
      </c>
      <c r="H2921" s="204" t="s">
        <v>523</v>
      </c>
      <c r="I2921" s="204"/>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4" t="s">
        <v>7893</v>
      </c>
      <c r="AD2921" s="204" t="s">
        <v>7894</v>
      </c>
    </row>
    <row r="2922" spans="1:30" ht="33.5" customHeight="1">
      <c r="A2922" s="204" t="s">
        <v>7895</v>
      </c>
      <c r="B2922" s="11" t="s">
        <v>7898</v>
      </c>
      <c r="C2922" s="204" t="s">
        <v>24</v>
      </c>
      <c r="D2922" s="204" t="s">
        <v>144</v>
      </c>
      <c r="E2922" s="204" t="s">
        <v>137</v>
      </c>
      <c r="F2922" s="4" t="s">
        <v>2276</v>
      </c>
      <c r="G2922" s="4" t="s">
        <v>2276</v>
      </c>
      <c r="H2922" s="204" t="s">
        <v>524</v>
      </c>
      <c r="I2922" s="204"/>
      <c r="J2922" s="21">
        <v>0</v>
      </c>
      <c r="K2922" s="21">
        <v>0</v>
      </c>
      <c r="L2922" s="21">
        <v>0</v>
      </c>
      <c r="M2922" s="21">
        <v>0</v>
      </c>
      <c r="N2922" s="21">
        <v>0</v>
      </c>
      <c r="O2922" s="21">
        <v>0</v>
      </c>
      <c r="P2922" s="21">
        <v>0</v>
      </c>
      <c r="Q2922" s="21">
        <v>0</v>
      </c>
      <c r="R2922" s="21">
        <v>0</v>
      </c>
      <c r="S2922" s="21">
        <v>0</v>
      </c>
      <c r="T2922" s="21">
        <v>0</v>
      </c>
      <c r="U2922" s="21">
        <v>0</v>
      </c>
      <c r="V2922" s="21">
        <v>0</v>
      </c>
      <c r="W2922" s="21">
        <v>0</v>
      </c>
      <c r="X2922" s="204" t="s">
        <v>2276</v>
      </c>
      <c r="Y2922" s="204" t="s">
        <v>2276</v>
      </c>
      <c r="Z2922" s="204" t="s">
        <v>2276</v>
      </c>
      <c r="AA2922" s="204" t="s">
        <v>2276</v>
      </c>
      <c r="AB2922" s="204" t="s">
        <v>2276</v>
      </c>
      <c r="AC2922" s="204"/>
      <c r="AD2922" s="204"/>
    </row>
    <row r="2923" spans="1:30" ht="33.5" customHeight="1">
      <c r="A2923" s="204" t="s">
        <v>7895</v>
      </c>
      <c r="B2923" s="11" t="s">
        <v>7899</v>
      </c>
      <c r="C2923" s="204" t="s">
        <v>24</v>
      </c>
      <c r="D2923" s="204" t="s">
        <v>25</v>
      </c>
      <c r="E2923" s="204" t="s">
        <v>45</v>
      </c>
      <c r="F2923" s="4" t="s">
        <v>2276</v>
      </c>
      <c r="G2923" s="4" t="s">
        <v>2276</v>
      </c>
      <c r="H2923" s="204" t="s">
        <v>524</v>
      </c>
      <c r="I2923" s="204"/>
      <c r="J2923" s="21">
        <v>0</v>
      </c>
      <c r="K2923" s="21">
        <v>0</v>
      </c>
      <c r="L2923" s="21">
        <v>0</v>
      </c>
      <c r="M2923" s="21">
        <v>0</v>
      </c>
      <c r="N2923" s="21">
        <v>0</v>
      </c>
      <c r="O2923" s="21">
        <v>0</v>
      </c>
      <c r="P2923" s="21">
        <v>0</v>
      </c>
      <c r="Q2923" s="21">
        <v>0</v>
      </c>
      <c r="R2923" s="21">
        <v>0</v>
      </c>
      <c r="S2923" s="21">
        <v>0</v>
      </c>
      <c r="T2923" s="21">
        <v>0</v>
      </c>
      <c r="U2923" s="21">
        <v>0</v>
      </c>
      <c r="V2923" s="21">
        <v>0</v>
      </c>
      <c r="W2923" s="21">
        <v>0</v>
      </c>
      <c r="X2923" s="204" t="s">
        <v>2276</v>
      </c>
      <c r="Y2923" s="204" t="s">
        <v>2276</v>
      </c>
      <c r="Z2923" s="204" t="s">
        <v>2276</v>
      </c>
      <c r="AA2923" s="204" t="s">
        <v>2276</v>
      </c>
      <c r="AB2923" s="204" t="s">
        <v>2276</v>
      </c>
      <c r="AC2923" s="204"/>
      <c r="AD2923" s="204"/>
    </row>
    <row r="2924" spans="1:30" ht="32" customHeight="1">
      <c r="A2924" s="204" t="s">
        <v>7901</v>
      </c>
      <c r="B2924" s="11" t="s">
        <v>7903</v>
      </c>
      <c r="C2924" s="204" t="s">
        <v>2658</v>
      </c>
      <c r="D2924" s="204" t="s">
        <v>2276</v>
      </c>
      <c r="E2924" s="204" t="s">
        <v>2276</v>
      </c>
      <c r="F2924" s="204" t="s">
        <v>2276</v>
      </c>
      <c r="G2924" s="4" t="s">
        <v>2662</v>
      </c>
      <c r="H2924" s="204" t="s">
        <v>523</v>
      </c>
      <c r="I2924" s="204"/>
      <c r="J2924" s="204" t="s">
        <v>2276</v>
      </c>
      <c r="K2924" s="204" t="s">
        <v>2276</v>
      </c>
      <c r="L2924" s="204" t="s">
        <v>2276</v>
      </c>
      <c r="M2924" s="204" t="s">
        <v>2276</v>
      </c>
      <c r="N2924" s="204" t="s">
        <v>2276</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t="s">
        <v>2276</v>
      </c>
      <c r="AB2924" s="204" t="s">
        <v>2276</v>
      </c>
      <c r="AC2924" s="204"/>
      <c r="AD2924" s="204"/>
    </row>
    <row r="2925" spans="1:30" ht="31.5" customHeight="1">
      <c r="A2925" s="55" t="s">
        <v>7907</v>
      </c>
      <c r="B2925" s="55" t="s">
        <v>7918</v>
      </c>
      <c r="C2925" s="204" t="s">
        <v>24</v>
      </c>
      <c r="D2925" s="204" t="s">
        <v>144</v>
      </c>
      <c r="E2925" s="204" t="s">
        <v>137</v>
      </c>
      <c r="F2925" s="4" t="s">
        <v>2662</v>
      </c>
      <c r="G2925" s="4" t="s">
        <v>2662</v>
      </c>
      <c r="H2925" s="204" t="s">
        <v>523</v>
      </c>
      <c r="I2925" s="204"/>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2276</v>
      </c>
      <c r="Y2925" s="21">
        <v>2</v>
      </c>
      <c r="Z2925" s="204" t="s">
        <v>425</v>
      </c>
      <c r="AA2925" s="204" t="s">
        <v>68</v>
      </c>
      <c r="AB2925" s="204" t="s">
        <v>2655</v>
      </c>
      <c r="AC2925" s="204" t="s">
        <v>7926</v>
      </c>
      <c r="AD2925" s="204"/>
    </row>
    <row r="2926" spans="1:30" ht="31.5" customHeight="1">
      <c r="A2926" s="19" t="s">
        <v>7910</v>
      </c>
      <c r="B2926" s="19" t="s">
        <v>7919</v>
      </c>
      <c r="C2926" s="204" t="s">
        <v>24</v>
      </c>
      <c r="D2926" s="204" t="s">
        <v>144</v>
      </c>
      <c r="E2926" s="204" t="s">
        <v>137</v>
      </c>
      <c r="F2926" s="4" t="s">
        <v>2662</v>
      </c>
      <c r="G2926" s="4" t="s">
        <v>2662</v>
      </c>
      <c r="H2926" s="204" t="s">
        <v>523</v>
      </c>
      <c r="I2926" s="204"/>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2276</v>
      </c>
      <c r="Y2926" s="21">
        <v>2</v>
      </c>
      <c r="Z2926" s="204" t="s">
        <v>425</v>
      </c>
      <c r="AA2926" s="204" t="s">
        <v>68</v>
      </c>
      <c r="AB2926" s="204" t="s">
        <v>2655</v>
      </c>
      <c r="AC2926" s="204" t="s">
        <v>7926</v>
      </c>
      <c r="AD2926" s="204"/>
    </row>
    <row r="2927" spans="1:30" ht="31.5" customHeight="1">
      <c r="A2927" s="19" t="s">
        <v>7911</v>
      </c>
      <c r="B2927" s="19" t="s">
        <v>7920</v>
      </c>
      <c r="C2927" s="204" t="s">
        <v>24</v>
      </c>
      <c r="D2927" s="204" t="s">
        <v>144</v>
      </c>
      <c r="E2927" s="204" t="s">
        <v>137</v>
      </c>
      <c r="F2927" s="4" t="s">
        <v>2662</v>
      </c>
      <c r="G2927" s="4" t="s">
        <v>2662</v>
      </c>
      <c r="H2927" s="204" t="s">
        <v>523</v>
      </c>
      <c r="I2927" s="204"/>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2276</v>
      </c>
      <c r="Y2927" s="21">
        <v>2</v>
      </c>
      <c r="Z2927" s="204" t="s">
        <v>425</v>
      </c>
      <c r="AA2927" s="204" t="s">
        <v>68</v>
      </c>
      <c r="AB2927" s="204" t="s">
        <v>2655</v>
      </c>
      <c r="AC2927" s="204" t="s">
        <v>7926</v>
      </c>
      <c r="AD2927" s="204"/>
    </row>
    <row r="2928" spans="1:30" ht="31.5" customHeight="1">
      <c r="A2928" s="19" t="s">
        <v>7912</v>
      </c>
      <c r="B2928" s="19" t="s">
        <v>7921</v>
      </c>
      <c r="C2928" s="204" t="s">
        <v>24</v>
      </c>
      <c r="D2928" s="204" t="s">
        <v>144</v>
      </c>
      <c r="E2928" s="204" t="s">
        <v>137</v>
      </c>
      <c r="F2928" s="4" t="s">
        <v>2662</v>
      </c>
      <c r="G2928" s="4" t="s">
        <v>2662</v>
      </c>
      <c r="H2928" s="204" t="s">
        <v>523</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1">
        <v>2</v>
      </c>
      <c r="Z2928" s="204" t="s">
        <v>425</v>
      </c>
      <c r="AA2928" s="204" t="s">
        <v>68</v>
      </c>
      <c r="AB2928" s="204" t="s">
        <v>2655</v>
      </c>
      <c r="AC2928" s="204" t="s">
        <v>7926</v>
      </c>
      <c r="AD2928" s="204"/>
    </row>
    <row r="2929" spans="1:30" ht="31.5" customHeight="1">
      <c r="A2929" s="19" t="s">
        <v>7913</v>
      </c>
      <c r="B2929" s="19" t="s">
        <v>7922</v>
      </c>
      <c r="C2929" s="204" t="s">
        <v>24</v>
      </c>
      <c r="D2929" s="204" t="s">
        <v>25</v>
      </c>
      <c r="E2929" s="204" t="s">
        <v>2647</v>
      </c>
      <c r="F2929" s="4" t="s">
        <v>29</v>
      </c>
      <c r="G2929" s="4" t="s">
        <v>29</v>
      </c>
      <c r="H2929" s="204" t="s">
        <v>523</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1">
        <v>2</v>
      </c>
      <c r="Z2929" s="204" t="s">
        <v>425</v>
      </c>
      <c r="AA2929" s="204" t="s">
        <v>68</v>
      </c>
      <c r="AB2929" s="204" t="s">
        <v>2655</v>
      </c>
      <c r="AC2929" s="204" t="s">
        <v>7926</v>
      </c>
      <c r="AD2929" s="204"/>
    </row>
    <row r="2930" spans="1:30" ht="31.5" customHeight="1">
      <c r="A2930" s="19" t="s">
        <v>7914</v>
      </c>
      <c r="B2930" s="19" t="s">
        <v>7923</v>
      </c>
      <c r="C2930" s="204" t="s">
        <v>24</v>
      </c>
      <c r="D2930" s="204" t="s">
        <v>25</v>
      </c>
      <c r="E2930" s="204" t="s">
        <v>2647</v>
      </c>
      <c r="F2930" s="4" t="s">
        <v>29</v>
      </c>
      <c r="G2930" s="4" t="s">
        <v>29</v>
      </c>
      <c r="H2930" s="204" t="s">
        <v>523</v>
      </c>
      <c r="I2930" s="204"/>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1">
        <v>2</v>
      </c>
      <c r="Z2930" s="204" t="s">
        <v>425</v>
      </c>
      <c r="AA2930" s="204" t="s">
        <v>68</v>
      </c>
      <c r="AB2930" s="204" t="s">
        <v>2655</v>
      </c>
      <c r="AC2930" s="204" t="s">
        <v>7926</v>
      </c>
      <c r="AD2930" s="204"/>
    </row>
    <row r="2931" spans="1:30" ht="31.5" customHeight="1">
      <c r="A2931" s="19" t="s">
        <v>7915</v>
      </c>
      <c r="B2931" s="19" t="s">
        <v>7924</v>
      </c>
      <c r="C2931" s="204" t="s">
        <v>24</v>
      </c>
      <c r="D2931" s="204" t="s">
        <v>25</v>
      </c>
      <c r="E2931" s="204" t="s">
        <v>2647</v>
      </c>
      <c r="F2931" s="4" t="s">
        <v>29</v>
      </c>
      <c r="G2931" s="4" t="s">
        <v>29</v>
      </c>
      <c r="H2931" s="204" t="s">
        <v>523</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1">
        <v>2</v>
      </c>
      <c r="Z2931" s="204" t="s">
        <v>425</v>
      </c>
      <c r="AA2931" s="204" t="s">
        <v>68</v>
      </c>
      <c r="AB2931" s="204" t="s">
        <v>2655</v>
      </c>
      <c r="AC2931" s="204" t="s">
        <v>7926</v>
      </c>
      <c r="AD2931" s="204"/>
    </row>
    <row r="2932" spans="1:30" ht="31.5" customHeight="1">
      <c r="A2932" s="19" t="s">
        <v>7916</v>
      </c>
      <c r="B2932" s="19" t="s">
        <v>7925</v>
      </c>
      <c r="C2932" s="204" t="s">
        <v>24</v>
      </c>
      <c r="D2932" s="204" t="s">
        <v>25</v>
      </c>
      <c r="E2932" s="204" t="s">
        <v>5005</v>
      </c>
      <c r="F2932" s="4" t="s">
        <v>2662</v>
      </c>
      <c r="G2932" s="4" t="s">
        <v>2662</v>
      </c>
      <c r="H2932" s="204" t="s">
        <v>524</v>
      </c>
      <c r="I2932" s="204"/>
      <c r="J2932" s="21">
        <v>0</v>
      </c>
      <c r="K2932" s="21">
        <v>0</v>
      </c>
      <c r="L2932" s="21">
        <v>0</v>
      </c>
      <c r="M2932" s="21">
        <v>0</v>
      </c>
      <c r="N2932" s="21">
        <v>0</v>
      </c>
      <c r="O2932" s="21">
        <v>0</v>
      </c>
      <c r="P2932" s="21">
        <v>0</v>
      </c>
      <c r="Q2932" s="21">
        <v>0</v>
      </c>
      <c r="R2932" s="21">
        <v>0</v>
      </c>
      <c r="S2932" s="21">
        <v>0</v>
      </c>
      <c r="T2932" s="21">
        <v>0</v>
      </c>
      <c r="U2932" s="21">
        <v>0</v>
      </c>
      <c r="V2932" s="21">
        <v>0</v>
      </c>
      <c r="W2932" s="21">
        <v>0</v>
      </c>
      <c r="X2932" s="204" t="s">
        <v>2276</v>
      </c>
      <c r="Y2932" s="204" t="s">
        <v>2276</v>
      </c>
      <c r="Z2932" s="204" t="s">
        <v>2276</v>
      </c>
      <c r="AA2932" s="204" t="s">
        <v>2276</v>
      </c>
      <c r="AB2932" s="204" t="s">
        <v>2276</v>
      </c>
      <c r="AC2932" s="204"/>
      <c r="AD2932" s="204"/>
    </row>
    <row r="2933" spans="1:30" ht="31.5" customHeight="1">
      <c r="A2933" s="19" t="s">
        <v>7930</v>
      </c>
      <c r="B2933" s="19" t="s">
        <v>7934</v>
      </c>
      <c r="C2933" s="204" t="s">
        <v>24</v>
      </c>
      <c r="D2933" s="204" t="s">
        <v>144</v>
      </c>
      <c r="E2933" s="204" t="s">
        <v>137</v>
      </c>
      <c r="F2933" s="4" t="s">
        <v>2662</v>
      </c>
      <c r="G2933" s="4" t="s">
        <v>2662</v>
      </c>
      <c r="H2933" s="204" t="s">
        <v>524</v>
      </c>
      <c r="I2933" s="204"/>
      <c r="J2933" s="21">
        <v>0</v>
      </c>
      <c r="K2933" s="21">
        <v>0</v>
      </c>
      <c r="L2933" s="21">
        <v>0</v>
      </c>
      <c r="M2933" s="21">
        <v>0</v>
      </c>
      <c r="N2933" s="21">
        <v>0</v>
      </c>
      <c r="O2933" s="21">
        <v>0</v>
      </c>
      <c r="P2933" s="21">
        <v>0</v>
      </c>
      <c r="Q2933" s="21">
        <v>0</v>
      </c>
      <c r="R2933" s="21">
        <v>0</v>
      </c>
      <c r="S2933" s="21">
        <v>0</v>
      </c>
      <c r="T2933" s="21">
        <v>0</v>
      </c>
      <c r="U2933" s="21">
        <v>0</v>
      </c>
      <c r="V2933" s="21">
        <v>0</v>
      </c>
      <c r="W2933" s="21">
        <v>0</v>
      </c>
      <c r="X2933" s="204" t="s">
        <v>2276</v>
      </c>
      <c r="Y2933" s="204" t="s">
        <v>2276</v>
      </c>
      <c r="Z2933" s="204" t="s">
        <v>2276</v>
      </c>
      <c r="AA2933" s="204" t="s">
        <v>2276</v>
      </c>
      <c r="AB2933" s="204" t="s">
        <v>2276</v>
      </c>
      <c r="AC2933" s="204"/>
      <c r="AD2933" s="204"/>
    </row>
    <row r="2934" spans="1:30" ht="31.5" customHeight="1">
      <c r="A2934" s="19" t="s">
        <v>7930</v>
      </c>
      <c r="B2934" s="19" t="s">
        <v>7935</v>
      </c>
      <c r="C2934" s="204" t="s">
        <v>24</v>
      </c>
      <c r="D2934" s="204" t="s">
        <v>25</v>
      </c>
      <c r="E2934" s="204" t="s">
        <v>45</v>
      </c>
      <c r="F2934" s="4" t="s">
        <v>2662</v>
      </c>
      <c r="G2934" s="4" t="s">
        <v>2662</v>
      </c>
      <c r="H2934" s="204" t="s">
        <v>523</v>
      </c>
      <c r="I2934" s="204"/>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204"/>
      <c r="AD2934" s="204"/>
    </row>
    <row r="2935" spans="1:30" ht="31.5" customHeight="1">
      <c r="A2935" s="19" t="s">
        <v>7930</v>
      </c>
      <c r="B2935" s="19" t="s">
        <v>7936</v>
      </c>
      <c r="C2935" s="204" t="s">
        <v>1105</v>
      </c>
      <c r="D2935" s="204" t="s">
        <v>1105</v>
      </c>
      <c r="E2935" s="204" t="s">
        <v>1105</v>
      </c>
      <c r="F2935" s="204" t="s">
        <v>2276</v>
      </c>
      <c r="G2935" s="4" t="s">
        <v>2662</v>
      </c>
      <c r="H2935" s="204" t="s">
        <v>523</v>
      </c>
      <c r="I2935" s="204"/>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1">
        <v>6</v>
      </c>
      <c r="W2935" s="204" t="s">
        <v>2276</v>
      </c>
      <c r="X2935" s="21">
        <v>3</v>
      </c>
      <c r="Y2935" s="204" t="s">
        <v>2276</v>
      </c>
      <c r="Z2935" s="204" t="s">
        <v>2276</v>
      </c>
      <c r="AA2935" s="204" t="s">
        <v>2276</v>
      </c>
      <c r="AB2935" s="204" t="s">
        <v>2276</v>
      </c>
      <c r="AC2935" s="204"/>
      <c r="AD2935" s="204"/>
    </row>
    <row r="2936" spans="1:30" ht="35.5" customHeight="1">
      <c r="A2936" s="19" t="s">
        <v>7930</v>
      </c>
      <c r="B2936" s="19" t="s">
        <v>7937</v>
      </c>
      <c r="C2936" s="204" t="s">
        <v>31</v>
      </c>
      <c r="D2936" s="204" t="s">
        <v>2276</v>
      </c>
      <c r="E2936" s="204" t="s">
        <v>2276</v>
      </c>
      <c r="F2936" s="204" t="s">
        <v>2276</v>
      </c>
      <c r="G2936" s="4" t="s">
        <v>2662</v>
      </c>
      <c r="H2936" s="204" t="s">
        <v>523</v>
      </c>
      <c r="I2936" s="204"/>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t="s">
        <v>2276</v>
      </c>
      <c r="AB2936" s="204" t="s">
        <v>2276</v>
      </c>
      <c r="AC2936" s="204"/>
      <c r="AD2936" s="204"/>
    </row>
    <row r="2937" spans="1:30" ht="32" customHeight="1">
      <c r="A2937" s="19" t="s">
        <v>7939</v>
      </c>
      <c r="B2937" s="19" t="s">
        <v>7958</v>
      </c>
      <c r="C2937" s="204" t="s">
        <v>1105</v>
      </c>
      <c r="D2937" s="204" t="s">
        <v>2276</v>
      </c>
      <c r="E2937" s="204" t="s">
        <v>2276</v>
      </c>
      <c r="F2937" s="204" t="s">
        <v>2276</v>
      </c>
      <c r="G2937" s="204" t="s">
        <v>2276</v>
      </c>
      <c r="H2937" s="204" t="s">
        <v>523</v>
      </c>
      <c r="I2937" s="204"/>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38</v>
      </c>
      <c r="AA2937" s="204" t="s">
        <v>425</v>
      </c>
      <c r="AB2937" s="204" t="s">
        <v>64</v>
      </c>
      <c r="AC2937" s="204"/>
      <c r="AD2937" s="4" t="s">
        <v>7968</v>
      </c>
    </row>
    <row r="2938" spans="1:30" ht="32" customHeight="1">
      <c r="A2938" s="19" t="s">
        <v>7939</v>
      </c>
      <c r="B2938" s="19" t="s">
        <v>7959</v>
      </c>
      <c r="C2938" s="204" t="s">
        <v>1105</v>
      </c>
      <c r="D2938" s="204" t="s">
        <v>2276</v>
      </c>
      <c r="E2938" s="204" t="s">
        <v>2276</v>
      </c>
      <c r="F2938" s="204" t="s">
        <v>2276</v>
      </c>
      <c r="G2938" s="204" t="s">
        <v>2276</v>
      </c>
      <c r="H2938" s="204" t="s">
        <v>523</v>
      </c>
      <c r="I2938" s="204"/>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04" t="s">
        <v>2276</v>
      </c>
      <c r="Z2938" s="204" t="s">
        <v>38</v>
      </c>
      <c r="AA2938" s="204" t="s">
        <v>425</v>
      </c>
      <c r="AB2938" s="204" t="s">
        <v>64</v>
      </c>
      <c r="AC2938" s="204"/>
      <c r="AD2938" s="4" t="s">
        <v>7968</v>
      </c>
    </row>
    <row r="2939" spans="1:30" ht="32" customHeight="1">
      <c r="A2939" s="19" t="s">
        <v>7939</v>
      </c>
      <c r="B2939" s="19" t="s">
        <v>7960</v>
      </c>
      <c r="C2939" s="204" t="s">
        <v>1105</v>
      </c>
      <c r="D2939" s="204" t="s">
        <v>2276</v>
      </c>
      <c r="E2939" s="204" t="s">
        <v>2276</v>
      </c>
      <c r="F2939" s="204" t="s">
        <v>2276</v>
      </c>
      <c r="G2939" s="204" t="s">
        <v>2276</v>
      </c>
      <c r="H2939" s="204" t="s">
        <v>523</v>
      </c>
      <c r="I2939" s="204"/>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04" t="s">
        <v>2276</v>
      </c>
      <c r="Z2939" s="204" t="s">
        <v>38</v>
      </c>
      <c r="AA2939" s="204" t="s">
        <v>425</v>
      </c>
      <c r="AB2939" s="204" t="s">
        <v>64</v>
      </c>
      <c r="AC2939" s="204"/>
      <c r="AD2939" s="4" t="s">
        <v>7968</v>
      </c>
    </row>
    <row r="2940" spans="1:30" ht="32" customHeight="1">
      <c r="A2940" s="19" t="s">
        <v>7939</v>
      </c>
      <c r="B2940" s="19" t="s">
        <v>7961</v>
      </c>
      <c r="C2940" s="204" t="s">
        <v>1105</v>
      </c>
      <c r="D2940" s="204" t="s">
        <v>2276</v>
      </c>
      <c r="E2940" s="204" t="s">
        <v>2276</v>
      </c>
      <c r="F2940" s="204" t="s">
        <v>2276</v>
      </c>
      <c r="G2940" s="204" t="s">
        <v>2276</v>
      </c>
      <c r="H2940" s="204" t="s">
        <v>523</v>
      </c>
      <c r="I2940" s="204"/>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04" t="s">
        <v>2276</v>
      </c>
      <c r="Z2940" s="204" t="s">
        <v>38</v>
      </c>
      <c r="AA2940" s="204" t="s">
        <v>425</v>
      </c>
      <c r="AB2940" s="204" t="s">
        <v>64</v>
      </c>
      <c r="AC2940" s="204"/>
      <c r="AD2940" s="4" t="s">
        <v>7968</v>
      </c>
    </row>
    <row r="2941" spans="1:30" ht="32" customHeight="1">
      <c r="A2941" s="19" t="s">
        <v>7939</v>
      </c>
      <c r="B2941" s="19" t="s">
        <v>7962</v>
      </c>
      <c r="C2941" s="204" t="s">
        <v>1105</v>
      </c>
      <c r="D2941" s="204" t="s">
        <v>2276</v>
      </c>
      <c r="E2941" s="204" t="s">
        <v>2276</v>
      </c>
      <c r="F2941" s="204" t="s">
        <v>2276</v>
      </c>
      <c r="G2941" s="204" t="s">
        <v>2276</v>
      </c>
      <c r="H2941" s="204" t="s">
        <v>523</v>
      </c>
      <c r="I2941" s="204"/>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04" t="s">
        <v>2276</v>
      </c>
      <c r="Z2941" s="204" t="s">
        <v>38</v>
      </c>
      <c r="AA2941" s="204" t="s">
        <v>425</v>
      </c>
      <c r="AB2941" s="204" t="s">
        <v>64</v>
      </c>
      <c r="AC2941" s="204"/>
      <c r="AD2941" s="4" t="s">
        <v>7968</v>
      </c>
    </row>
    <row r="2942" spans="1:30" ht="32" customHeight="1">
      <c r="A2942" s="19" t="s">
        <v>7940</v>
      </c>
      <c r="B2942" s="19" t="s">
        <v>7963</v>
      </c>
      <c r="C2942" s="204" t="s">
        <v>1105</v>
      </c>
      <c r="D2942" s="204" t="s">
        <v>2276</v>
      </c>
      <c r="E2942" s="204" t="s">
        <v>2276</v>
      </c>
      <c r="F2942" s="204" t="s">
        <v>2276</v>
      </c>
      <c r="G2942" s="204" t="s">
        <v>2276</v>
      </c>
      <c r="H2942" s="204" t="s">
        <v>523</v>
      </c>
      <c r="I2942" s="204"/>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2276</v>
      </c>
      <c r="Y2942" s="204" t="s">
        <v>2276</v>
      </c>
      <c r="Z2942" s="204" t="s">
        <v>38</v>
      </c>
      <c r="AA2942" s="204" t="s">
        <v>425</v>
      </c>
      <c r="AB2942" s="204" t="s">
        <v>64</v>
      </c>
      <c r="AC2942" s="204"/>
      <c r="AD2942" s="4" t="s">
        <v>7968</v>
      </c>
    </row>
    <row r="2943" spans="1:30" ht="32" customHeight="1">
      <c r="A2943" s="19" t="s">
        <v>7940</v>
      </c>
      <c r="B2943" s="19" t="s">
        <v>7964</v>
      </c>
      <c r="C2943" s="204" t="s">
        <v>1105</v>
      </c>
      <c r="D2943" s="204" t="s">
        <v>2276</v>
      </c>
      <c r="E2943" s="204" t="s">
        <v>2276</v>
      </c>
      <c r="F2943" s="204" t="s">
        <v>2276</v>
      </c>
      <c r="G2943" s="204" t="s">
        <v>2276</v>
      </c>
      <c r="H2943" s="204" t="s">
        <v>523</v>
      </c>
      <c r="I2943" s="204"/>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04" t="s">
        <v>2276</v>
      </c>
      <c r="Z2943" s="204" t="s">
        <v>38</v>
      </c>
      <c r="AA2943" s="204" t="s">
        <v>425</v>
      </c>
      <c r="AB2943" s="204" t="s">
        <v>64</v>
      </c>
      <c r="AC2943" s="204"/>
      <c r="AD2943" s="4" t="s">
        <v>7968</v>
      </c>
    </row>
    <row r="2944" spans="1:30" ht="32" customHeight="1">
      <c r="A2944" s="19" t="s">
        <v>7940</v>
      </c>
      <c r="B2944" s="19" t="s">
        <v>7965</v>
      </c>
      <c r="C2944" s="204" t="s">
        <v>1105</v>
      </c>
      <c r="D2944" s="204" t="s">
        <v>2276</v>
      </c>
      <c r="E2944" s="204" t="s">
        <v>2276</v>
      </c>
      <c r="F2944" s="204" t="s">
        <v>2276</v>
      </c>
      <c r="G2944" s="204" t="s">
        <v>2276</v>
      </c>
      <c r="H2944" s="204" t="s">
        <v>523</v>
      </c>
      <c r="I2944" s="204"/>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04" t="s">
        <v>2276</v>
      </c>
      <c r="Z2944" s="204" t="s">
        <v>38</v>
      </c>
      <c r="AA2944" s="204" t="s">
        <v>425</v>
      </c>
      <c r="AB2944" s="204" t="s">
        <v>64</v>
      </c>
      <c r="AC2944" s="204"/>
      <c r="AD2944" s="4" t="s">
        <v>7968</v>
      </c>
    </row>
    <row r="2945" spans="1:30" ht="32" customHeight="1">
      <c r="A2945" s="19" t="s">
        <v>7940</v>
      </c>
      <c r="B2945" s="19" t="s">
        <v>7966</v>
      </c>
      <c r="C2945" s="204" t="s">
        <v>1105</v>
      </c>
      <c r="D2945" s="204" t="s">
        <v>2276</v>
      </c>
      <c r="E2945" s="204" t="s">
        <v>2276</v>
      </c>
      <c r="F2945" s="204" t="s">
        <v>2276</v>
      </c>
      <c r="G2945" s="204" t="s">
        <v>2276</v>
      </c>
      <c r="H2945" s="204" t="s">
        <v>523</v>
      </c>
      <c r="I2945" s="204"/>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04" t="s">
        <v>2276</v>
      </c>
      <c r="W2945" s="204" t="s">
        <v>2276</v>
      </c>
      <c r="X2945" s="204" t="s">
        <v>2276</v>
      </c>
      <c r="Y2945" s="204" t="s">
        <v>2276</v>
      </c>
      <c r="Z2945" s="204" t="s">
        <v>38</v>
      </c>
      <c r="AA2945" s="204" t="s">
        <v>425</v>
      </c>
      <c r="AB2945" s="204" t="s">
        <v>64</v>
      </c>
      <c r="AC2945" s="204"/>
      <c r="AD2945" s="4" t="s">
        <v>7968</v>
      </c>
    </row>
    <row r="2946" spans="1:30" ht="32" customHeight="1">
      <c r="A2946" s="19" t="s">
        <v>7940</v>
      </c>
      <c r="B2946" s="19" t="s">
        <v>7967</v>
      </c>
      <c r="C2946" s="204" t="s">
        <v>1105</v>
      </c>
      <c r="D2946" s="204" t="s">
        <v>2276</v>
      </c>
      <c r="E2946" s="204" t="s">
        <v>2276</v>
      </c>
      <c r="F2946" s="204" t="s">
        <v>2276</v>
      </c>
      <c r="G2946" s="204" t="s">
        <v>2276</v>
      </c>
      <c r="H2946" s="204" t="s">
        <v>523</v>
      </c>
      <c r="I2946" s="204"/>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04" t="s">
        <v>2276</v>
      </c>
      <c r="W2946" s="204" t="s">
        <v>2276</v>
      </c>
      <c r="X2946" s="204" t="s">
        <v>2276</v>
      </c>
      <c r="Y2946" s="204" t="s">
        <v>2276</v>
      </c>
      <c r="Z2946" s="204" t="s">
        <v>38</v>
      </c>
      <c r="AA2946" s="204" t="s">
        <v>425</v>
      </c>
      <c r="AB2946" s="204" t="s">
        <v>64</v>
      </c>
      <c r="AC2946" s="204"/>
      <c r="AD2946" s="4" t="s">
        <v>7968</v>
      </c>
    </row>
    <row r="2947" spans="1:30" ht="45.5" customHeight="1">
      <c r="A2947" s="19" t="s">
        <v>7940</v>
      </c>
      <c r="B2947" s="19" t="s">
        <v>7969</v>
      </c>
      <c r="C2947" s="204" t="s">
        <v>24</v>
      </c>
      <c r="D2947" s="204" t="s">
        <v>25</v>
      </c>
      <c r="E2947" s="204" t="s">
        <v>45</v>
      </c>
      <c r="F2947" s="4" t="s">
        <v>2662</v>
      </c>
      <c r="G2947" s="4" t="s">
        <v>2662</v>
      </c>
      <c r="H2947" s="204" t="s">
        <v>523</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04" t="s">
        <v>2276</v>
      </c>
      <c r="X2947" s="204" t="s">
        <v>2276</v>
      </c>
      <c r="Y2947" s="204" t="s">
        <v>2276</v>
      </c>
      <c r="Z2947" s="204" t="s">
        <v>38</v>
      </c>
      <c r="AA2947" s="204" t="s">
        <v>425</v>
      </c>
      <c r="AB2947" s="204" t="s">
        <v>64</v>
      </c>
      <c r="AC2947" s="204"/>
      <c r="AD2947" s="204"/>
    </row>
    <row r="2948" spans="1:30" ht="45.5" customHeight="1">
      <c r="A2948" s="19" t="s">
        <v>7940</v>
      </c>
      <c r="B2948" s="19" t="s">
        <v>7970</v>
      </c>
      <c r="C2948" s="204" t="s">
        <v>24</v>
      </c>
      <c r="D2948" s="204" t="s">
        <v>25</v>
      </c>
      <c r="E2948" s="204" t="s">
        <v>45</v>
      </c>
      <c r="F2948" s="4" t="s">
        <v>2662</v>
      </c>
      <c r="G2948" s="4" t="s">
        <v>2662</v>
      </c>
      <c r="H2948" s="204" t="s">
        <v>523</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38</v>
      </c>
      <c r="AA2948" s="204" t="s">
        <v>425</v>
      </c>
      <c r="AB2948" s="204" t="s">
        <v>64</v>
      </c>
      <c r="AC2948" s="204"/>
      <c r="AD2948" s="204"/>
    </row>
    <row r="2949" spans="1:30" ht="45.5" customHeight="1">
      <c r="A2949" s="19" t="s">
        <v>7940</v>
      </c>
      <c r="B2949" s="19" t="s">
        <v>7971</v>
      </c>
      <c r="C2949" s="204" t="s">
        <v>24</v>
      </c>
      <c r="D2949" s="204" t="s">
        <v>25</v>
      </c>
      <c r="E2949" s="204" t="s">
        <v>45</v>
      </c>
      <c r="F2949" s="4" t="s">
        <v>2662</v>
      </c>
      <c r="G2949" s="4" t="s">
        <v>2662</v>
      </c>
      <c r="H2949" s="204" t="s">
        <v>523</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38</v>
      </c>
      <c r="AA2949" s="204" t="s">
        <v>425</v>
      </c>
      <c r="AB2949" s="204" t="s">
        <v>64</v>
      </c>
      <c r="AC2949" s="204"/>
      <c r="AD2949" s="204"/>
    </row>
    <row r="2950" spans="1:30" ht="45.5" customHeight="1">
      <c r="A2950" s="19" t="s">
        <v>7940</v>
      </c>
      <c r="B2950" s="19" t="s">
        <v>7972</v>
      </c>
      <c r="C2950" s="204" t="s">
        <v>24</v>
      </c>
      <c r="D2950" s="204" t="s">
        <v>25</v>
      </c>
      <c r="E2950" s="204" t="s">
        <v>45</v>
      </c>
      <c r="F2950" s="4" t="s">
        <v>2662</v>
      </c>
      <c r="G2950" s="4" t="s">
        <v>2662</v>
      </c>
      <c r="H2950" s="204" t="s">
        <v>523</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04" t="s">
        <v>2276</v>
      </c>
      <c r="X2950" s="204" t="s">
        <v>2276</v>
      </c>
      <c r="Y2950" s="204" t="s">
        <v>2276</v>
      </c>
      <c r="Z2950" s="204" t="s">
        <v>38</v>
      </c>
      <c r="AA2950" s="204" t="s">
        <v>425</v>
      </c>
      <c r="AB2950" s="204" t="s">
        <v>64</v>
      </c>
      <c r="AC2950" s="204"/>
      <c r="AD2950" s="204"/>
    </row>
    <row r="2951" spans="1:30" ht="45.5" customHeight="1">
      <c r="A2951" s="19" t="s">
        <v>7940</v>
      </c>
      <c r="B2951" s="19" t="s">
        <v>7973</v>
      </c>
      <c r="C2951" s="204" t="s">
        <v>24</v>
      </c>
      <c r="D2951" s="204" t="s">
        <v>25</v>
      </c>
      <c r="E2951" s="204" t="s">
        <v>45</v>
      </c>
      <c r="F2951" s="4" t="s">
        <v>2662</v>
      </c>
      <c r="G2951" s="4" t="s">
        <v>2662</v>
      </c>
      <c r="H2951" s="204" t="s">
        <v>523</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04" t="s">
        <v>2276</v>
      </c>
      <c r="X2951" s="204" t="s">
        <v>2276</v>
      </c>
      <c r="Y2951" s="204" t="s">
        <v>2276</v>
      </c>
      <c r="Z2951" s="204" t="s">
        <v>38</v>
      </c>
      <c r="AA2951" s="204" t="s">
        <v>425</v>
      </c>
      <c r="AB2951" s="204" t="s">
        <v>64</v>
      </c>
      <c r="AC2951" s="204"/>
      <c r="AD2951" s="204"/>
    </row>
    <row r="2952" spans="1:30" ht="34" customHeight="1">
      <c r="A2952" s="19" t="s">
        <v>7976</v>
      </c>
      <c r="B2952" s="19" t="s">
        <v>7983</v>
      </c>
      <c r="C2952" s="204" t="s">
        <v>1105</v>
      </c>
      <c r="D2952" s="204" t="s">
        <v>1105</v>
      </c>
      <c r="E2952" s="204" t="s">
        <v>2276</v>
      </c>
      <c r="F2952" s="204" t="s">
        <v>2276</v>
      </c>
      <c r="G2952" s="204" t="s">
        <v>28</v>
      </c>
      <c r="H2952" s="204" t="s">
        <v>523</v>
      </c>
      <c r="I2952" s="204"/>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1">
        <f>0.98*0.28</f>
        <v>0.27440000000000003</v>
      </c>
      <c r="Y2952" s="204" t="s">
        <v>2276</v>
      </c>
      <c r="Z2952" s="204" t="s">
        <v>2276</v>
      </c>
      <c r="AA2952" s="204" t="s">
        <v>2276</v>
      </c>
      <c r="AB2952" s="204" t="s">
        <v>2276</v>
      </c>
      <c r="AC2952" s="204"/>
      <c r="AD2952" s="204"/>
    </row>
    <row r="2953" spans="1:30" ht="34" customHeight="1">
      <c r="A2953" s="19" t="s">
        <v>7977</v>
      </c>
      <c r="B2953" s="19" t="s">
        <v>7980</v>
      </c>
      <c r="C2953" s="204" t="s">
        <v>1105</v>
      </c>
      <c r="D2953" s="204" t="s">
        <v>1105</v>
      </c>
      <c r="E2953" s="204" t="s">
        <v>2276</v>
      </c>
      <c r="F2953" s="204" t="s">
        <v>2276</v>
      </c>
      <c r="G2953" s="204" t="s">
        <v>28</v>
      </c>
      <c r="H2953" s="204" t="s">
        <v>523</v>
      </c>
      <c r="I2953" s="204"/>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1">
        <f>AVERAGE(7.42, 6.06)*AVERAGE(0.4972, 0.1905)</f>
        <v>2.3175490000000001</v>
      </c>
      <c r="Y2953" s="204" t="s">
        <v>2276</v>
      </c>
      <c r="Z2953" s="204" t="s">
        <v>2276</v>
      </c>
      <c r="AA2953" s="204" t="s">
        <v>2276</v>
      </c>
      <c r="AB2953" s="204" t="s">
        <v>2276</v>
      </c>
      <c r="AC2953" s="204"/>
      <c r="AD2953" s="204"/>
    </row>
    <row r="2954" spans="1:30" ht="34" customHeight="1">
      <c r="A2954" s="19" t="s">
        <v>7976</v>
      </c>
      <c r="B2954" s="19" t="s">
        <v>7984</v>
      </c>
      <c r="C2954" s="204" t="s">
        <v>1105</v>
      </c>
      <c r="D2954" s="204" t="s">
        <v>1105</v>
      </c>
      <c r="E2954" s="204" t="s">
        <v>2276</v>
      </c>
      <c r="F2954" s="204" t="s">
        <v>2276</v>
      </c>
      <c r="G2954" s="204" t="s">
        <v>55</v>
      </c>
      <c r="H2954" s="204" t="s">
        <v>523</v>
      </c>
      <c r="I2954" s="204"/>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1">
        <f>0.681*0.98</f>
        <v>0.66738000000000008</v>
      </c>
      <c r="Y2954" s="204" t="s">
        <v>2276</v>
      </c>
      <c r="Z2954" s="204" t="s">
        <v>2276</v>
      </c>
      <c r="AA2954" s="204" t="s">
        <v>2276</v>
      </c>
      <c r="AB2954" s="204" t="s">
        <v>2276</v>
      </c>
      <c r="AC2954" s="204"/>
      <c r="AD2954" s="204"/>
    </row>
    <row r="2955" spans="1:30" ht="34" customHeight="1">
      <c r="A2955" s="19" t="s">
        <v>7977</v>
      </c>
      <c r="B2955" s="19" t="s">
        <v>7981</v>
      </c>
      <c r="C2955" s="204" t="s">
        <v>1105</v>
      </c>
      <c r="D2955" s="204" t="s">
        <v>1105</v>
      </c>
      <c r="E2955" s="204" t="s">
        <v>2276</v>
      </c>
      <c r="F2955" s="204" t="s">
        <v>2276</v>
      </c>
      <c r="G2955" s="204" t="s">
        <v>55</v>
      </c>
      <c r="H2955" s="204" t="s">
        <v>523</v>
      </c>
      <c r="I2955" s="204"/>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1">
        <f>AVERAGE(7.42, 6.06)*AVERAGE(0.4762, 0.7757)</f>
        <v>4.2189030000000001</v>
      </c>
      <c r="Y2955" s="204" t="s">
        <v>2276</v>
      </c>
      <c r="Z2955" s="204" t="s">
        <v>2276</v>
      </c>
      <c r="AA2955" s="204" t="s">
        <v>2276</v>
      </c>
      <c r="AB2955" s="204" t="s">
        <v>2276</v>
      </c>
      <c r="AC2955" s="204"/>
      <c r="AD2955" s="204"/>
    </row>
    <row r="2956" spans="1:30" ht="34" customHeight="1">
      <c r="A2956" s="19" t="s">
        <v>7977</v>
      </c>
      <c r="B2956" s="19" t="s">
        <v>7982</v>
      </c>
      <c r="C2956" s="204" t="s">
        <v>24</v>
      </c>
      <c r="D2956" s="204" t="s">
        <v>25</v>
      </c>
      <c r="E2956" s="204" t="s">
        <v>2647</v>
      </c>
      <c r="F2956" s="204" t="s">
        <v>55</v>
      </c>
      <c r="G2956" s="204" t="s">
        <v>55</v>
      </c>
      <c r="H2956" s="204" t="s">
        <v>523</v>
      </c>
      <c r="I2956" s="204"/>
      <c r="J2956" s="204" t="s">
        <v>2276</v>
      </c>
      <c r="K2956" s="204" t="s">
        <v>2276</v>
      </c>
      <c r="L2956" s="204" t="s">
        <v>2276</v>
      </c>
      <c r="M2956" s="204" t="s">
        <v>2276</v>
      </c>
      <c r="N2956" s="204" t="s">
        <v>2276</v>
      </c>
      <c r="O2956" s="204" t="s">
        <v>2276</v>
      </c>
      <c r="P2956" s="204" t="s">
        <v>2276</v>
      </c>
      <c r="Q2956" s="204" t="s">
        <v>2276</v>
      </c>
      <c r="R2956" s="21">
        <v>11.5</v>
      </c>
      <c r="S2956" s="204" t="s">
        <v>2276</v>
      </c>
      <c r="T2956" s="204" t="s">
        <v>2276</v>
      </c>
      <c r="U2956" s="204" t="s">
        <v>2276</v>
      </c>
      <c r="V2956" s="204" t="s">
        <v>2276</v>
      </c>
      <c r="W2956" s="204" t="s">
        <v>2276</v>
      </c>
      <c r="X2956" s="204" t="s">
        <v>2276</v>
      </c>
      <c r="Y2956" s="204" t="s">
        <v>2276</v>
      </c>
      <c r="Z2956" s="204" t="s">
        <v>2276</v>
      </c>
      <c r="AA2956" s="204" t="s">
        <v>2276</v>
      </c>
      <c r="AB2956" s="204" t="s">
        <v>2276</v>
      </c>
      <c r="AC2956" s="204"/>
      <c r="AD2956" s="204"/>
    </row>
    <row r="2957" spans="1:30" ht="34" customHeight="1">
      <c r="A2957" s="19" t="s">
        <v>7977</v>
      </c>
      <c r="B2957" s="19" t="s">
        <v>7985</v>
      </c>
      <c r="C2957" s="204" t="s">
        <v>24</v>
      </c>
      <c r="D2957" s="204" t="s">
        <v>2659</v>
      </c>
      <c r="E2957" s="204" t="s">
        <v>84</v>
      </c>
      <c r="F2957" s="204" t="s">
        <v>28</v>
      </c>
      <c r="G2957" s="204" t="s">
        <v>28</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t="s">
        <v>2276</v>
      </c>
      <c r="AB2957" s="204" t="s">
        <v>2276</v>
      </c>
      <c r="AC2957" s="204"/>
      <c r="AD2957" s="204"/>
    </row>
    <row r="2958" spans="1:30" ht="33" customHeight="1">
      <c r="A2958" s="19" t="s">
        <v>7977</v>
      </c>
      <c r="B2958" s="19" t="s">
        <v>7986</v>
      </c>
      <c r="C2958" s="204" t="s">
        <v>1105</v>
      </c>
      <c r="D2958" s="204" t="s">
        <v>1105</v>
      </c>
      <c r="E2958" s="204" t="s">
        <v>5801</v>
      </c>
      <c r="F2958" s="204" t="s">
        <v>55</v>
      </c>
      <c r="G2958" s="204" t="s">
        <v>55</v>
      </c>
      <c r="H2958" s="204" t="s">
        <v>523</v>
      </c>
      <c r="I2958" s="204"/>
      <c r="J2958" s="21">
        <f>0.425/100</f>
        <v>4.2500000000000003E-3</v>
      </c>
      <c r="K2958" s="204" t="s">
        <v>2276</v>
      </c>
      <c r="L2958" s="204" t="s">
        <v>2276</v>
      </c>
      <c r="M2958" s="204" t="s">
        <v>2276</v>
      </c>
      <c r="N2958" s="204" t="s">
        <v>2276</v>
      </c>
      <c r="O2958" s="204" t="s">
        <v>2276</v>
      </c>
      <c r="P2958" s="204" t="s">
        <v>2276</v>
      </c>
      <c r="Q2958" s="204" t="s">
        <v>2276</v>
      </c>
      <c r="R2958" s="21">
        <v>12</v>
      </c>
      <c r="S2958" s="204" t="s">
        <v>2276</v>
      </c>
      <c r="T2958" s="204" t="s">
        <v>2276</v>
      </c>
      <c r="U2958" s="204" t="s">
        <v>2276</v>
      </c>
      <c r="V2958" s="204" t="s">
        <v>2276</v>
      </c>
      <c r="W2958" s="204" t="s">
        <v>2276</v>
      </c>
      <c r="X2958" s="21">
        <v>6</v>
      </c>
      <c r="Y2958" s="204" t="s">
        <v>2276</v>
      </c>
      <c r="Z2958" s="204" t="s">
        <v>2276</v>
      </c>
      <c r="AA2958" s="204" t="s">
        <v>2276</v>
      </c>
      <c r="AB2958" s="204" t="s">
        <v>2276</v>
      </c>
      <c r="AC2958" s="204"/>
      <c r="AD2958" s="204"/>
    </row>
    <row r="2959" spans="1:30" ht="47.5" customHeight="1">
      <c r="A2959" s="19" t="s">
        <v>7991</v>
      </c>
      <c r="B2959" s="19" t="s">
        <v>7994</v>
      </c>
      <c r="C2959" s="204" t="s">
        <v>24</v>
      </c>
      <c r="D2959" s="204" t="s">
        <v>25</v>
      </c>
      <c r="E2959" s="204" t="s">
        <v>2647</v>
      </c>
      <c r="F2959" s="4" t="s">
        <v>29</v>
      </c>
      <c r="G2959" s="4" t="s">
        <v>29</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2276</v>
      </c>
      <c r="AA2959" s="204" t="s">
        <v>2276</v>
      </c>
      <c r="AB2959" s="204" t="s">
        <v>2276</v>
      </c>
      <c r="AC2959" s="4" t="s">
        <v>7998</v>
      </c>
      <c r="AD2959" s="204"/>
    </row>
    <row r="2960" spans="1:30" ht="47.5" customHeight="1">
      <c r="A2960" s="19" t="s">
        <v>7991</v>
      </c>
      <c r="B2960" s="19" t="s">
        <v>7995</v>
      </c>
      <c r="C2960" s="204" t="s">
        <v>24</v>
      </c>
      <c r="D2960" s="204" t="s">
        <v>2804</v>
      </c>
      <c r="E2960" s="204" t="s">
        <v>2647</v>
      </c>
      <c r="F2960" s="4" t="s">
        <v>2662</v>
      </c>
      <c r="G2960" s="4" t="s">
        <v>2662</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t="s">
        <v>2276</v>
      </c>
      <c r="AB2960" s="204" t="s">
        <v>2276</v>
      </c>
      <c r="AC2960" s="4" t="s">
        <v>7998</v>
      </c>
      <c r="AD2960" s="204"/>
    </row>
    <row r="2961" spans="1:30" ht="47.5" customHeight="1">
      <c r="A2961" s="19" t="s">
        <v>7991</v>
      </c>
      <c r="B2961" s="19" t="s">
        <v>7996</v>
      </c>
      <c r="C2961" s="204" t="s">
        <v>24</v>
      </c>
      <c r="D2961" s="204" t="s">
        <v>25</v>
      </c>
      <c r="E2961" s="204" t="s">
        <v>45</v>
      </c>
      <c r="F2961" s="4" t="s">
        <v>29</v>
      </c>
      <c r="G2961" s="4" t="s">
        <v>29</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t="s">
        <v>2276</v>
      </c>
      <c r="AB2961" s="204" t="s">
        <v>2276</v>
      </c>
      <c r="AC2961" s="4" t="s">
        <v>7998</v>
      </c>
      <c r="AD2961" s="204"/>
    </row>
    <row r="2962" spans="1:30" ht="47.5" customHeight="1">
      <c r="A2962" s="19" t="s">
        <v>7991</v>
      </c>
      <c r="B2962" s="19" t="s">
        <v>7997</v>
      </c>
      <c r="C2962" s="204" t="s">
        <v>24</v>
      </c>
      <c r="D2962" s="204" t="s">
        <v>2804</v>
      </c>
      <c r="E2962" s="204" t="s">
        <v>45</v>
      </c>
      <c r="F2962" s="4" t="s">
        <v>2662</v>
      </c>
      <c r="G2962" s="4" t="s">
        <v>2662</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t="s">
        <v>2276</v>
      </c>
      <c r="AB2962" s="204" t="s">
        <v>2276</v>
      </c>
      <c r="AC2962" s="4" t="s">
        <v>7998</v>
      </c>
      <c r="AD2962" s="204"/>
    </row>
    <row r="2963" spans="1:30" ht="38" customHeight="1">
      <c r="A2963" s="19" t="s">
        <v>8000</v>
      </c>
      <c r="B2963" s="19" t="s">
        <v>8008</v>
      </c>
      <c r="C2963" s="204" t="s">
        <v>24</v>
      </c>
      <c r="D2963" s="204" t="s">
        <v>144</v>
      </c>
      <c r="E2963" s="204" t="s">
        <v>137</v>
      </c>
      <c r="F2963" s="4" t="s">
        <v>2662</v>
      </c>
      <c r="G2963" s="4" t="s">
        <v>2662</v>
      </c>
      <c r="H2963" s="204" t="s">
        <v>523</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2276</v>
      </c>
      <c r="AA2963" s="204" t="s">
        <v>2276</v>
      </c>
      <c r="AB2963" s="204" t="s">
        <v>2276</v>
      </c>
      <c r="AC2963" s="204"/>
      <c r="AD2963" s="204"/>
    </row>
    <row r="2964" spans="1:30" ht="38" customHeight="1">
      <c r="A2964" s="19" t="s">
        <v>8006</v>
      </c>
      <c r="B2964" s="19" t="s">
        <v>8009</v>
      </c>
      <c r="C2964" s="204" t="s">
        <v>24</v>
      </c>
      <c r="D2964" s="204" t="s">
        <v>144</v>
      </c>
      <c r="E2964" s="204" t="s">
        <v>137</v>
      </c>
      <c r="F2964" s="4" t="s">
        <v>2662</v>
      </c>
      <c r="G2964" s="4" t="s">
        <v>2662</v>
      </c>
      <c r="H2964" s="204" t="s">
        <v>523</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2276</v>
      </c>
      <c r="AA2964" s="204" t="s">
        <v>2276</v>
      </c>
      <c r="AB2964" s="204" t="s">
        <v>2276</v>
      </c>
      <c r="AC2964" s="204"/>
      <c r="AD2964" s="204"/>
    </row>
    <row r="2965" spans="1:30" ht="38" customHeight="1">
      <c r="A2965" s="19" t="s">
        <v>8007</v>
      </c>
      <c r="B2965" s="19" t="s">
        <v>8010</v>
      </c>
      <c r="C2965" s="204" t="s">
        <v>24</v>
      </c>
      <c r="D2965" s="204" t="s">
        <v>144</v>
      </c>
      <c r="E2965" s="204" t="s">
        <v>137</v>
      </c>
      <c r="F2965" s="4" t="s">
        <v>2662</v>
      </c>
      <c r="G2965" s="4" t="s">
        <v>2662</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t="s">
        <v>2276</v>
      </c>
      <c r="AB2965" s="204" t="s">
        <v>2276</v>
      </c>
      <c r="AC2965" s="204"/>
      <c r="AD2965" s="204"/>
    </row>
    <row r="2966" spans="1:30" ht="31" customHeight="1">
      <c r="A2966" s="19" t="s">
        <v>8013</v>
      </c>
      <c r="B2966" s="19" t="s">
        <v>8015</v>
      </c>
      <c r="C2966" s="204" t="s">
        <v>24</v>
      </c>
      <c r="D2966" s="204" t="s">
        <v>2804</v>
      </c>
      <c r="E2966" s="204" t="s">
        <v>45</v>
      </c>
      <c r="F2966" s="4" t="s">
        <v>2662</v>
      </c>
      <c r="G2966" s="4" t="s">
        <v>2662</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t="s">
        <v>2276</v>
      </c>
      <c r="AB2966" s="204" t="s">
        <v>2276</v>
      </c>
      <c r="AC2966" s="204"/>
      <c r="AD2966" s="204"/>
    </row>
    <row r="2967" spans="1:30" ht="31" customHeight="1">
      <c r="A2967" s="19" t="s">
        <v>8013</v>
      </c>
      <c r="B2967" s="19" t="s">
        <v>8016</v>
      </c>
      <c r="C2967" s="204" t="s">
        <v>2458</v>
      </c>
      <c r="D2967" s="204" t="s">
        <v>2804</v>
      </c>
      <c r="E2967" s="204" t="s">
        <v>45</v>
      </c>
      <c r="F2967" s="4" t="s">
        <v>2662</v>
      </c>
      <c r="G2967" s="4" t="s">
        <v>2662</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t="s">
        <v>2276</v>
      </c>
      <c r="AB2967" s="204" t="s">
        <v>2276</v>
      </c>
      <c r="AC2967" s="204"/>
      <c r="AD2967" s="204"/>
    </row>
    <row r="2968" spans="1:30" ht="41" customHeight="1">
      <c r="A2968" s="19" t="s">
        <v>8019</v>
      </c>
      <c r="B2968" s="19" t="s">
        <v>8023</v>
      </c>
      <c r="C2968" s="204" t="s">
        <v>24</v>
      </c>
      <c r="D2968" s="204" t="s">
        <v>144</v>
      </c>
      <c r="E2968" s="204" t="s">
        <v>137</v>
      </c>
      <c r="F2968" s="4" t="s">
        <v>2662</v>
      </c>
      <c r="G2968" s="4" t="s">
        <v>2662</v>
      </c>
      <c r="H2968" s="204" t="s">
        <v>524</v>
      </c>
      <c r="I2968" s="204"/>
      <c r="J2968" s="21">
        <v>0</v>
      </c>
      <c r="K2968" s="21">
        <v>0</v>
      </c>
      <c r="L2968" s="21">
        <v>0</v>
      </c>
      <c r="M2968" s="21">
        <v>0</v>
      </c>
      <c r="N2968" s="21">
        <v>0</v>
      </c>
      <c r="O2968" s="21">
        <v>0</v>
      </c>
      <c r="P2968" s="21">
        <v>0</v>
      </c>
      <c r="Q2968" s="21">
        <v>0</v>
      </c>
      <c r="R2968" s="21">
        <v>0</v>
      </c>
      <c r="S2968" s="21">
        <v>0</v>
      </c>
      <c r="T2968" s="21">
        <v>0</v>
      </c>
      <c r="U2968" s="21">
        <v>0</v>
      </c>
      <c r="V2968" s="21">
        <v>0</v>
      </c>
      <c r="W2968" s="21">
        <v>0</v>
      </c>
      <c r="X2968" s="204" t="s">
        <v>2276</v>
      </c>
      <c r="Y2968" s="204" t="s">
        <v>2276</v>
      </c>
      <c r="Z2968" s="204" t="s">
        <v>2276</v>
      </c>
      <c r="AA2968" s="204" t="s">
        <v>2276</v>
      </c>
      <c r="AB2968" s="204" t="s">
        <v>2276</v>
      </c>
      <c r="AC2968" s="204"/>
      <c r="AD2968" s="204"/>
    </row>
    <row r="2969" spans="1:30" ht="34.5" customHeight="1">
      <c r="A2969" s="19" t="s">
        <v>8020</v>
      </c>
      <c r="B2969" s="19" t="s">
        <v>8024</v>
      </c>
      <c r="C2969" s="204" t="s">
        <v>24</v>
      </c>
      <c r="D2969" s="204" t="s">
        <v>2804</v>
      </c>
      <c r="E2969" s="204" t="s">
        <v>45</v>
      </c>
      <c r="F2969" s="4" t="s">
        <v>2662</v>
      </c>
      <c r="G2969" s="4" t="s">
        <v>2662</v>
      </c>
      <c r="H2969" s="204" t="s">
        <v>523</v>
      </c>
      <c r="I2969" s="204"/>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1">
        <v>2</v>
      </c>
      <c r="Z2969" s="204" t="s">
        <v>405</v>
      </c>
      <c r="AA2969" s="204" t="s">
        <v>425</v>
      </c>
      <c r="AB2969" s="204" t="s">
        <v>2276</v>
      </c>
      <c r="AC2969" s="204"/>
      <c r="AD2969" s="204"/>
    </row>
    <row r="2970" spans="1:30" ht="30" customHeight="1">
      <c r="A2970" s="19" t="s">
        <v>8019</v>
      </c>
      <c r="B2970" s="19" t="s">
        <v>8027</v>
      </c>
      <c r="C2970" s="204" t="s">
        <v>24</v>
      </c>
      <c r="D2970" s="204" t="s">
        <v>2804</v>
      </c>
      <c r="E2970" s="204" t="s">
        <v>45</v>
      </c>
      <c r="F2970" s="4" t="s">
        <v>2662</v>
      </c>
      <c r="G2970" s="4" t="s">
        <v>2662</v>
      </c>
      <c r="H2970" s="204" t="s">
        <v>524</v>
      </c>
      <c r="I2970" s="204"/>
      <c r="J2970" s="21">
        <v>0</v>
      </c>
      <c r="K2970" s="21">
        <v>0</v>
      </c>
      <c r="L2970" s="21">
        <v>0</v>
      </c>
      <c r="M2970" s="21">
        <v>0</v>
      </c>
      <c r="N2970" s="21">
        <v>0</v>
      </c>
      <c r="O2970" s="21">
        <v>0</v>
      </c>
      <c r="P2970" s="21">
        <v>0</v>
      </c>
      <c r="Q2970" s="21">
        <v>0</v>
      </c>
      <c r="R2970" s="21">
        <v>0</v>
      </c>
      <c r="S2970" s="21">
        <v>0</v>
      </c>
      <c r="T2970" s="21">
        <v>0</v>
      </c>
      <c r="U2970" s="21">
        <v>0</v>
      </c>
      <c r="V2970" s="21">
        <v>0</v>
      </c>
      <c r="W2970" s="21">
        <v>0</v>
      </c>
      <c r="X2970" s="204" t="s">
        <v>2276</v>
      </c>
      <c r="Y2970" s="204" t="s">
        <v>2276</v>
      </c>
      <c r="Z2970" s="204" t="s">
        <v>2276</v>
      </c>
      <c r="AA2970" s="204" t="s">
        <v>2276</v>
      </c>
      <c r="AB2970" s="204" t="s">
        <v>2276</v>
      </c>
      <c r="AC2970" s="204"/>
      <c r="AD2970" s="204"/>
    </row>
    <row r="2971" spans="1:30" ht="35.5" customHeight="1">
      <c r="A2971" s="19" t="s">
        <v>8030</v>
      </c>
      <c r="B2971" s="19" t="s">
        <v>8033</v>
      </c>
      <c r="C2971" s="204" t="s">
        <v>24</v>
      </c>
      <c r="D2971" s="204" t="s">
        <v>1245</v>
      </c>
      <c r="E2971" s="204" t="s">
        <v>116</v>
      </c>
      <c r="F2971" s="4" t="s">
        <v>2662</v>
      </c>
      <c r="G2971" s="4" t="s">
        <v>2662</v>
      </c>
      <c r="H2971" s="204" t="s">
        <v>523</v>
      </c>
      <c r="I2971" s="204"/>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04" t="s">
        <v>2276</v>
      </c>
      <c r="Z2971" s="204" t="s">
        <v>404</v>
      </c>
      <c r="AA2971" s="204" t="s">
        <v>425</v>
      </c>
      <c r="AB2971" s="204" t="s">
        <v>2276</v>
      </c>
      <c r="AC2971" s="204"/>
      <c r="AD2971" s="204"/>
    </row>
    <row r="2972" spans="1:30" ht="36.5" customHeight="1">
      <c r="A2972" s="19" t="s">
        <v>8030</v>
      </c>
      <c r="B2972" s="19" t="s">
        <v>8036</v>
      </c>
      <c r="C2972" s="204" t="s">
        <v>24</v>
      </c>
      <c r="D2972" s="204" t="s">
        <v>406</v>
      </c>
      <c r="E2972" s="204" t="s">
        <v>116</v>
      </c>
      <c r="F2972" s="4" t="s">
        <v>2662</v>
      </c>
      <c r="G2972" s="4" t="s">
        <v>2662</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404</v>
      </c>
      <c r="AA2972" s="204" t="s">
        <v>425</v>
      </c>
      <c r="AB2972" s="204" t="s">
        <v>2276</v>
      </c>
      <c r="AC2972" s="204"/>
      <c r="AD2972" s="204"/>
    </row>
    <row r="2973" spans="1:30" ht="37.5" customHeight="1">
      <c r="A2973" s="19" t="s">
        <v>8038</v>
      </c>
      <c r="B2973" s="19" t="s">
        <v>8041</v>
      </c>
      <c r="C2973" s="204" t="s">
        <v>24</v>
      </c>
      <c r="D2973" s="204" t="s">
        <v>2804</v>
      </c>
      <c r="E2973" t="s">
        <v>2647</v>
      </c>
      <c r="F2973" s="4" t="s">
        <v>2662</v>
      </c>
      <c r="G2973" s="4" t="s">
        <v>2662</v>
      </c>
      <c r="H2973" s="204" t="s">
        <v>523</v>
      </c>
      <c r="I2973" s="204"/>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t="s">
        <v>2276</v>
      </c>
      <c r="AB2973" s="204" t="s">
        <v>2276</v>
      </c>
      <c r="AC2973" s="204"/>
      <c r="AD2973" s="204"/>
    </row>
    <row r="2974" spans="1:30" ht="37" customHeight="1">
      <c r="A2974" s="19" t="s">
        <v>8040</v>
      </c>
      <c r="B2974" s="19" t="s">
        <v>8042</v>
      </c>
      <c r="C2974" s="204" t="s">
        <v>24</v>
      </c>
      <c r="D2974" s="204" t="s">
        <v>2804</v>
      </c>
      <c r="E2974" s="204" t="s">
        <v>45</v>
      </c>
      <c r="F2974" s="4" t="s">
        <v>2662</v>
      </c>
      <c r="G2974" s="4" t="s">
        <v>2662</v>
      </c>
      <c r="H2974" s="204" t="s">
        <v>523</v>
      </c>
      <c r="I2974" s="204"/>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t="s">
        <v>2276</v>
      </c>
      <c r="AB2974" s="204" t="s">
        <v>2276</v>
      </c>
      <c r="AC2974" s="204"/>
      <c r="AD2974" s="204"/>
    </row>
    <row r="2975" spans="1:30" ht="33.5" customHeight="1">
      <c r="A2975" s="19" t="s">
        <v>8056</v>
      </c>
      <c r="B2975" s="19" t="s">
        <v>8057</v>
      </c>
      <c r="C2975" s="204" t="s">
        <v>24</v>
      </c>
      <c r="D2975" s="204" t="s">
        <v>25</v>
      </c>
      <c r="E2975" s="204" t="s">
        <v>45</v>
      </c>
      <c r="F2975" s="4" t="s">
        <v>29</v>
      </c>
      <c r="G2975" s="4" t="s">
        <v>29</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204"/>
      <c r="AD2975" s="204"/>
    </row>
    <row r="2976" spans="1:30" ht="33.5" customHeight="1">
      <c r="A2976" s="19" t="s">
        <v>8056</v>
      </c>
      <c r="B2976" s="19" t="s">
        <v>8058</v>
      </c>
      <c r="C2976" s="204" t="s">
        <v>24</v>
      </c>
      <c r="D2976" s="204" t="s">
        <v>143</v>
      </c>
      <c r="E2976" s="204" t="s">
        <v>45</v>
      </c>
      <c r="F2976" s="4" t="s">
        <v>74</v>
      </c>
      <c r="G2976" s="4" t="s">
        <v>74</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t="s">
        <v>2276</v>
      </c>
      <c r="AB2976" s="204" t="s">
        <v>2276</v>
      </c>
      <c r="AC2976" s="204"/>
      <c r="AD2976" s="204"/>
    </row>
    <row r="2977" spans="1:30" ht="35.5" customHeight="1">
      <c r="A2977" s="19" t="s">
        <v>8056</v>
      </c>
      <c r="B2977" s="19" t="s">
        <v>8059</v>
      </c>
      <c r="C2977" s="204" t="s">
        <v>2458</v>
      </c>
      <c r="D2977" s="204" t="s">
        <v>25</v>
      </c>
      <c r="E2977" s="204" t="s">
        <v>45</v>
      </c>
      <c r="F2977" s="4" t="s">
        <v>29</v>
      </c>
      <c r="G2977" s="4" t="s">
        <v>74</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4" t="s">
        <v>8060</v>
      </c>
      <c r="AD2977" s="204"/>
    </row>
    <row r="2978" spans="1:30" ht="46.5" customHeight="1">
      <c r="A2978" s="19" t="s">
        <v>8063</v>
      </c>
      <c r="B2978" s="19" t="s">
        <v>8065</v>
      </c>
      <c r="C2978" s="204" t="s">
        <v>24</v>
      </c>
      <c r="D2978" s="204" t="s">
        <v>144</v>
      </c>
      <c r="E2978" s="204" t="s">
        <v>137</v>
      </c>
      <c r="F2978" s="4" t="s">
        <v>2662</v>
      </c>
      <c r="G2978" s="4" t="s">
        <v>2662</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t="s">
        <v>2276</v>
      </c>
      <c r="AB2978" s="204" t="s">
        <v>2276</v>
      </c>
      <c r="AC2978" s="4"/>
      <c r="AD2978" s="204"/>
    </row>
    <row r="2979" spans="1:30" ht="44" customHeight="1">
      <c r="A2979" s="19" t="s">
        <v>8069</v>
      </c>
      <c r="B2979" s="19" t="s">
        <v>8072</v>
      </c>
      <c r="C2979" s="204" t="s">
        <v>24</v>
      </c>
      <c r="D2979" s="204" t="s">
        <v>25</v>
      </c>
      <c r="E2979" s="204" t="s">
        <v>45</v>
      </c>
      <c r="F2979" s="4" t="s">
        <v>2662</v>
      </c>
      <c r="G2979" s="4" t="s">
        <v>2276</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t="s">
        <v>2276</v>
      </c>
      <c r="AB2979" s="204" t="s">
        <v>2276</v>
      </c>
      <c r="AC2979" s="204"/>
      <c r="AD2979" s="204"/>
    </row>
    <row r="2980" spans="1:30" ht="39.5" customHeight="1">
      <c r="A2980" s="19" t="s">
        <v>8076</v>
      </c>
      <c r="B2980" s="19" t="s">
        <v>8077</v>
      </c>
      <c r="C2980" s="204" t="s">
        <v>24</v>
      </c>
      <c r="D2980" s="204" t="s">
        <v>25</v>
      </c>
      <c r="E2980" s="204" t="s">
        <v>45</v>
      </c>
      <c r="F2980" s="4" t="s">
        <v>2662</v>
      </c>
      <c r="G2980" s="4" t="s">
        <v>2276</v>
      </c>
      <c r="H2980" s="204" t="s">
        <v>523</v>
      </c>
      <c r="I2980" s="204"/>
      <c r="J2980" s="204" t="s">
        <v>2276</v>
      </c>
      <c r="K2980" s="21">
        <v>6.0000000000000001E-3</v>
      </c>
      <c r="L2980" s="204" t="s">
        <v>2276</v>
      </c>
      <c r="M2980" s="21">
        <v>96</v>
      </c>
      <c r="N2980" s="204" t="s">
        <v>2276</v>
      </c>
      <c r="O2980" s="204" t="s">
        <v>2276</v>
      </c>
      <c r="P2980" s="204" t="s">
        <v>2276</v>
      </c>
      <c r="Q2980" s="21">
        <v>4</v>
      </c>
      <c r="R2980" s="204" t="s">
        <v>2276</v>
      </c>
      <c r="S2980" s="204" t="s">
        <v>2276</v>
      </c>
      <c r="T2980" s="204" t="s">
        <v>2276</v>
      </c>
      <c r="U2980" s="204" t="s">
        <v>2276</v>
      </c>
      <c r="V2980" s="204" t="s">
        <v>2276</v>
      </c>
      <c r="W2980" s="204" t="s">
        <v>2276</v>
      </c>
      <c r="X2980" s="204" t="s">
        <v>2276</v>
      </c>
      <c r="Y2980" s="204" t="s">
        <v>2276</v>
      </c>
      <c r="Z2980" s="204" t="s">
        <v>2276</v>
      </c>
      <c r="AA2980" s="204" t="s">
        <v>2276</v>
      </c>
      <c r="AB2980" s="204" t="s">
        <v>2276</v>
      </c>
      <c r="AC2980" s="204"/>
      <c r="AD2980" s="4" t="s">
        <v>8080</v>
      </c>
    </row>
    <row r="2981" spans="1:30" ht="48.5" customHeight="1">
      <c r="A2981" s="19" t="s">
        <v>8076</v>
      </c>
      <c r="B2981" s="19" t="s">
        <v>8079</v>
      </c>
      <c r="C2981" s="204" t="s">
        <v>24</v>
      </c>
      <c r="D2981" s="204" t="s">
        <v>25</v>
      </c>
      <c r="E2981" s="4" t="s">
        <v>3855</v>
      </c>
      <c r="F2981" s="4" t="s">
        <v>2662</v>
      </c>
      <c r="G2981" s="4" t="s">
        <v>2276</v>
      </c>
      <c r="H2981" s="204" t="s">
        <v>523</v>
      </c>
      <c r="I2981" s="204"/>
      <c r="J2981" s="204" t="s">
        <v>2276</v>
      </c>
      <c r="K2981" s="21">
        <v>6.0000000000000001E-3</v>
      </c>
      <c r="L2981" s="204" t="s">
        <v>2276</v>
      </c>
      <c r="M2981" s="21">
        <v>96</v>
      </c>
      <c r="N2981" s="204" t="s">
        <v>2276</v>
      </c>
      <c r="O2981" s="204" t="s">
        <v>2276</v>
      </c>
      <c r="P2981" s="204" t="s">
        <v>2276</v>
      </c>
      <c r="Q2981" s="21">
        <v>4</v>
      </c>
      <c r="R2981" s="204" t="s">
        <v>2276</v>
      </c>
      <c r="S2981" s="204" t="s">
        <v>2276</v>
      </c>
      <c r="T2981" s="204" t="s">
        <v>2276</v>
      </c>
      <c r="U2981" s="204" t="s">
        <v>2276</v>
      </c>
      <c r="V2981" s="204" t="s">
        <v>2276</v>
      </c>
      <c r="W2981" s="204" t="s">
        <v>2276</v>
      </c>
      <c r="X2981" s="204" t="s">
        <v>2276</v>
      </c>
      <c r="Y2981" s="204" t="s">
        <v>2276</v>
      </c>
      <c r="Z2981" s="204" t="s">
        <v>2276</v>
      </c>
      <c r="AA2981" s="204" t="s">
        <v>2276</v>
      </c>
      <c r="AB2981" s="204" t="s">
        <v>2276</v>
      </c>
      <c r="AC2981" s="204"/>
      <c r="AD2981" s="4" t="s">
        <v>8080</v>
      </c>
    </row>
    <row r="2982" spans="1:30" ht="42" customHeight="1">
      <c r="A2982" s="19" t="s">
        <v>8082</v>
      </c>
      <c r="B2982" s="19" t="s">
        <v>8088</v>
      </c>
      <c r="C2982" s="204" t="s">
        <v>24</v>
      </c>
      <c r="D2982" s="204" t="s">
        <v>2804</v>
      </c>
      <c r="E2982" s="204" t="s">
        <v>5005</v>
      </c>
      <c r="F2982" s="4" t="s">
        <v>2662</v>
      </c>
      <c r="G2982" s="4" t="s">
        <v>2276</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04" t="s">
        <v>2276</v>
      </c>
      <c r="Z2982" s="204" t="s">
        <v>425</v>
      </c>
      <c r="AA2982" s="204" t="s">
        <v>68</v>
      </c>
      <c r="AB2982" s="204" t="s">
        <v>2276</v>
      </c>
      <c r="AC2982" s="4" t="s">
        <v>8093</v>
      </c>
      <c r="AD2982" s="204"/>
    </row>
    <row r="2983" spans="1:30" ht="51" customHeight="1">
      <c r="A2983" s="19" t="s">
        <v>8082</v>
      </c>
      <c r="B2983" s="19" t="s">
        <v>8091</v>
      </c>
      <c r="C2983" s="204" t="s">
        <v>24</v>
      </c>
      <c r="D2983" s="204" t="s">
        <v>2804</v>
      </c>
      <c r="E2983" s="4" t="s">
        <v>3854</v>
      </c>
      <c r="F2983" s="4" t="s">
        <v>55</v>
      </c>
      <c r="G2983" s="4" t="s">
        <v>2276</v>
      </c>
      <c r="H2983" s="204" t="s">
        <v>524</v>
      </c>
      <c r="I2983" s="204"/>
      <c r="J2983" s="21">
        <v>0</v>
      </c>
      <c r="K2983" s="21">
        <v>0</v>
      </c>
      <c r="L2983" s="21">
        <v>0</v>
      </c>
      <c r="M2983" s="21">
        <v>0</v>
      </c>
      <c r="N2983" s="21">
        <v>0</v>
      </c>
      <c r="O2983" s="21">
        <v>0</v>
      </c>
      <c r="P2983" s="21">
        <v>0</v>
      </c>
      <c r="Q2983" s="21">
        <v>0</v>
      </c>
      <c r="R2983" s="21">
        <v>0</v>
      </c>
      <c r="S2983" s="21">
        <v>0</v>
      </c>
      <c r="T2983" s="21">
        <v>0</v>
      </c>
      <c r="U2983" s="21">
        <v>0</v>
      </c>
      <c r="V2983" s="21">
        <v>0</v>
      </c>
      <c r="W2983" s="21">
        <v>0</v>
      </c>
      <c r="X2983" s="21">
        <v>0</v>
      </c>
      <c r="Y2983" s="204" t="s">
        <v>2276</v>
      </c>
      <c r="Z2983" s="204" t="s">
        <v>425</v>
      </c>
      <c r="AA2983" s="204" t="s">
        <v>68</v>
      </c>
      <c r="AB2983" s="204" t="s">
        <v>2276</v>
      </c>
      <c r="AC2983" s="4" t="s">
        <v>8092</v>
      </c>
      <c r="AD2983" s="204"/>
    </row>
    <row r="2984" spans="1:30" ht="53" customHeight="1">
      <c r="A2984" s="19" t="s">
        <v>8085</v>
      </c>
      <c r="B2984" s="19" t="s">
        <v>8090</v>
      </c>
      <c r="C2984" s="204" t="s">
        <v>24</v>
      </c>
      <c r="D2984" s="204" t="s">
        <v>2804</v>
      </c>
      <c r="E2984" s="204" t="s">
        <v>5005</v>
      </c>
      <c r="F2984" s="4" t="s">
        <v>2662</v>
      </c>
      <c r="G2984" s="4" t="s">
        <v>2276</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425</v>
      </c>
      <c r="AA2984" s="204" t="s">
        <v>68</v>
      </c>
      <c r="AB2984" s="204" t="s">
        <v>2276</v>
      </c>
      <c r="AC2984" s="4" t="s">
        <v>8093</v>
      </c>
      <c r="AD2984" s="204"/>
    </row>
    <row r="2985" spans="1:30" ht="53" customHeight="1">
      <c r="A2985" s="19" t="s">
        <v>8085</v>
      </c>
      <c r="B2985" s="19" t="s">
        <v>8089</v>
      </c>
      <c r="C2985" s="204" t="s">
        <v>24</v>
      </c>
      <c r="D2985" s="204" t="s">
        <v>2804</v>
      </c>
      <c r="E2985" s="4" t="s">
        <v>3854</v>
      </c>
      <c r="F2985" s="4" t="s">
        <v>2662</v>
      </c>
      <c r="G2985" s="4" t="s">
        <v>2276</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425</v>
      </c>
      <c r="AA2985" s="204" t="s">
        <v>68</v>
      </c>
      <c r="AB2985" s="204" t="s">
        <v>2276</v>
      </c>
      <c r="AC2985" s="4" t="s">
        <v>8094</v>
      </c>
      <c r="AD2985" s="204"/>
    </row>
    <row r="2986" spans="1:30" ht="47" customHeight="1">
      <c r="A2986" s="19" t="s">
        <v>8095</v>
      </c>
      <c r="B2986" s="19" t="s">
        <v>8096</v>
      </c>
      <c r="C2986" s="204" t="s">
        <v>24</v>
      </c>
      <c r="D2986" s="204" t="s">
        <v>27</v>
      </c>
      <c r="E2986" s="4" t="s">
        <v>397</v>
      </c>
      <c r="F2986" s="4" t="s">
        <v>55</v>
      </c>
      <c r="G2986" s="4" t="s">
        <v>2276</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1">
        <v>1</v>
      </c>
      <c r="Z2986" s="204" t="s">
        <v>38</v>
      </c>
      <c r="AA2986" s="204" t="s">
        <v>86</v>
      </c>
      <c r="AB2986" s="204" t="s">
        <v>64</v>
      </c>
      <c r="AC2986" s="204" t="s">
        <v>8101</v>
      </c>
      <c r="AD2986" s="204"/>
    </row>
    <row r="2987" spans="1:30" ht="44.5" customHeight="1">
      <c r="A2987" s="19" t="s">
        <v>8095</v>
      </c>
      <c r="B2987" s="19" t="s">
        <v>8102</v>
      </c>
      <c r="C2987" s="204" t="s">
        <v>24</v>
      </c>
      <c r="D2987" s="204" t="s">
        <v>2804</v>
      </c>
      <c r="E2987" s="4" t="s">
        <v>397</v>
      </c>
      <c r="F2987" s="4" t="s">
        <v>2662</v>
      </c>
      <c r="G2987" s="4" t="s">
        <v>2276</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86</v>
      </c>
      <c r="AA2987" s="204" t="s">
        <v>68</v>
      </c>
      <c r="AB2987" s="204" t="s">
        <v>2276</v>
      </c>
      <c r="AC2987" s="19" t="s">
        <v>8103</v>
      </c>
      <c r="AD2987" s="204"/>
    </row>
    <row r="2988" spans="1:30" ht="35" customHeight="1">
      <c r="A2988" s="19" t="s">
        <v>8104</v>
      </c>
      <c r="B2988" s="19" t="s">
        <v>8108</v>
      </c>
      <c r="C2988" s="204" t="s">
        <v>24</v>
      </c>
      <c r="D2988" s="204" t="s">
        <v>2804</v>
      </c>
      <c r="E2988" s="204" t="s">
        <v>45</v>
      </c>
      <c r="F2988" s="4" t="s">
        <v>2662</v>
      </c>
      <c r="G2988" s="4" t="s">
        <v>2276</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127</v>
      </c>
      <c r="AA2988" s="204" t="s">
        <v>38</v>
      </c>
      <c r="AB2988" s="204" t="s">
        <v>2276</v>
      </c>
      <c r="AC2988" s="204"/>
      <c r="AD2988" s="204"/>
    </row>
    <row r="2989" spans="1:30" ht="42" customHeight="1">
      <c r="A2989" s="19" t="s">
        <v>8104</v>
      </c>
      <c r="B2989" s="19" t="s">
        <v>8109</v>
      </c>
      <c r="C2989" s="204" t="s">
        <v>2458</v>
      </c>
      <c r="D2989" s="204" t="s">
        <v>2804</v>
      </c>
      <c r="E2989" s="204" t="s">
        <v>45</v>
      </c>
      <c r="F2989" s="4" t="s">
        <v>2662</v>
      </c>
      <c r="G2989" s="4" t="s">
        <v>2276</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127</v>
      </c>
      <c r="AA2989" s="204" t="s">
        <v>38</v>
      </c>
      <c r="AB2989" s="204" t="s">
        <v>2276</v>
      </c>
      <c r="AC2989" s="204"/>
      <c r="AD2989" s="204"/>
    </row>
    <row r="2990" spans="1:30" ht="35.5" customHeight="1">
      <c r="A2990" s="19" t="s">
        <v>8104</v>
      </c>
      <c r="B2990" s="19" t="s">
        <v>8113</v>
      </c>
      <c r="C2990" s="204" t="s">
        <v>24</v>
      </c>
      <c r="D2990" s="204" t="s">
        <v>144</v>
      </c>
      <c r="E2990" s="204" t="s">
        <v>137</v>
      </c>
      <c r="F2990" s="4" t="s">
        <v>2662</v>
      </c>
      <c r="G2990" s="4" t="s">
        <v>2276</v>
      </c>
      <c r="H2990" s="204" t="s">
        <v>524</v>
      </c>
      <c r="I2990" s="204"/>
      <c r="J2990" s="21">
        <v>0</v>
      </c>
      <c r="K2990" s="21">
        <v>0</v>
      </c>
      <c r="L2990" s="21">
        <v>0</v>
      </c>
      <c r="M2990" s="21">
        <v>0</v>
      </c>
      <c r="N2990" s="21">
        <v>0</v>
      </c>
      <c r="O2990" s="21">
        <v>0</v>
      </c>
      <c r="P2990" s="21">
        <v>0</v>
      </c>
      <c r="Q2990" s="21">
        <v>0</v>
      </c>
      <c r="R2990" s="21">
        <v>0</v>
      </c>
      <c r="S2990" s="21">
        <v>0</v>
      </c>
      <c r="T2990" s="21">
        <v>0</v>
      </c>
      <c r="U2990" s="21">
        <v>0</v>
      </c>
      <c r="V2990" s="21">
        <v>0</v>
      </c>
      <c r="W2990" s="21">
        <v>0</v>
      </c>
      <c r="X2990" s="21">
        <v>0</v>
      </c>
      <c r="Y2990" s="204" t="s">
        <v>2276</v>
      </c>
      <c r="Z2990" s="204" t="s">
        <v>2276</v>
      </c>
      <c r="AA2990" s="204" t="s">
        <v>2276</v>
      </c>
      <c r="AB2990" s="204" t="s">
        <v>2276</v>
      </c>
      <c r="AC2990" s="204"/>
      <c r="AD2990" s="204"/>
    </row>
    <row r="2991" spans="1:30" ht="28" customHeight="1">
      <c r="A2991" s="19" t="s">
        <v>8115</v>
      </c>
      <c r="B2991" s="19" t="s">
        <v>8125</v>
      </c>
      <c r="C2991" s="204" t="s">
        <v>1105</v>
      </c>
      <c r="D2991" s="204" t="s">
        <v>1105</v>
      </c>
      <c r="E2991" s="204" t="s">
        <v>1105</v>
      </c>
      <c r="F2991" s="204" t="s">
        <v>1105</v>
      </c>
      <c r="G2991" s="4" t="s">
        <v>74</v>
      </c>
      <c r="H2991" s="204" t="s">
        <v>523</v>
      </c>
      <c r="I2991" s="204"/>
      <c r="J2991" s="21">
        <f>100*45/27884</f>
        <v>0.16138287189786257</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t="s">
        <v>2276</v>
      </c>
      <c r="AB2991" s="204" t="s">
        <v>2276</v>
      </c>
      <c r="AC2991" s="204"/>
      <c r="AD2991" s="204"/>
    </row>
    <row r="2992" spans="1:30" ht="28" customHeight="1">
      <c r="A2992" s="19" t="s">
        <v>8122</v>
      </c>
      <c r="B2992" s="19" t="s">
        <v>8126</v>
      </c>
      <c r="C2992" s="204" t="s">
        <v>1105</v>
      </c>
      <c r="D2992" s="204" t="s">
        <v>1105</v>
      </c>
      <c r="E2992" s="204" t="s">
        <v>1105</v>
      </c>
      <c r="F2992" s="204" t="s">
        <v>1105</v>
      </c>
      <c r="G2992" s="4" t="s">
        <v>74</v>
      </c>
      <c r="H2992" s="204" t="s">
        <v>523</v>
      </c>
      <c r="I2992" s="204"/>
      <c r="J2992" s="21">
        <f>100*152/50640</f>
        <v>0.30015797788309639</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t="s">
        <v>2276</v>
      </c>
      <c r="AB2992" s="204" t="s">
        <v>2276</v>
      </c>
      <c r="AC2992" s="204"/>
      <c r="AD2992" s="204"/>
    </row>
    <row r="2993" spans="1:30" ht="28" customHeight="1">
      <c r="A2993" s="19" t="s">
        <v>8123</v>
      </c>
      <c r="B2993" s="19" t="s">
        <v>8127</v>
      </c>
      <c r="C2993" s="204" t="s">
        <v>1105</v>
      </c>
      <c r="D2993" s="204" t="s">
        <v>1105</v>
      </c>
      <c r="E2993" s="204" t="s">
        <v>1105</v>
      </c>
      <c r="F2993" s="204" t="s">
        <v>1105</v>
      </c>
      <c r="G2993" s="4" t="s">
        <v>74</v>
      </c>
      <c r="H2993" s="204" t="s">
        <v>523</v>
      </c>
      <c r="I2993" s="204"/>
      <c r="J2993" s="21">
        <f>100*68/24975</f>
        <v>0.2722722722722723</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t="s">
        <v>2276</v>
      </c>
      <c r="AB2993" s="204" t="s">
        <v>2276</v>
      </c>
      <c r="AC2993" s="204"/>
      <c r="AD2993" s="204"/>
    </row>
    <row r="2994" spans="1:30" ht="28" customHeight="1">
      <c r="A2994" s="19" t="s">
        <v>8124</v>
      </c>
      <c r="B2994" s="19" t="s">
        <v>8128</v>
      </c>
      <c r="C2994" s="204" t="s">
        <v>1105</v>
      </c>
      <c r="D2994" s="204" t="s">
        <v>1105</v>
      </c>
      <c r="E2994" s="204" t="s">
        <v>1105</v>
      </c>
      <c r="F2994" s="204" t="s">
        <v>1105</v>
      </c>
      <c r="G2994" s="4" t="s">
        <v>74</v>
      </c>
      <c r="H2994" s="204" t="s">
        <v>523</v>
      </c>
      <c r="I2994" s="204"/>
      <c r="J2994" s="21">
        <f>100*372/270000</f>
        <v>0.13777777777777778</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t="s">
        <v>2276</v>
      </c>
      <c r="AB2994" s="204" t="s">
        <v>2276</v>
      </c>
      <c r="AC2994" s="204"/>
      <c r="AD2994" s="204"/>
    </row>
    <row r="2995" spans="1:30" ht="42" customHeight="1">
      <c r="A2995" s="19" t="s">
        <v>8115</v>
      </c>
      <c r="B2995" s="19" t="s">
        <v>8129</v>
      </c>
      <c r="C2995" s="204" t="s">
        <v>2458</v>
      </c>
      <c r="D2995" s="4" t="s">
        <v>2231</v>
      </c>
      <c r="E2995" s="4" t="s">
        <v>396</v>
      </c>
      <c r="F2995" s="4" t="s">
        <v>160</v>
      </c>
      <c r="G2995" s="4" t="s">
        <v>74</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t="s">
        <v>2276</v>
      </c>
      <c r="AB2995" s="204" t="s">
        <v>2276</v>
      </c>
      <c r="AC2995" s="204"/>
      <c r="AD2995" s="204"/>
    </row>
    <row r="2996" spans="1:30" ht="42" customHeight="1">
      <c r="A2996" s="19" t="s">
        <v>8115</v>
      </c>
      <c r="B2996" s="19" t="s">
        <v>8130</v>
      </c>
      <c r="C2996" s="204" t="s">
        <v>2458</v>
      </c>
      <c r="D2996" s="204" t="s">
        <v>2659</v>
      </c>
      <c r="E2996" s="4" t="s">
        <v>396</v>
      </c>
      <c r="F2996" s="4" t="s">
        <v>28</v>
      </c>
      <c r="G2996" s="4" t="s">
        <v>74</v>
      </c>
      <c r="H2996" s="204" t="s">
        <v>523</v>
      </c>
      <c r="I2996" s="204"/>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204" t="s">
        <v>2276</v>
      </c>
      <c r="AB2996" s="204" t="s">
        <v>2276</v>
      </c>
      <c r="AC2996" s="4" t="s">
        <v>8136</v>
      </c>
      <c r="AD2996" s="204"/>
    </row>
    <row r="2997" spans="1:30" ht="29.5" customHeight="1">
      <c r="A2997" s="19" t="s">
        <v>8115</v>
      </c>
      <c r="B2997" s="19" t="s">
        <v>8131</v>
      </c>
      <c r="C2997" s="204" t="s">
        <v>31</v>
      </c>
      <c r="D2997" s="204" t="s">
        <v>30</v>
      </c>
      <c r="E2997" s="204" t="s">
        <v>1105</v>
      </c>
      <c r="F2997" s="4" t="s">
        <v>2276</v>
      </c>
      <c r="G2997" s="4" t="s">
        <v>74</v>
      </c>
      <c r="H2997" s="204" t="s">
        <v>523</v>
      </c>
      <c r="I2997" s="204"/>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t="s">
        <v>2276</v>
      </c>
      <c r="AB2997" s="204" t="s">
        <v>2276</v>
      </c>
      <c r="AC2997" s="204"/>
      <c r="AD2997" s="204"/>
    </row>
    <row r="2998" spans="1:30" ht="29.5" customHeight="1">
      <c r="A2998" s="19" t="s">
        <v>8115</v>
      </c>
      <c r="B2998" s="19" t="s">
        <v>8132</v>
      </c>
      <c r="C2998" s="204" t="s">
        <v>31</v>
      </c>
      <c r="D2998" s="204" t="s">
        <v>30</v>
      </c>
      <c r="E2998" s="204" t="s">
        <v>2653</v>
      </c>
      <c r="F2998" s="4" t="s">
        <v>2276</v>
      </c>
      <c r="G2998" s="4" t="s">
        <v>74</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t="s">
        <v>2276</v>
      </c>
      <c r="AB2998" s="204" t="s">
        <v>2276</v>
      </c>
      <c r="AC2998" s="204"/>
      <c r="AD2998" s="204"/>
    </row>
    <row r="2999" spans="1:30" ht="29.5" customHeight="1">
      <c r="A2999" s="19" t="s">
        <v>8115</v>
      </c>
      <c r="B2999" s="19" t="s">
        <v>8133</v>
      </c>
      <c r="C2999" s="204" t="s">
        <v>24</v>
      </c>
      <c r="D2999" s="204" t="s">
        <v>143</v>
      </c>
      <c r="E2999" s="204" t="s">
        <v>45</v>
      </c>
      <c r="F2999" s="4" t="s">
        <v>74</v>
      </c>
      <c r="G2999" s="4" t="s">
        <v>74</v>
      </c>
      <c r="H2999" s="204" t="s">
        <v>523</v>
      </c>
      <c r="I2999" s="204"/>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t="s">
        <v>2276</v>
      </c>
      <c r="AB2999" s="204" t="s">
        <v>2276</v>
      </c>
      <c r="AC2999" s="204"/>
      <c r="AD2999" s="204"/>
    </row>
    <row r="3000" spans="1:30" ht="29.5" customHeight="1">
      <c r="A3000" s="19" t="s">
        <v>8115</v>
      </c>
      <c r="B3000" s="19" t="s">
        <v>8134</v>
      </c>
      <c r="C3000" s="204" t="s">
        <v>2458</v>
      </c>
      <c r="D3000" s="204" t="s">
        <v>25</v>
      </c>
      <c r="E3000" s="204" t="s">
        <v>45</v>
      </c>
      <c r="F3000" s="4" t="s">
        <v>29</v>
      </c>
      <c r="G3000" s="4" t="s">
        <v>74</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t="s">
        <v>2276</v>
      </c>
      <c r="AB3000" s="204" t="s">
        <v>2276</v>
      </c>
      <c r="AC3000" s="204"/>
      <c r="AD3000" s="204"/>
    </row>
    <row r="3001" spans="1:30" ht="29.5" customHeight="1">
      <c r="A3001" s="19" t="s">
        <v>8115</v>
      </c>
      <c r="B3001" s="19" t="s">
        <v>8135</v>
      </c>
      <c r="C3001" s="204" t="s">
        <v>24</v>
      </c>
      <c r="D3001" s="204" t="s">
        <v>2346</v>
      </c>
      <c r="E3001" s="204" t="s">
        <v>1105</v>
      </c>
      <c r="F3001" s="4" t="s">
        <v>28</v>
      </c>
      <c r="G3001" s="4" t="s">
        <v>74</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t="s">
        <v>2276</v>
      </c>
      <c r="AB3001" s="204" t="s">
        <v>2276</v>
      </c>
      <c r="AC3001" s="204"/>
      <c r="AD3001" s="204"/>
    </row>
    <row r="3002" spans="1:30" ht="30" customHeight="1">
      <c r="A3002" s="19" t="s">
        <v>8122</v>
      </c>
      <c r="B3002" s="19" t="s">
        <v>8137</v>
      </c>
      <c r="C3002" s="204" t="s">
        <v>24</v>
      </c>
      <c r="D3002" s="204" t="s">
        <v>2346</v>
      </c>
      <c r="E3002" s="204" t="s">
        <v>3209</v>
      </c>
      <c r="F3002" s="4" t="s">
        <v>74</v>
      </c>
      <c r="G3002" s="4" t="s">
        <v>74</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t="s">
        <v>2276</v>
      </c>
      <c r="AB3002" s="204" t="s">
        <v>2276</v>
      </c>
      <c r="AC3002" s="204"/>
      <c r="AD3002" s="204"/>
    </row>
    <row r="3003" spans="1:30" ht="30" customHeight="1">
      <c r="A3003" s="19" t="s">
        <v>8122</v>
      </c>
      <c r="B3003" s="19" t="s">
        <v>8138</v>
      </c>
      <c r="C3003" s="4" t="s">
        <v>2458</v>
      </c>
      <c r="D3003" s="4" t="s">
        <v>2659</v>
      </c>
      <c r="E3003" s="4" t="s">
        <v>396</v>
      </c>
      <c r="F3003" s="4" t="s">
        <v>28</v>
      </c>
      <c r="G3003" s="4" t="s">
        <v>74</v>
      </c>
      <c r="H3003" s="204" t="s">
        <v>523</v>
      </c>
      <c r="I3003" s="204"/>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t="s">
        <v>2276</v>
      </c>
      <c r="AB3003" s="204" t="s">
        <v>2276</v>
      </c>
      <c r="AC3003" s="204"/>
      <c r="AD3003" s="204"/>
    </row>
    <row r="3004" spans="1:30" ht="30" customHeight="1">
      <c r="A3004" s="19" t="s">
        <v>8122</v>
      </c>
      <c r="B3004" s="19" t="s">
        <v>8139</v>
      </c>
      <c r="C3004" s="4" t="s">
        <v>24</v>
      </c>
      <c r="D3004" s="4" t="s">
        <v>2346</v>
      </c>
      <c r="E3004" s="4" t="s">
        <v>396</v>
      </c>
      <c r="F3004" s="4" t="s">
        <v>74</v>
      </c>
      <c r="G3004" s="4" t="s">
        <v>74</v>
      </c>
      <c r="H3004" s="204" t="s">
        <v>523</v>
      </c>
      <c r="I3004" s="204"/>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30" customHeight="1">
      <c r="A3005" s="19" t="s">
        <v>8122</v>
      </c>
      <c r="B3005" s="19" t="s">
        <v>8140</v>
      </c>
      <c r="C3005" s="4" t="s">
        <v>24</v>
      </c>
      <c r="D3005" s="4" t="s">
        <v>2346</v>
      </c>
      <c r="E3005" s="4" t="s">
        <v>396</v>
      </c>
      <c r="F3005" s="4" t="s">
        <v>28</v>
      </c>
      <c r="G3005" s="4" t="s">
        <v>74</v>
      </c>
      <c r="H3005" s="204" t="s">
        <v>523</v>
      </c>
      <c r="I3005" s="204"/>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30" customHeight="1">
      <c r="A3006" s="19" t="s">
        <v>8122</v>
      </c>
      <c r="B3006" s="19" t="s">
        <v>8141</v>
      </c>
      <c r="C3006" s="4" t="s">
        <v>2458</v>
      </c>
      <c r="D3006" s="4" t="s">
        <v>2231</v>
      </c>
      <c r="E3006" s="4" t="s">
        <v>396</v>
      </c>
      <c r="F3006" s="4" t="s">
        <v>160</v>
      </c>
      <c r="G3006" s="4" t="s">
        <v>74</v>
      </c>
      <c r="H3006" s="204" t="s">
        <v>523</v>
      </c>
      <c r="I3006" s="204"/>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46" customHeight="1">
      <c r="A3007" s="19" t="s">
        <v>8123</v>
      </c>
      <c r="B3007" s="19" t="s">
        <v>8142</v>
      </c>
      <c r="C3007" s="4" t="s">
        <v>2458</v>
      </c>
      <c r="D3007" s="4" t="s">
        <v>2659</v>
      </c>
      <c r="E3007" s="4" t="s">
        <v>396</v>
      </c>
      <c r="F3007" s="4" t="s">
        <v>28</v>
      </c>
      <c r="G3007" s="4" t="s">
        <v>74</v>
      </c>
      <c r="H3007" s="204" t="s">
        <v>523</v>
      </c>
      <c r="I3007" s="204"/>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42" customHeight="1">
      <c r="A3008" s="19" t="s">
        <v>8123</v>
      </c>
      <c r="B3008" s="19" t="s">
        <v>8143</v>
      </c>
      <c r="C3008" s="204" t="s">
        <v>24</v>
      </c>
      <c r="D3008" s="204" t="s">
        <v>2346</v>
      </c>
      <c r="E3008" s="204" t="s">
        <v>3209</v>
      </c>
      <c r="F3008" s="4" t="s">
        <v>74</v>
      </c>
      <c r="G3008" s="4" t="s">
        <v>74</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2" customHeight="1">
      <c r="A3009" s="19" t="s">
        <v>8123</v>
      </c>
      <c r="B3009" s="19" t="s">
        <v>8144</v>
      </c>
      <c r="C3009" s="204" t="s">
        <v>2656</v>
      </c>
      <c r="D3009" s="204" t="s">
        <v>2276</v>
      </c>
      <c r="E3009" s="204" t="s">
        <v>2276</v>
      </c>
      <c r="F3009" s="204" t="s">
        <v>2276</v>
      </c>
      <c r="G3009" s="4" t="s">
        <v>74</v>
      </c>
      <c r="H3009" s="204" t="s">
        <v>523</v>
      </c>
      <c r="I3009" s="204"/>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t="s">
        <v>2276</v>
      </c>
      <c r="AB3009" s="204" t="s">
        <v>2276</v>
      </c>
      <c r="AC3009" s="204"/>
      <c r="AD3009" s="204"/>
    </row>
    <row r="3010" spans="1:30" ht="42" customHeight="1">
      <c r="A3010" s="19" t="s">
        <v>8123</v>
      </c>
      <c r="B3010" s="19" t="s">
        <v>8145</v>
      </c>
      <c r="C3010" s="4" t="s">
        <v>2458</v>
      </c>
      <c r="D3010" s="204" t="s">
        <v>25</v>
      </c>
      <c r="E3010" s="204" t="s">
        <v>45</v>
      </c>
      <c r="F3010" s="4" t="s">
        <v>29</v>
      </c>
      <c r="G3010" s="4" t="s">
        <v>74</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t="s">
        <v>2276</v>
      </c>
      <c r="AB3010" s="204" t="s">
        <v>2276</v>
      </c>
      <c r="AC3010" s="204"/>
      <c r="AD3010" s="204"/>
    </row>
    <row r="3011" spans="1:30" ht="42" customHeight="1">
      <c r="A3011" s="19" t="s">
        <v>8123</v>
      </c>
      <c r="B3011" s="19" t="s">
        <v>8146</v>
      </c>
      <c r="C3011" s="204" t="s">
        <v>24</v>
      </c>
      <c r="D3011" s="204" t="s">
        <v>2346</v>
      </c>
      <c r="E3011" s="4" t="s">
        <v>396</v>
      </c>
      <c r="F3011" s="4" t="s">
        <v>28</v>
      </c>
      <c r="G3011" s="4" t="s">
        <v>74</v>
      </c>
      <c r="H3011" s="204" t="s">
        <v>523</v>
      </c>
      <c r="I3011" s="204"/>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t="s">
        <v>2276</v>
      </c>
      <c r="AB3011" s="204" t="s">
        <v>2276</v>
      </c>
      <c r="AC3011" s="204"/>
      <c r="AD3011" s="204"/>
    </row>
    <row r="3012" spans="1:30" ht="41" customHeight="1">
      <c r="A3012" s="19" t="s">
        <v>8123</v>
      </c>
      <c r="B3012" s="19" t="s">
        <v>8147</v>
      </c>
      <c r="C3012" s="204" t="s">
        <v>24</v>
      </c>
      <c r="D3012" s="204" t="s">
        <v>2346</v>
      </c>
      <c r="E3012" s="4" t="s">
        <v>45</v>
      </c>
      <c r="F3012" s="4" t="s">
        <v>28</v>
      </c>
      <c r="G3012" s="4" t="s">
        <v>74</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t="s">
        <v>2276</v>
      </c>
      <c r="AB3012" s="204" t="s">
        <v>2276</v>
      </c>
      <c r="AC3012" s="204"/>
      <c r="AD3012" s="204"/>
    </row>
    <row r="3013" spans="1:30" ht="37" customHeight="1">
      <c r="A3013" s="19" t="s">
        <v>8124</v>
      </c>
      <c r="B3013" s="19" t="s">
        <v>8148</v>
      </c>
      <c r="C3013" s="204" t="s">
        <v>2458</v>
      </c>
      <c r="D3013" s="4" t="s">
        <v>2659</v>
      </c>
      <c r="E3013" s="4" t="s">
        <v>396</v>
      </c>
      <c r="F3013" s="4" t="s">
        <v>28</v>
      </c>
      <c r="G3013" s="4" t="s">
        <v>74</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t="s">
        <v>2276</v>
      </c>
      <c r="AB3013" s="204" t="s">
        <v>2276</v>
      </c>
      <c r="AC3013" s="204"/>
      <c r="AD3013" s="204"/>
    </row>
    <row r="3014" spans="1:30" ht="37" customHeight="1">
      <c r="A3014" s="19" t="s">
        <v>8124</v>
      </c>
      <c r="B3014" s="19" t="s">
        <v>8149</v>
      </c>
      <c r="C3014" s="204" t="s">
        <v>2458</v>
      </c>
      <c r="D3014" s="4" t="s">
        <v>2231</v>
      </c>
      <c r="E3014" s="4" t="s">
        <v>396</v>
      </c>
      <c r="F3014" s="4" t="s">
        <v>160</v>
      </c>
      <c r="G3014" s="4" t="s">
        <v>74</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7" customHeight="1">
      <c r="A3015" s="19" t="s">
        <v>8124</v>
      </c>
      <c r="B3015" s="19" t="s">
        <v>8150</v>
      </c>
      <c r="C3015" s="204" t="s">
        <v>24</v>
      </c>
      <c r="D3015" s="204" t="s">
        <v>2346</v>
      </c>
      <c r="E3015" s="204" t="s">
        <v>2276</v>
      </c>
      <c r="F3015" s="4" t="s">
        <v>74</v>
      </c>
      <c r="G3015" s="4" t="s">
        <v>74</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7" customHeight="1">
      <c r="A3016" s="19" t="s">
        <v>8124</v>
      </c>
      <c r="B3016" s="19" t="s">
        <v>8151</v>
      </c>
      <c r="C3016" s="204" t="s">
        <v>2458</v>
      </c>
      <c r="D3016" s="204" t="s">
        <v>25</v>
      </c>
      <c r="E3016" s="204" t="s">
        <v>45</v>
      </c>
      <c r="F3016" s="4" t="s">
        <v>29</v>
      </c>
      <c r="G3016" s="4" t="s">
        <v>74</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7" customHeight="1">
      <c r="A3017" s="19" t="s">
        <v>8124</v>
      </c>
      <c r="B3017" s="19" t="s">
        <v>8152</v>
      </c>
      <c r="C3017" s="204" t="s">
        <v>24</v>
      </c>
      <c r="D3017" s="204" t="s">
        <v>2346</v>
      </c>
      <c r="E3017" s="4" t="s">
        <v>396</v>
      </c>
      <c r="F3017" s="4" t="s">
        <v>28</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7" customHeight="1">
      <c r="A3018" s="19" t="s">
        <v>8124</v>
      </c>
      <c r="B3018" s="19" t="s">
        <v>8153</v>
      </c>
      <c r="C3018" s="204" t="s">
        <v>31</v>
      </c>
      <c r="D3018" s="204" t="s">
        <v>30</v>
      </c>
      <c r="E3018" s="204" t="s">
        <v>2653</v>
      </c>
      <c r="F3018" s="204" t="s">
        <v>2276</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204"/>
      <c r="AD3018" s="204"/>
    </row>
    <row r="3019" spans="1:30" ht="37" customHeight="1">
      <c r="A3019" s="19" t="s">
        <v>8124</v>
      </c>
      <c r="B3019" s="19" t="s">
        <v>8154</v>
      </c>
      <c r="C3019" s="204" t="s">
        <v>2656</v>
      </c>
      <c r="D3019" s="204" t="s">
        <v>2276</v>
      </c>
      <c r="E3019" s="204" t="s">
        <v>2276</v>
      </c>
      <c r="F3019" s="204" t="s">
        <v>2276</v>
      </c>
      <c r="G3019" s="4" t="s">
        <v>74</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204"/>
      <c r="AD3019" s="204"/>
    </row>
    <row r="3020" spans="1:30" ht="40" customHeight="1">
      <c r="A3020" s="19" t="s">
        <v>8158</v>
      </c>
      <c r="B3020" s="19" t="s">
        <v>8160</v>
      </c>
      <c r="C3020" s="204" t="s">
        <v>24</v>
      </c>
      <c r="D3020" s="204" t="s">
        <v>1245</v>
      </c>
      <c r="E3020" s="204" t="s">
        <v>116</v>
      </c>
      <c r="F3020" s="4" t="s">
        <v>2662</v>
      </c>
      <c r="G3020" s="4" t="s">
        <v>2662</v>
      </c>
      <c r="H3020" s="204" t="s">
        <v>523</v>
      </c>
      <c r="I3020" s="204"/>
      <c r="J3020" s="204" t="s">
        <v>2276</v>
      </c>
      <c r="K3020" s="21">
        <v>1</v>
      </c>
      <c r="L3020" s="204" t="s">
        <v>2276</v>
      </c>
      <c r="M3020" s="21">
        <v>10</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38</v>
      </c>
      <c r="AA3020" s="204" t="s">
        <v>68</v>
      </c>
      <c r="AB3020" s="204" t="s">
        <v>2276</v>
      </c>
      <c r="AC3020" s="4" t="s">
        <v>8165</v>
      </c>
      <c r="AD3020" s="204" t="s">
        <v>8161</v>
      </c>
    </row>
    <row r="3021" spans="1:30" ht="40" customHeight="1">
      <c r="A3021" s="19" t="s">
        <v>8158</v>
      </c>
      <c r="B3021" s="19" t="s">
        <v>8162</v>
      </c>
      <c r="C3021" s="204" t="s">
        <v>2656</v>
      </c>
      <c r="D3021" s="204" t="s">
        <v>2276</v>
      </c>
      <c r="E3021" s="204" t="s">
        <v>2276</v>
      </c>
      <c r="F3021" s="204" t="s">
        <v>2276</v>
      </c>
      <c r="G3021" s="4" t="s">
        <v>2662</v>
      </c>
      <c r="H3021" s="204" t="s">
        <v>523</v>
      </c>
      <c r="I3021" s="204"/>
      <c r="J3021" s="204" t="s">
        <v>2276</v>
      </c>
      <c r="K3021" s="204" t="s">
        <v>2276</v>
      </c>
      <c r="L3021" s="204" t="s">
        <v>2276</v>
      </c>
      <c r="M3021" s="204" t="s">
        <v>2276</v>
      </c>
      <c r="N3021" s="204" t="s">
        <v>2276</v>
      </c>
      <c r="O3021" s="204" t="s">
        <v>2276</v>
      </c>
      <c r="P3021" s="21">
        <v>189.4</v>
      </c>
      <c r="Q3021" s="204" t="s">
        <v>2276</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204" t="s">
        <v>7894</v>
      </c>
    </row>
    <row r="3022" spans="1:30" ht="32.5" customHeight="1">
      <c r="A3022" s="19" t="s">
        <v>8167</v>
      </c>
      <c r="B3022" s="19" t="s">
        <v>8171</v>
      </c>
      <c r="C3022" s="204" t="s">
        <v>24</v>
      </c>
      <c r="D3022" s="204" t="s">
        <v>1242</v>
      </c>
      <c r="E3022" s="204" t="s">
        <v>116</v>
      </c>
      <c r="F3022" s="4" t="s">
        <v>2662</v>
      </c>
      <c r="G3022" s="4" t="s">
        <v>2662</v>
      </c>
      <c r="H3022" s="204" t="s">
        <v>523</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68</v>
      </c>
      <c r="AA3022" s="204" t="s">
        <v>127</v>
      </c>
      <c r="AB3022" s="204" t="s">
        <v>2655</v>
      </c>
      <c r="AC3022" s="204"/>
      <c r="AD3022" s="204"/>
    </row>
    <row r="3023" spans="1:30" ht="33.5" customHeight="1">
      <c r="A3023" s="19" t="s">
        <v>8167</v>
      </c>
      <c r="B3023" s="19" t="s">
        <v>8172</v>
      </c>
      <c r="C3023" s="204" t="s">
        <v>24</v>
      </c>
      <c r="D3023" s="204" t="s">
        <v>1242</v>
      </c>
      <c r="E3023" s="204" t="s">
        <v>130</v>
      </c>
      <c r="F3023" s="4" t="s">
        <v>28</v>
      </c>
      <c r="G3023" s="204" t="s">
        <v>2276</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1">
        <v>1</v>
      </c>
      <c r="Z3023" s="204" t="s">
        <v>127</v>
      </c>
      <c r="AA3023" s="204" t="s">
        <v>399</v>
      </c>
      <c r="AB3023" s="204" t="s">
        <v>76</v>
      </c>
      <c r="AC3023" s="204"/>
      <c r="AD3023" s="204"/>
    </row>
    <row r="3024" spans="1:30" ht="43.5" customHeight="1">
      <c r="A3024" s="19" t="s">
        <v>8167</v>
      </c>
      <c r="B3024" s="19" t="s">
        <v>8173</v>
      </c>
      <c r="C3024" s="204" t="s">
        <v>24</v>
      </c>
      <c r="D3024" s="204" t="s">
        <v>25</v>
      </c>
      <c r="E3024" s="204" t="s">
        <v>45</v>
      </c>
      <c r="F3024" s="204" t="s">
        <v>2276</v>
      </c>
      <c r="G3024" s="4" t="s">
        <v>2662</v>
      </c>
      <c r="H3024" s="204" t="s">
        <v>523</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68</v>
      </c>
      <c r="AA3024" s="204" t="s">
        <v>127</v>
      </c>
      <c r="AB3024" s="204" t="s">
        <v>2276</v>
      </c>
      <c r="AC3024" s="204"/>
      <c r="AD3024" s="204"/>
    </row>
    <row r="3025" spans="1:30" ht="40" customHeight="1">
      <c r="A3025" s="19" t="s">
        <v>8167</v>
      </c>
      <c r="B3025" s="19" t="s">
        <v>8174</v>
      </c>
      <c r="C3025" s="204" t="s">
        <v>24</v>
      </c>
      <c r="D3025" s="204" t="s">
        <v>1245</v>
      </c>
      <c r="E3025" s="204" t="s">
        <v>116</v>
      </c>
      <c r="F3025" s="204" t="s">
        <v>2276</v>
      </c>
      <c r="G3025" s="4" t="s">
        <v>2662</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127</v>
      </c>
      <c r="AA3025" s="204" t="s">
        <v>127</v>
      </c>
      <c r="AB3025" s="204" t="s">
        <v>2276</v>
      </c>
      <c r="AC3025" s="204"/>
      <c r="AD3025" s="204"/>
    </row>
    <row r="3026" spans="1:30" ht="35.5" customHeight="1">
      <c r="A3026" s="19" t="s">
        <v>8167</v>
      </c>
      <c r="B3026" s="19" t="s">
        <v>8175</v>
      </c>
      <c r="C3026" s="204" t="s">
        <v>1105</v>
      </c>
      <c r="D3026" s="204" t="s">
        <v>1105</v>
      </c>
      <c r="E3026" s="204" t="s">
        <v>1105</v>
      </c>
      <c r="F3026" s="204" t="s">
        <v>2276</v>
      </c>
      <c r="G3026" s="4" t="s">
        <v>2662</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68</v>
      </c>
      <c r="AA3026" s="204" t="s">
        <v>68</v>
      </c>
      <c r="AB3026" s="204" t="s">
        <v>2276</v>
      </c>
      <c r="AC3026" s="204"/>
      <c r="AD3026" s="204"/>
    </row>
    <row r="3027" spans="1:30" ht="35.5" customHeight="1">
      <c r="A3027" s="19" t="s">
        <v>8167</v>
      </c>
      <c r="B3027" s="19" t="s">
        <v>8176</v>
      </c>
      <c r="C3027" s="204" t="s">
        <v>1105</v>
      </c>
      <c r="D3027" s="204" t="s">
        <v>1105</v>
      </c>
      <c r="E3027" s="204" t="s">
        <v>1105</v>
      </c>
      <c r="F3027" s="204" t="s">
        <v>2276</v>
      </c>
      <c r="G3027" s="4" t="s">
        <v>2662</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35</v>
      </c>
      <c r="AA3027" s="204" t="s">
        <v>35</v>
      </c>
      <c r="AB3027" s="204" t="s">
        <v>2276</v>
      </c>
      <c r="AC3027" s="204"/>
      <c r="AD3027" s="204"/>
    </row>
    <row r="3028" spans="1:30" ht="35.5" customHeight="1">
      <c r="A3028" s="19" t="s">
        <v>8167</v>
      </c>
      <c r="B3028" s="19" t="s">
        <v>8177</v>
      </c>
      <c r="C3028" s="204" t="s">
        <v>1105</v>
      </c>
      <c r="D3028" s="204" t="s">
        <v>1105</v>
      </c>
      <c r="E3028" s="204" t="s">
        <v>1105</v>
      </c>
      <c r="F3028" s="204" t="s">
        <v>2276</v>
      </c>
      <c r="G3028" s="4" t="s">
        <v>2662</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127</v>
      </c>
      <c r="AA3028" s="204" t="s">
        <v>127</v>
      </c>
      <c r="AB3028" s="204" t="s">
        <v>2276</v>
      </c>
      <c r="AC3028" s="204"/>
      <c r="AD3028" s="204"/>
    </row>
    <row r="3029" spans="1:30" ht="35.5" customHeight="1">
      <c r="A3029" s="19" t="s">
        <v>8167</v>
      </c>
      <c r="B3029" s="19" t="s">
        <v>8178</v>
      </c>
      <c r="C3029" s="204" t="s">
        <v>1105</v>
      </c>
      <c r="D3029" s="204" t="s">
        <v>1105</v>
      </c>
      <c r="E3029" s="204" t="s">
        <v>1105</v>
      </c>
      <c r="F3029" s="204" t="s">
        <v>2276</v>
      </c>
      <c r="G3029" s="4" t="s">
        <v>2662</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399</v>
      </c>
      <c r="AA3029" s="204" t="s">
        <v>399</v>
      </c>
      <c r="AB3029" s="204" t="s">
        <v>2276</v>
      </c>
      <c r="AC3029" s="204"/>
      <c r="AD3029" s="204"/>
    </row>
    <row r="3030" spans="1:30" ht="35.5" customHeight="1">
      <c r="A3030" s="19" t="s">
        <v>8167</v>
      </c>
      <c r="B3030" s="19" t="s">
        <v>8179</v>
      </c>
      <c r="C3030" s="204" t="s">
        <v>1105</v>
      </c>
      <c r="D3030" s="204" t="s">
        <v>1105</v>
      </c>
      <c r="E3030" s="204" t="s">
        <v>1105</v>
      </c>
      <c r="F3030" s="204" t="s">
        <v>2276</v>
      </c>
      <c r="G3030" s="4" t="s">
        <v>2662</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188</v>
      </c>
      <c r="AA3030" s="204" t="s">
        <v>188</v>
      </c>
      <c r="AB3030" s="204" t="s">
        <v>2276</v>
      </c>
      <c r="AC3030" s="204"/>
      <c r="AD3030" s="204"/>
    </row>
    <row r="3031" spans="1:30" ht="35.5" customHeight="1">
      <c r="A3031" s="19" t="s">
        <v>8167</v>
      </c>
      <c r="B3031" s="19" t="s">
        <v>8180</v>
      </c>
      <c r="C3031" s="204" t="s">
        <v>1105</v>
      </c>
      <c r="D3031" s="204" t="s">
        <v>1105</v>
      </c>
      <c r="E3031" s="204" t="s">
        <v>1105</v>
      </c>
      <c r="F3031" s="204" t="s">
        <v>2276</v>
      </c>
      <c r="G3031" s="4" t="s">
        <v>2662</v>
      </c>
      <c r="H3031" s="204" t="s">
        <v>523</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189</v>
      </c>
      <c r="AA3031" s="204" t="s">
        <v>189</v>
      </c>
      <c r="AB3031" s="204" t="s">
        <v>2276</v>
      </c>
      <c r="AC3031" s="204"/>
      <c r="AD3031" s="204"/>
    </row>
    <row r="3032" spans="1:30" ht="41" customHeight="1">
      <c r="A3032" s="19" t="s">
        <v>8168</v>
      </c>
      <c r="B3032" s="19" t="s">
        <v>8181</v>
      </c>
      <c r="C3032" s="204" t="s">
        <v>1105</v>
      </c>
      <c r="D3032" s="204" t="s">
        <v>1105</v>
      </c>
      <c r="E3032" s="204" t="s">
        <v>1105</v>
      </c>
      <c r="F3032" s="204" t="s">
        <v>2276</v>
      </c>
      <c r="G3032" s="4" t="s">
        <v>2662</v>
      </c>
      <c r="H3032" s="204" t="s">
        <v>523</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68</v>
      </c>
      <c r="AA3032" s="204" t="s">
        <v>68</v>
      </c>
      <c r="AB3032" s="204" t="s">
        <v>2276</v>
      </c>
      <c r="AC3032" s="204"/>
      <c r="AD3032" s="204"/>
    </row>
    <row r="3033" spans="1:30" ht="41" customHeight="1">
      <c r="A3033" s="19" t="s">
        <v>8168</v>
      </c>
      <c r="B3033" s="19" t="s">
        <v>8182</v>
      </c>
      <c r="C3033" s="204" t="s">
        <v>1105</v>
      </c>
      <c r="D3033" s="204" t="s">
        <v>1105</v>
      </c>
      <c r="E3033" s="204" t="s">
        <v>1105</v>
      </c>
      <c r="F3033" s="204" t="s">
        <v>2276</v>
      </c>
      <c r="G3033" s="4" t="s">
        <v>2662</v>
      </c>
      <c r="H3033" s="204" t="s">
        <v>523</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35</v>
      </c>
      <c r="AA3033" s="204" t="s">
        <v>35</v>
      </c>
      <c r="AB3033" s="204" t="s">
        <v>2276</v>
      </c>
      <c r="AC3033" s="204"/>
      <c r="AD3033" s="204"/>
    </row>
    <row r="3034" spans="1:30" ht="41" customHeight="1">
      <c r="A3034" s="19" t="s">
        <v>8168</v>
      </c>
      <c r="B3034" s="19" t="s">
        <v>8183</v>
      </c>
      <c r="C3034" s="204" t="s">
        <v>1105</v>
      </c>
      <c r="D3034" s="204" t="s">
        <v>1105</v>
      </c>
      <c r="E3034" s="204" t="s">
        <v>1105</v>
      </c>
      <c r="F3034" s="204" t="s">
        <v>2276</v>
      </c>
      <c r="G3034" s="4" t="s">
        <v>2662</v>
      </c>
      <c r="H3034" s="204" t="s">
        <v>523</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127</v>
      </c>
      <c r="AA3034" s="204" t="s">
        <v>127</v>
      </c>
      <c r="AB3034" s="204" t="s">
        <v>2276</v>
      </c>
      <c r="AC3034" s="204"/>
      <c r="AD3034" s="204"/>
    </row>
    <row r="3035" spans="1:30" ht="41" customHeight="1">
      <c r="A3035" s="19" t="s">
        <v>8168</v>
      </c>
      <c r="B3035" s="19" t="s">
        <v>8184</v>
      </c>
      <c r="C3035" s="204" t="s">
        <v>1105</v>
      </c>
      <c r="D3035" s="204" t="s">
        <v>1105</v>
      </c>
      <c r="E3035" s="204" t="s">
        <v>1105</v>
      </c>
      <c r="F3035" s="204" t="s">
        <v>2276</v>
      </c>
      <c r="G3035" s="4" t="s">
        <v>2662</v>
      </c>
      <c r="H3035" s="204" t="s">
        <v>523</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399</v>
      </c>
      <c r="AA3035" s="204" t="s">
        <v>399</v>
      </c>
      <c r="AB3035" s="204" t="s">
        <v>2276</v>
      </c>
      <c r="AC3035" s="204"/>
      <c r="AD3035" s="204"/>
    </row>
    <row r="3036" spans="1:30" ht="41" customHeight="1">
      <c r="A3036" s="19" t="s">
        <v>8168</v>
      </c>
      <c r="B3036" s="19" t="s">
        <v>8185</v>
      </c>
      <c r="C3036" s="204" t="s">
        <v>1105</v>
      </c>
      <c r="D3036" s="204" t="s">
        <v>1105</v>
      </c>
      <c r="E3036" s="204" t="s">
        <v>1105</v>
      </c>
      <c r="F3036" s="204" t="s">
        <v>2276</v>
      </c>
      <c r="G3036" s="4" t="s">
        <v>2662</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04" t="s">
        <v>2276</v>
      </c>
      <c r="Z3036" s="204" t="s">
        <v>188</v>
      </c>
      <c r="AA3036" s="204" t="s">
        <v>188</v>
      </c>
      <c r="AB3036" s="204" t="s">
        <v>2276</v>
      </c>
      <c r="AC3036" s="204"/>
      <c r="AD3036" s="204"/>
    </row>
    <row r="3037" spans="1:30" ht="41" customHeight="1">
      <c r="A3037" s="19" t="s">
        <v>8168</v>
      </c>
      <c r="B3037" s="19" t="s">
        <v>8186</v>
      </c>
      <c r="C3037" s="204" t="s">
        <v>1105</v>
      </c>
      <c r="D3037" s="204" t="s">
        <v>1105</v>
      </c>
      <c r="E3037" s="204" t="s">
        <v>1105</v>
      </c>
      <c r="F3037" s="204" t="s">
        <v>2276</v>
      </c>
      <c r="G3037" s="4" t="s">
        <v>2662</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189</v>
      </c>
      <c r="AA3037" s="204" t="s">
        <v>189</v>
      </c>
      <c r="AB3037" s="204" t="s">
        <v>2276</v>
      </c>
      <c r="AC3037" s="204"/>
      <c r="AD3037" s="204"/>
    </row>
    <row r="3038" spans="1:30" ht="36.5" customHeight="1">
      <c r="A3038" s="19" t="s">
        <v>8168</v>
      </c>
      <c r="B3038" s="19" t="s">
        <v>8187</v>
      </c>
      <c r="C3038" s="204" t="s">
        <v>24</v>
      </c>
      <c r="D3038" s="204" t="s">
        <v>1242</v>
      </c>
      <c r="E3038" s="204" t="s">
        <v>116</v>
      </c>
      <c r="F3038" s="4" t="s">
        <v>2662</v>
      </c>
      <c r="G3038" s="4" t="s">
        <v>2662</v>
      </c>
      <c r="H3038" s="204" t="s">
        <v>524</v>
      </c>
      <c r="I3038" s="204"/>
      <c r="J3038" s="21">
        <v>0</v>
      </c>
      <c r="K3038" s="21">
        <v>0</v>
      </c>
      <c r="L3038" s="21">
        <v>0</v>
      </c>
      <c r="M3038" s="21">
        <v>0</v>
      </c>
      <c r="N3038" s="21">
        <v>0</v>
      </c>
      <c r="O3038" s="21">
        <v>0</v>
      </c>
      <c r="P3038" s="21">
        <v>0</v>
      </c>
      <c r="Q3038" s="21">
        <v>0</v>
      </c>
      <c r="R3038" s="21">
        <v>0</v>
      </c>
      <c r="S3038" s="21">
        <v>0</v>
      </c>
      <c r="T3038" s="21">
        <v>0</v>
      </c>
      <c r="U3038" s="21">
        <v>0</v>
      </c>
      <c r="V3038" s="21">
        <v>0</v>
      </c>
      <c r="W3038" s="21">
        <v>0</v>
      </c>
      <c r="X3038" s="21">
        <v>0</v>
      </c>
      <c r="Y3038" s="204" t="s">
        <v>2276</v>
      </c>
      <c r="Z3038" s="204" t="s">
        <v>68</v>
      </c>
      <c r="AA3038" s="204" t="s">
        <v>127</v>
      </c>
      <c r="AB3038" s="204" t="s">
        <v>2655</v>
      </c>
      <c r="AC3038" s="204"/>
      <c r="AD3038" s="204"/>
    </row>
    <row r="3039" spans="1:30" ht="36.5" customHeight="1">
      <c r="A3039" s="19" t="s">
        <v>8191</v>
      </c>
      <c r="B3039" s="19" t="s">
        <v>8194</v>
      </c>
      <c r="C3039" s="204" t="s">
        <v>2658</v>
      </c>
      <c r="D3039" s="204" t="s">
        <v>2276</v>
      </c>
      <c r="E3039" s="204" t="s">
        <v>2276</v>
      </c>
      <c r="F3039" s="4" t="s">
        <v>2276</v>
      </c>
      <c r="G3039" s="4" t="s">
        <v>2662</v>
      </c>
      <c r="H3039" s="204" t="s">
        <v>523</v>
      </c>
      <c r="I3039" s="204"/>
      <c r="J3039" s="204" t="s">
        <v>2276</v>
      </c>
      <c r="K3039" s="204" t="s">
        <v>2276</v>
      </c>
      <c r="L3039" s="204" t="s">
        <v>2276</v>
      </c>
      <c r="M3039" s="204" t="s">
        <v>2276</v>
      </c>
      <c r="N3039" s="21">
        <v>25728.41</v>
      </c>
      <c r="O3039" s="204" t="s">
        <v>2276</v>
      </c>
      <c r="P3039" s="21">
        <f>AVERAGE(25728.41, 18917.21)</f>
        <v>22322.809999999998</v>
      </c>
      <c r="Q3039" s="204" t="s">
        <v>2276</v>
      </c>
      <c r="R3039" s="204" t="s">
        <v>2276</v>
      </c>
      <c r="S3039" s="204" t="s">
        <v>2276</v>
      </c>
      <c r="T3039" s="204">
        <v>22322.809999999998</v>
      </c>
      <c r="U3039" s="204" t="s">
        <v>2276</v>
      </c>
      <c r="V3039" s="204" t="s">
        <v>2276</v>
      </c>
      <c r="W3039" s="204" t="s">
        <v>2276</v>
      </c>
      <c r="X3039" s="21">
        <f>13.4876132930514</f>
        <v>13.4876132930514</v>
      </c>
      <c r="Y3039" s="21">
        <v>12</v>
      </c>
      <c r="Z3039" s="204" t="s">
        <v>2276</v>
      </c>
      <c r="AA3039" s="204" t="s">
        <v>2276</v>
      </c>
      <c r="AB3039" s="204" t="s">
        <v>2276</v>
      </c>
      <c r="AC3039" s="4" t="s">
        <v>8196</v>
      </c>
      <c r="AD3039" s="204"/>
    </row>
    <row r="3040" spans="1:30" ht="33.5" customHeight="1">
      <c r="A3040" s="19" t="s">
        <v>8191</v>
      </c>
      <c r="B3040" s="19" t="s">
        <v>8195</v>
      </c>
      <c r="C3040" s="204" t="s">
        <v>24</v>
      </c>
      <c r="D3040" s="204" t="s">
        <v>1242</v>
      </c>
      <c r="E3040" s="204" t="s">
        <v>137</v>
      </c>
      <c r="F3040" s="4" t="s">
        <v>2662</v>
      </c>
      <c r="G3040" s="4" t="s">
        <v>2662</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38</v>
      </c>
      <c r="AA3040" s="204" t="s">
        <v>86</v>
      </c>
      <c r="AB3040" s="204" t="s">
        <v>64</v>
      </c>
      <c r="AC3040" s="204" t="s">
        <v>8199</v>
      </c>
      <c r="AD3040" s="4" t="s">
        <v>8197</v>
      </c>
    </row>
    <row r="3041" spans="1:30" ht="38" customHeight="1">
      <c r="A3041" s="19" t="s">
        <v>8202</v>
      </c>
      <c r="B3041" s="19" t="s">
        <v>8221</v>
      </c>
      <c r="C3041" s="204" t="s">
        <v>24</v>
      </c>
      <c r="D3041" s="204" t="s">
        <v>144</v>
      </c>
      <c r="E3041" s="204" t="s">
        <v>137</v>
      </c>
      <c r="F3041" s="204" t="s">
        <v>74</v>
      </c>
      <c r="G3041" s="4" t="s">
        <v>2276</v>
      </c>
      <c r="H3041" s="204" t="s">
        <v>524</v>
      </c>
      <c r="I3041" s="204"/>
      <c r="J3041" s="21">
        <v>0</v>
      </c>
      <c r="K3041" s="21">
        <v>0</v>
      </c>
      <c r="L3041" s="21">
        <v>0</v>
      </c>
      <c r="M3041" s="21">
        <v>0</v>
      </c>
      <c r="N3041" s="21">
        <v>0</v>
      </c>
      <c r="O3041" s="21">
        <v>0</v>
      </c>
      <c r="P3041" s="21">
        <v>0</v>
      </c>
      <c r="Q3041" s="21">
        <v>0</v>
      </c>
      <c r="R3041" s="21">
        <v>0</v>
      </c>
      <c r="S3041" s="21">
        <v>0</v>
      </c>
      <c r="T3041" s="21">
        <v>0</v>
      </c>
      <c r="U3041" s="21">
        <v>0</v>
      </c>
      <c r="V3041" s="21">
        <v>0</v>
      </c>
      <c r="W3041" s="21">
        <v>0</v>
      </c>
      <c r="X3041" s="21">
        <v>0</v>
      </c>
      <c r="Y3041" s="204" t="s">
        <v>2276</v>
      </c>
      <c r="Z3041" s="204" t="s">
        <v>2276</v>
      </c>
      <c r="AA3041" s="204" t="s">
        <v>2276</v>
      </c>
      <c r="AB3041" s="204" t="s">
        <v>2276</v>
      </c>
      <c r="AC3041" s="4" t="s">
        <v>8228</v>
      </c>
      <c r="AD3041" s="204"/>
    </row>
    <row r="3042" spans="1:30" ht="38" customHeight="1">
      <c r="A3042" s="19" t="s">
        <v>8208</v>
      </c>
      <c r="B3042" s="19" t="s">
        <v>8222</v>
      </c>
      <c r="C3042" s="204" t="s">
        <v>24</v>
      </c>
      <c r="D3042" s="204" t="s">
        <v>144</v>
      </c>
      <c r="E3042" s="204" t="s">
        <v>137</v>
      </c>
      <c r="F3042" s="204" t="s">
        <v>74</v>
      </c>
      <c r="G3042" s="4" t="s">
        <v>2276</v>
      </c>
      <c r="H3042" s="204" t="s">
        <v>524</v>
      </c>
      <c r="I3042" s="204"/>
      <c r="J3042" s="21">
        <v>0</v>
      </c>
      <c r="K3042" s="21">
        <v>0</v>
      </c>
      <c r="L3042" s="21">
        <v>0</v>
      </c>
      <c r="M3042" s="21">
        <v>0</v>
      </c>
      <c r="N3042" s="21">
        <v>0</v>
      </c>
      <c r="O3042" s="21">
        <v>0</v>
      </c>
      <c r="P3042" s="21">
        <v>0</v>
      </c>
      <c r="Q3042" s="21">
        <v>0</v>
      </c>
      <c r="R3042" s="21">
        <v>0</v>
      </c>
      <c r="S3042" s="21">
        <v>0</v>
      </c>
      <c r="T3042" s="21">
        <v>0</v>
      </c>
      <c r="U3042" s="21">
        <v>0</v>
      </c>
      <c r="V3042" s="21">
        <v>0</v>
      </c>
      <c r="W3042" s="21">
        <v>0</v>
      </c>
      <c r="X3042" s="21">
        <v>0</v>
      </c>
      <c r="Y3042" s="204" t="s">
        <v>2276</v>
      </c>
      <c r="Z3042" s="204" t="s">
        <v>2276</v>
      </c>
      <c r="AA3042" s="204" t="s">
        <v>2276</v>
      </c>
      <c r="AB3042" s="204" t="s">
        <v>2276</v>
      </c>
      <c r="AC3042" s="4" t="s">
        <v>8228</v>
      </c>
      <c r="AD3042" s="204"/>
    </row>
    <row r="3043" spans="1:30" ht="38" customHeight="1">
      <c r="A3043" s="19" t="s">
        <v>8209</v>
      </c>
      <c r="B3043" s="19" t="s">
        <v>8223</v>
      </c>
      <c r="C3043" s="204" t="s">
        <v>24</v>
      </c>
      <c r="D3043" s="204" t="s">
        <v>144</v>
      </c>
      <c r="E3043" s="204" t="s">
        <v>137</v>
      </c>
      <c r="F3043" s="204" t="s">
        <v>74</v>
      </c>
      <c r="G3043" s="4" t="s">
        <v>2276</v>
      </c>
      <c r="H3043" s="204" t="s">
        <v>524</v>
      </c>
      <c r="I3043" s="204"/>
      <c r="J3043" s="21">
        <v>0</v>
      </c>
      <c r="K3043" s="21">
        <v>0</v>
      </c>
      <c r="L3043" s="21">
        <v>0</v>
      </c>
      <c r="M3043" s="21">
        <v>0</v>
      </c>
      <c r="N3043" s="21">
        <v>0</v>
      </c>
      <c r="O3043" s="21">
        <v>0</v>
      </c>
      <c r="P3043" s="21">
        <v>0</v>
      </c>
      <c r="Q3043" s="21">
        <v>0</v>
      </c>
      <c r="R3043" s="21">
        <v>0</v>
      </c>
      <c r="S3043" s="21">
        <v>0</v>
      </c>
      <c r="T3043" s="21">
        <v>0</v>
      </c>
      <c r="U3043" s="21">
        <v>0</v>
      </c>
      <c r="V3043" s="21">
        <v>0</v>
      </c>
      <c r="W3043" s="21">
        <v>0</v>
      </c>
      <c r="X3043" s="21">
        <v>0</v>
      </c>
      <c r="Y3043" s="204" t="s">
        <v>2276</v>
      </c>
      <c r="Z3043" s="204" t="s">
        <v>2276</v>
      </c>
      <c r="AA3043" s="204" t="s">
        <v>2276</v>
      </c>
      <c r="AB3043" s="204" t="s">
        <v>2276</v>
      </c>
      <c r="AC3043" s="4" t="s">
        <v>8228</v>
      </c>
      <c r="AD3043" s="204"/>
    </row>
    <row r="3044" spans="1:30" ht="38" customHeight="1">
      <c r="A3044" s="19" t="s">
        <v>8210</v>
      </c>
      <c r="B3044" s="19" t="s">
        <v>8224</v>
      </c>
      <c r="C3044" s="204" t="s">
        <v>24</v>
      </c>
      <c r="D3044" s="204" t="s">
        <v>144</v>
      </c>
      <c r="E3044" s="204" t="s">
        <v>137</v>
      </c>
      <c r="F3044" s="204" t="s">
        <v>74</v>
      </c>
      <c r="G3044" s="4" t="s">
        <v>2276</v>
      </c>
      <c r="H3044" s="204" t="s">
        <v>524</v>
      </c>
      <c r="I3044" s="204"/>
      <c r="J3044" s="21">
        <v>0</v>
      </c>
      <c r="K3044" s="21">
        <v>0</v>
      </c>
      <c r="L3044" s="21">
        <v>0</v>
      </c>
      <c r="M3044" s="21">
        <v>0</v>
      </c>
      <c r="N3044" s="21">
        <v>0</v>
      </c>
      <c r="O3044" s="21">
        <v>0</v>
      </c>
      <c r="P3044" s="21">
        <v>0</v>
      </c>
      <c r="Q3044" s="21">
        <v>0</v>
      </c>
      <c r="R3044" s="21">
        <v>0</v>
      </c>
      <c r="S3044" s="21">
        <v>0</v>
      </c>
      <c r="T3044" s="21">
        <v>0</v>
      </c>
      <c r="U3044" s="21">
        <v>0</v>
      </c>
      <c r="V3044" s="21">
        <v>0</v>
      </c>
      <c r="W3044" s="21">
        <v>0</v>
      </c>
      <c r="X3044" s="21">
        <v>0</v>
      </c>
      <c r="Y3044" s="204" t="s">
        <v>2276</v>
      </c>
      <c r="Z3044" s="204" t="s">
        <v>2276</v>
      </c>
      <c r="AA3044" s="204" t="s">
        <v>2276</v>
      </c>
      <c r="AB3044" s="204" t="s">
        <v>2276</v>
      </c>
      <c r="AC3044" s="4" t="s">
        <v>8228</v>
      </c>
      <c r="AD3044" s="204"/>
    </row>
    <row r="3045" spans="1:30" ht="38" customHeight="1">
      <c r="A3045" s="19" t="s">
        <v>8217</v>
      </c>
      <c r="B3045" s="19" t="s">
        <v>8225</v>
      </c>
      <c r="C3045" s="204" t="s">
        <v>24</v>
      </c>
      <c r="D3045" s="204" t="s">
        <v>144</v>
      </c>
      <c r="E3045" s="204" t="s">
        <v>137</v>
      </c>
      <c r="F3045" s="204" t="s">
        <v>74</v>
      </c>
      <c r="G3045" s="4" t="s">
        <v>2276</v>
      </c>
      <c r="H3045" s="204" t="s">
        <v>524</v>
      </c>
      <c r="I3045" s="204"/>
      <c r="J3045" s="21">
        <v>0</v>
      </c>
      <c r="K3045" s="21">
        <v>0</v>
      </c>
      <c r="L3045" s="21">
        <v>0</v>
      </c>
      <c r="M3045" s="21">
        <v>0</v>
      </c>
      <c r="N3045" s="21">
        <v>0</v>
      </c>
      <c r="O3045" s="21">
        <v>0</v>
      </c>
      <c r="P3045" s="21">
        <v>0</v>
      </c>
      <c r="Q3045" s="21">
        <v>0</v>
      </c>
      <c r="R3045" s="21">
        <v>0</v>
      </c>
      <c r="S3045" s="21">
        <v>0</v>
      </c>
      <c r="T3045" s="21">
        <v>0</v>
      </c>
      <c r="U3045" s="21">
        <v>0</v>
      </c>
      <c r="V3045" s="21">
        <v>0</v>
      </c>
      <c r="W3045" s="21">
        <v>0</v>
      </c>
      <c r="X3045" s="21">
        <v>0</v>
      </c>
      <c r="Y3045" s="204" t="s">
        <v>2276</v>
      </c>
      <c r="Z3045" s="204" t="s">
        <v>2276</v>
      </c>
      <c r="AA3045" s="204" t="s">
        <v>2276</v>
      </c>
      <c r="AB3045" s="204" t="s">
        <v>2276</v>
      </c>
      <c r="AC3045" s="4" t="s">
        <v>8228</v>
      </c>
      <c r="AD3045" s="204"/>
    </row>
    <row r="3046" spans="1:30" ht="38" customHeight="1">
      <c r="A3046" s="19" t="s">
        <v>8218</v>
      </c>
      <c r="B3046" s="19" t="s">
        <v>8226</v>
      </c>
      <c r="C3046" s="204" t="s">
        <v>24</v>
      </c>
      <c r="D3046" s="204" t="s">
        <v>144</v>
      </c>
      <c r="E3046" s="204" t="s">
        <v>137</v>
      </c>
      <c r="F3046" s="204" t="s">
        <v>74</v>
      </c>
      <c r="G3046" s="4" t="s">
        <v>2276</v>
      </c>
      <c r="H3046" s="204" t="s">
        <v>524</v>
      </c>
      <c r="I3046" s="204"/>
      <c r="J3046" s="21">
        <v>0</v>
      </c>
      <c r="K3046" s="21">
        <v>0</v>
      </c>
      <c r="L3046" s="21">
        <v>0</v>
      </c>
      <c r="M3046" s="21">
        <v>0</v>
      </c>
      <c r="N3046" s="21">
        <v>0</v>
      </c>
      <c r="O3046" s="21">
        <v>0</v>
      </c>
      <c r="P3046" s="21">
        <v>0</v>
      </c>
      <c r="Q3046" s="21">
        <v>0</v>
      </c>
      <c r="R3046" s="21">
        <v>0</v>
      </c>
      <c r="S3046" s="21">
        <v>0</v>
      </c>
      <c r="T3046" s="21">
        <v>0</v>
      </c>
      <c r="U3046" s="21">
        <v>0</v>
      </c>
      <c r="V3046" s="21">
        <v>0</v>
      </c>
      <c r="W3046" s="21">
        <v>0</v>
      </c>
      <c r="X3046" s="21">
        <v>0</v>
      </c>
      <c r="Y3046" s="204" t="s">
        <v>2276</v>
      </c>
      <c r="Z3046" s="204" t="s">
        <v>2276</v>
      </c>
      <c r="AA3046" s="204" t="s">
        <v>2276</v>
      </c>
      <c r="AB3046" s="204" t="s">
        <v>2276</v>
      </c>
      <c r="AC3046" s="4" t="s">
        <v>8228</v>
      </c>
      <c r="AD3046" s="204"/>
    </row>
    <row r="3047" spans="1:30" ht="38" customHeight="1">
      <c r="A3047" s="19" t="s">
        <v>8219</v>
      </c>
      <c r="B3047" s="19" t="s">
        <v>8227</v>
      </c>
      <c r="C3047" s="204" t="s">
        <v>24</v>
      </c>
      <c r="D3047" s="204" t="s">
        <v>144</v>
      </c>
      <c r="E3047" s="204" t="s">
        <v>137</v>
      </c>
      <c r="F3047" s="204" t="s">
        <v>74</v>
      </c>
      <c r="G3047" s="4" t="s">
        <v>2276</v>
      </c>
      <c r="H3047" s="204" t="s">
        <v>524</v>
      </c>
      <c r="I3047" s="204"/>
      <c r="J3047" s="21">
        <v>0</v>
      </c>
      <c r="K3047" s="21">
        <v>0</v>
      </c>
      <c r="L3047" s="21">
        <v>0</v>
      </c>
      <c r="M3047" s="21">
        <v>0</v>
      </c>
      <c r="N3047" s="21">
        <v>0</v>
      </c>
      <c r="O3047" s="21">
        <v>0</v>
      </c>
      <c r="P3047" s="21">
        <v>0</v>
      </c>
      <c r="Q3047" s="21">
        <v>0</v>
      </c>
      <c r="R3047" s="21">
        <v>0</v>
      </c>
      <c r="S3047" s="21">
        <v>0</v>
      </c>
      <c r="T3047" s="21">
        <v>0</v>
      </c>
      <c r="U3047" s="21">
        <v>0</v>
      </c>
      <c r="V3047" s="21">
        <v>0</v>
      </c>
      <c r="W3047" s="21">
        <v>0</v>
      </c>
      <c r="X3047" s="21">
        <v>0</v>
      </c>
      <c r="Y3047" s="204" t="s">
        <v>2276</v>
      </c>
      <c r="Z3047" s="204" t="s">
        <v>2276</v>
      </c>
      <c r="AA3047" s="204" t="s">
        <v>2276</v>
      </c>
      <c r="AB3047" s="204" t="s">
        <v>2276</v>
      </c>
      <c r="AC3047" s="4" t="s">
        <v>8228</v>
      </c>
      <c r="AD3047" s="204"/>
    </row>
    <row r="3048" spans="1:30" ht="36.5" customHeight="1">
      <c r="A3048" s="19" t="s">
        <v>8202</v>
      </c>
      <c r="B3048" s="19" t="s">
        <v>8229</v>
      </c>
      <c r="C3048" s="204" t="s">
        <v>1105</v>
      </c>
      <c r="D3048" s="204" t="s">
        <v>2276</v>
      </c>
      <c r="E3048" s="204" t="s">
        <v>1105</v>
      </c>
      <c r="F3048" s="4" t="s">
        <v>2276</v>
      </c>
      <c r="G3048" s="4" t="s">
        <v>2276</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1">
        <f>SUM(0/2, 1.4/6, 4.1/17.5, 36/37.5, 13.3/70)</f>
        <v>1.6176190476190475</v>
      </c>
      <c r="Y3048" s="204" t="s">
        <v>2276</v>
      </c>
      <c r="Z3048" s="204" t="s">
        <v>2276</v>
      </c>
      <c r="AA3048" s="204" t="s">
        <v>2276</v>
      </c>
      <c r="AB3048" s="204" t="s">
        <v>2276</v>
      </c>
      <c r="AC3048" s="204"/>
      <c r="AD3048" s="204"/>
    </row>
    <row r="3049" spans="1:30" ht="36.5" customHeight="1">
      <c r="A3049" s="19" t="s">
        <v>8208</v>
      </c>
      <c r="B3049" s="19" t="s">
        <v>8230</v>
      </c>
      <c r="C3049" s="204" t="s">
        <v>1105</v>
      </c>
      <c r="D3049" s="204" t="s">
        <v>2276</v>
      </c>
      <c r="E3049" s="204" t="s">
        <v>1105</v>
      </c>
      <c r="F3049" s="4" t="s">
        <v>2276</v>
      </c>
      <c r="G3049" s="4" t="s">
        <v>2276</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1">
        <f t="shared" ref="X3049" si="6">SUM(0/2, 1.4/6, 4.1/17.5, 36/37.5, 13.3/70)</f>
        <v>1.6176190476190475</v>
      </c>
      <c r="Y3049" s="204" t="s">
        <v>2276</v>
      </c>
      <c r="Z3049" s="204" t="s">
        <v>2276</v>
      </c>
      <c r="AA3049" s="204" t="s">
        <v>2276</v>
      </c>
      <c r="AB3049" s="204" t="s">
        <v>2276</v>
      </c>
      <c r="AC3049" s="204"/>
      <c r="AD3049" s="204"/>
    </row>
    <row r="3050" spans="1:30" ht="36.5" customHeight="1">
      <c r="A3050" s="19" t="s">
        <v>8209</v>
      </c>
      <c r="B3050" s="19" t="s">
        <v>8231</v>
      </c>
      <c r="C3050" s="204" t="s">
        <v>1105</v>
      </c>
      <c r="D3050" s="204" t="s">
        <v>2276</v>
      </c>
      <c r="E3050" s="204" t="s">
        <v>1105</v>
      </c>
      <c r="F3050" s="4" t="s">
        <v>2276</v>
      </c>
      <c r="G3050" s="4" t="s">
        <v>2276</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1">
        <f>SUM(0.9/2, 4.5/6, 1.4/17.5, 6.4/37.5, 20.4/70)</f>
        <v>1.7420952380952381</v>
      </c>
      <c r="Y3050" s="204" t="s">
        <v>2276</v>
      </c>
      <c r="Z3050" s="204" t="s">
        <v>2276</v>
      </c>
      <c r="AA3050" s="204" t="s">
        <v>2276</v>
      </c>
      <c r="AB3050" s="204" t="s">
        <v>2276</v>
      </c>
      <c r="AC3050" s="204"/>
      <c r="AD3050" s="204"/>
    </row>
    <row r="3051" spans="1:30" ht="36.5" customHeight="1">
      <c r="A3051" s="19" t="s">
        <v>8210</v>
      </c>
      <c r="B3051" s="19" t="s">
        <v>8232</v>
      </c>
      <c r="C3051" s="204" t="s">
        <v>1105</v>
      </c>
      <c r="D3051" s="204" t="s">
        <v>2276</v>
      </c>
      <c r="E3051" s="204" t="s">
        <v>1105</v>
      </c>
      <c r="F3051" s="4" t="s">
        <v>2276</v>
      </c>
      <c r="G3051" s="4" t="s">
        <v>2276</v>
      </c>
      <c r="H3051" s="204" t="s">
        <v>523</v>
      </c>
      <c r="I3051" s="204"/>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1">
        <f>SUM(0/2, 0/6, 0.1/17.5, 3.1/37.5, 7.4/70)</f>
        <v>0.1940952380952381</v>
      </c>
      <c r="Y3051" s="204" t="s">
        <v>2276</v>
      </c>
      <c r="Z3051" s="204" t="s">
        <v>2276</v>
      </c>
      <c r="AA3051" s="204" t="s">
        <v>2276</v>
      </c>
      <c r="AB3051" s="204" t="s">
        <v>2276</v>
      </c>
      <c r="AC3051" s="204"/>
      <c r="AD3051" s="204"/>
    </row>
    <row r="3052" spans="1:30" ht="36.5" customHeight="1">
      <c r="A3052" s="19" t="s">
        <v>8217</v>
      </c>
      <c r="B3052" s="19" t="s">
        <v>8233</v>
      </c>
      <c r="C3052" s="204" t="s">
        <v>1105</v>
      </c>
      <c r="D3052" s="204" t="s">
        <v>2276</v>
      </c>
      <c r="E3052" s="204" t="s">
        <v>1105</v>
      </c>
      <c r="F3052" s="4" t="s">
        <v>2276</v>
      </c>
      <c r="G3052" s="4" t="s">
        <v>2276</v>
      </c>
      <c r="H3052" s="204" t="s">
        <v>523</v>
      </c>
      <c r="I3052" s="204"/>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1">
        <f>SUM(0.6/2, 1.9/6, 7.8/17.5, 9.8/37.5, 5.6/70)</f>
        <v>1.4037142857142859</v>
      </c>
      <c r="Y3052" s="204" t="s">
        <v>2276</v>
      </c>
      <c r="Z3052" s="204" t="s">
        <v>2276</v>
      </c>
      <c r="AA3052" s="204" t="s">
        <v>2276</v>
      </c>
      <c r="AB3052" s="204" t="s">
        <v>2276</v>
      </c>
      <c r="AC3052" s="204"/>
      <c r="AD3052" s="204"/>
    </row>
    <row r="3053" spans="1:30" ht="36.5" customHeight="1">
      <c r="A3053" s="19" t="s">
        <v>8218</v>
      </c>
      <c r="B3053" s="19" t="s">
        <v>8234</v>
      </c>
      <c r="C3053" s="204" t="s">
        <v>1105</v>
      </c>
      <c r="D3053" s="204" t="s">
        <v>2276</v>
      </c>
      <c r="E3053" s="204" t="s">
        <v>1105</v>
      </c>
      <c r="F3053" s="4" t="s">
        <v>2276</v>
      </c>
      <c r="G3053" s="4" t="s">
        <v>2276</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1">
        <f>SUM(0/2, 1/6, 5.2/17.5, 2.6/37.5, 0.7/70)</f>
        <v>0.54314285714285715</v>
      </c>
      <c r="Y3053" s="204" t="s">
        <v>2276</v>
      </c>
      <c r="Z3053" s="204" t="s">
        <v>2276</v>
      </c>
      <c r="AA3053" s="204" t="s">
        <v>2276</v>
      </c>
      <c r="AB3053" s="204" t="s">
        <v>2276</v>
      </c>
      <c r="AC3053" s="204"/>
      <c r="AD3053" s="204"/>
    </row>
    <row r="3054" spans="1:30" ht="36.5" customHeight="1">
      <c r="A3054" s="19" t="s">
        <v>8219</v>
      </c>
      <c r="B3054" s="19" t="s">
        <v>8235</v>
      </c>
      <c r="C3054" s="204" t="s">
        <v>1105</v>
      </c>
      <c r="D3054" s="204" t="s">
        <v>2276</v>
      </c>
      <c r="E3054" s="204" t="s">
        <v>1105</v>
      </c>
      <c r="F3054" s="4" t="s">
        <v>2276</v>
      </c>
      <c r="G3054" s="4" t="s">
        <v>2276</v>
      </c>
      <c r="H3054" s="204" t="s">
        <v>523</v>
      </c>
      <c r="I3054" s="204"/>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1">
        <f>SUM(0/2, 0.4/6, 1.2/17.5, 7/37.5, 2.1/70)</f>
        <v>0.35190476190476194</v>
      </c>
      <c r="Y3054" s="204" t="s">
        <v>2276</v>
      </c>
      <c r="Z3054" s="204" t="s">
        <v>2276</v>
      </c>
      <c r="AA3054" s="204" t="s">
        <v>2276</v>
      </c>
      <c r="AB3054" s="204" t="s">
        <v>2276</v>
      </c>
      <c r="AC3054" s="204"/>
      <c r="AD3054" s="204"/>
    </row>
    <row r="3055" spans="1:30" ht="30" customHeight="1">
      <c r="A3055" s="19" t="s">
        <v>8236</v>
      </c>
      <c r="B3055" s="19" t="s">
        <v>8243</v>
      </c>
      <c r="C3055" s="204" t="s">
        <v>24</v>
      </c>
      <c r="D3055" s="204" t="s">
        <v>25</v>
      </c>
      <c r="E3055" s="204" t="s">
        <v>116</v>
      </c>
      <c r="F3055" s="4" t="s">
        <v>55</v>
      </c>
      <c r="G3055" s="4" t="s">
        <v>55</v>
      </c>
      <c r="H3055" s="204" t="s">
        <v>523</v>
      </c>
      <c r="I3055" s="204"/>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2276</v>
      </c>
      <c r="Y3055" s="204" t="s">
        <v>2276</v>
      </c>
      <c r="Z3055" s="204" t="s">
        <v>86</v>
      </c>
      <c r="AA3055" s="204" t="s">
        <v>86</v>
      </c>
      <c r="AB3055" s="204" t="s">
        <v>2276</v>
      </c>
      <c r="AC3055" s="204"/>
      <c r="AD3055" s="204"/>
    </row>
    <row r="3056" spans="1:30" ht="30" customHeight="1">
      <c r="A3056" s="19" t="s">
        <v>8240</v>
      </c>
      <c r="B3056" s="19" t="s">
        <v>8245</v>
      </c>
      <c r="C3056" s="204" t="s">
        <v>24</v>
      </c>
      <c r="D3056" s="204" t="s">
        <v>25</v>
      </c>
      <c r="E3056" s="204" t="s">
        <v>116</v>
      </c>
      <c r="F3056" s="4" t="s">
        <v>55</v>
      </c>
      <c r="G3056" s="4" t="s">
        <v>55</v>
      </c>
      <c r="H3056" s="204" t="s">
        <v>523</v>
      </c>
      <c r="I3056" s="204"/>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2276</v>
      </c>
      <c r="Y3056" s="204" t="s">
        <v>2276</v>
      </c>
      <c r="Z3056" s="204" t="s">
        <v>86</v>
      </c>
      <c r="AA3056" s="204" t="s">
        <v>86</v>
      </c>
      <c r="AB3056" s="204" t="s">
        <v>2276</v>
      </c>
      <c r="AC3056" s="204"/>
      <c r="AD3056" s="204"/>
    </row>
    <row r="3057" spans="1:30" ht="30" customHeight="1">
      <c r="A3057" s="19" t="s">
        <v>8241</v>
      </c>
      <c r="B3057" s="19" t="s">
        <v>8246</v>
      </c>
      <c r="C3057" s="204" t="s">
        <v>24</v>
      </c>
      <c r="D3057" s="204" t="s">
        <v>25</v>
      </c>
      <c r="E3057" s="204" t="s">
        <v>116</v>
      </c>
      <c r="F3057" s="4" t="s">
        <v>55</v>
      </c>
      <c r="G3057" s="4" t="s">
        <v>55</v>
      </c>
      <c r="H3057" s="204" t="s">
        <v>523</v>
      </c>
      <c r="I3057" s="204"/>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2276</v>
      </c>
      <c r="Y3057" s="204" t="s">
        <v>2276</v>
      </c>
      <c r="Z3057" s="204" t="s">
        <v>86</v>
      </c>
      <c r="AA3057" s="204" t="s">
        <v>86</v>
      </c>
      <c r="AB3057" s="204" t="s">
        <v>2276</v>
      </c>
      <c r="AC3057" s="204"/>
      <c r="AD3057" s="204"/>
    </row>
    <row r="3058" spans="1:30" ht="30" customHeight="1">
      <c r="A3058" s="19" t="s">
        <v>8242</v>
      </c>
      <c r="B3058" s="19" t="s">
        <v>8247</v>
      </c>
      <c r="C3058" s="204" t="s">
        <v>24</v>
      </c>
      <c r="D3058" s="204" t="s">
        <v>25</v>
      </c>
      <c r="E3058" s="204" t="s">
        <v>116</v>
      </c>
      <c r="F3058" s="4" t="s">
        <v>55</v>
      </c>
      <c r="G3058" s="4" t="s">
        <v>55</v>
      </c>
      <c r="H3058" s="204" t="s">
        <v>523</v>
      </c>
      <c r="I3058" s="204"/>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2276</v>
      </c>
      <c r="Y3058" s="204" t="s">
        <v>2276</v>
      </c>
      <c r="Z3058" s="204" t="s">
        <v>86</v>
      </c>
      <c r="AA3058" s="204" t="s">
        <v>86</v>
      </c>
      <c r="AB3058" s="204" t="s">
        <v>2276</v>
      </c>
      <c r="AC3058" s="204"/>
      <c r="AD3058" s="204"/>
    </row>
    <row r="3059" spans="1:30" ht="51" customHeight="1">
      <c r="A3059" s="19" t="s">
        <v>8236</v>
      </c>
      <c r="B3059" s="19" t="s">
        <v>8248</v>
      </c>
      <c r="C3059" s="204" t="s">
        <v>1105</v>
      </c>
      <c r="D3059" s="204" t="s">
        <v>2276</v>
      </c>
      <c r="E3059" s="204" t="s">
        <v>1105</v>
      </c>
      <c r="F3059" s="4" t="s">
        <v>2276</v>
      </c>
      <c r="G3059" s="4" t="s">
        <v>2662</v>
      </c>
      <c r="H3059" s="204" t="s">
        <v>523</v>
      </c>
      <c r="I3059" s="204"/>
      <c r="J3059" s="21">
        <f>58/(22/24)/2680.59</f>
        <v>2.3604030184671013E-2</v>
      </c>
      <c r="K3059" s="204" t="s">
        <v>2276</v>
      </c>
      <c r="L3059" s="204" t="s">
        <v>2276</v>
      </c>
      <c r="M3059" s="204" t="s">
        <v>2276</v>
      </c>
      <c r="N3059" s="204" t="s">
        <v>2276</v>
      </c>
      <c r="O3059" s="204" t="s">
        <v>2276</v>
      </c>
      <c r="P3059" s="21">
        <f>223357/58</f>
        <v>3850.9827586206898</v>
      </c>
      <c r="Q3059" s="204" t="s">
        <v>2276</v>
      </c>
      <c r="R3059" s="204" t="s">
        <v>2276</v>
      </c>
      <c r="S3059" s="204" t="s">
        <v>2276</v>
      </c>
      <c r="T3059" s="204" t="s">
        <v>2276</v>
      </c>
      <c r="U3059" s="204" t="s">
        <v>2276</v>
      </c>
      <c r="V3059" s="204" t="s">
        <v>2276</v>
      </c>
      <c r="W3059" s="204" t="s">
        <v>2276</v>
      </c>
      <c r="X3059" s="204" t="s">
        <v>2276</v>
      </c>
      <c r="Y3059" s="204" t="s">
        <v>2276</v>
      </c>
      <c r="Z3059" s="204" t="s">
        <v>86</v>
      </c>
      <c r="AA3059" s="204" t="s">
        <v>404</v>
      </c>
      <c r="AB3059" s="204" t="s">
        <v>2655</v>
      </c>
      <c r="AC3059" s="4" t="s">
        <v>8255</v>
      </c>
      <c r="AD3059" s="204"/>
    </row>
    <row r="3060" spans="1:30" ht="51" customHeight="1">
      <c r="A3060" s="19" t="s">
        <v>8240</v>
      </c>
      <c r="B3060" s="19" t="s">
        <v>8244</v>
      </c>
      <c r="C3060" s="204" t="s">
        <v>1105</v>
      </c>
      <c r="D3060" s="204" t="s">
        <v>2276</v>
      </c>
      <c r="E3060" s="204" t="s">
        <v>1105</v>
      </c>
      <c r="F3060" s="4" t="s">
        <v>2276</v>
      </c>
      <c r="G3060" s="4" t="s">
        <v>2662</v>
      </c>
      <c r="H3060" s="204" t="s">
        <v>523</v>
      </c>
      <c r="I3060" s="204"/>
      <c r="J3060" s="21">
        <f>171/(22/24)/3832.09</f>
        <v>4.8679820814608886E-2</v>
      </c>
      <c r="K3060" s="204" t="s">
        <v>2276</v>
      </c>
      <c r="L3060" s="204" t="s">
        <v>2276</v>
      </c>
      <c r="M3060" s="204" t="s">
        <v>2276</v>
      </c>
      <c r="N3060" s="204" t="s">
        <v>2276</v>
      </c>
      <c r="O3060" s="204" t="s">
        <v>2276</v>
      </c>
      <c r="P3060" s="21">
        <f>94002/171</f>
        <v>549.71929824561403</v>
      </c>
      <c r="Q3060" s="204" t="s">
        <v>2276</v>
      </c>
      <c r="R3060" s="204" t="s">
        <v>2276</v>
      </c>
      <c r="S3060" s="204" t="s">
        <v>2276</v>
      </c>
      <c r="T3060" s="204" t="s">
        <v>2276</v>
      </c>
      <c r="U3060" s="204" t="s">
        <v>2276</v>
      </c>
      <c r="V3060" s="204" t="s">
        <v>2276</v>
      </c>
      <c r="W3060" s="204" t="s">
        <v>2276</v>
      </c>
      <c r="X3060" s="204" t="s">
        <v>2276</v>
      </c>
      <c r="Y3060" s="204" t="s">
        <v>2276</v>
      </c>
      <c r="Z3060" s="204" t="s">
        <v>86</v>
      </c>
      <c r="AA3060" s="204" t="s">
        <v>404</v>
      </c>
      <c r="AB3060" s="204" t="s">
        <v>2655</v>
      </c>
      <c r="AC3060" s="4" t="s">
        <v>8255</v>
      </c>
      <c r="AD3060" s="204"/>
    </row>
    <row r="3061" spans="1:30" ht="51" customHeight="1">
      <c r="A3061" s="19" t="s">
        <v>8241</v>
      </c>
      <c r="B3061" s="19" t="s">
        <v>8249</v>
      </c>
      <c r="C3061" s="204" t="s">
        <v>1105</v>
      </c>
      <c r="D3061" s="204" t="s">
        <v>2276</v>
      </c>
      <c r="E3061" s="204" t="s">
        <v>1105</v>
      </c>
      <c r="F3061" s="4" t="s">
        <v>2276</v>
      </c>
      <c r="G3061" s="4" t="s">
        <v>2662</v>
      </c>
      <c r="H3061" s="204" t="s">
        <v>523</v>
      </c>
      <c r="I3061" s="204"/>
      <c r="J3061" s="21">
        <f>171/(22/24)/3832.09</f>
        <v>4.8679820814608886E-2</v>
      </c>
      <c r="K3061" s="204" t="s">
        <v>2276</v>
      </c>
      <c r="L3061" s="204" t="s">
        <v>2276</v>
      </c>
      <c r="M3061" s="204" t="s">
        <v>2276</v>
      </c>
      <c r="N3061" s="204" t="s">
        <v>2276</v>
      </c>
      <c r="O3061" s="204" t="s">
        <v>2276</v>
      </c>
      <c r="P3061" s="21">
        <f>94002/171</f>
        <v>549.71929824561403</v>
      </c>
      <c r="Q3061" s="204" t="s">
        <v>2276</v>
      </c>
      <c r="R3061" s="204" t="s">
        <v>2276</v>
      </c>
      <c r="S3061" s="204" t="s">
        <v>2276</v>
      </c>
      <c r="T3061" s="204" t="s">
        <v>2276</v>
      </c>
      <c r="U3061" s="204" t="s">
        <v>2276</v>
      </c>
      <c r="V3061" s="204" t="s">
        <v>2276</v>
      </c>
      <c r="W3061" s="204" t="s">
        <v>2276</v>
      </c>
      <c r="X3061" s="204" t="s">
        <v>2276</v>
      </c>
      <c r="Y3061" s="204" t="s">
        <v>2276</v>
      </c>
      <c r="Z3061" s="204" t="s">
        <v>86</v>
      </c>
      <c r="AA3061" s="204" t="s">
        <v>404</v>
      </c>
      <c r="AB3061" s="204" t="s">
        <v>2655</v>
      </c>
      <c r="AC3061" s="4" t="s">
        <v>8255</v>
      </c>
      <c r="AD3061" s="204"/>
    </row>
    <row r="3062" spans="1:30" ht="51" customHeight="1">
      <c r="A3062" s="19" t="s">
        <v>8242</v>
      </c>
      <c r="B3062" s="19" t="s">
        <v>8250</v>
      </c>
      <c r="C3062" s="204" t="s">
        <v>1105</v>
      </c>
      <c r="D3062" s="204" t="s">
        <v>2276</v>
      </c>
      <c r="E3062" s="204" t="s">
        <v>1105</v>
      </c>
      <c r="F3062" s="4" t="s">
        <v>2276</v>
      </c>
      <c r="G3062" s="4" t="s">
        <v>2662</v>
      </c>
      <c r="H3062" s="204" t="s">
        <v>523</v>
      </c>
      <c r="I3062" s="204"/>
      <c r="J3062" s="21">
        <f>49/(22/24)/276.36</f>
        <v>0.19342359767891681</v>
      </c>
      <c r="K3062" s="204" t="s">
        <v>2276</v>
      </c>
      <c r="L3062" s="204" t="s">
        <v>2276</v>
      </c>
      <c r="M3062" s="204" t="s">
        <v>2276</v>
      </c>
      <c r="N3062" s="204" t="s">
        <v>2276</v>
      </c>
      <c r="O3062" s="204" t="s">
        <v>2276</v>
      </c>
      <c r="P3062" s="21">
        <f>9939/49</f>
        <v>202.83673469387756</v>
      </c>
      <c r="Q3062" s="204" t="s">
        <v>2276</v>
      </c>
      <c r="R3062" s="204" t="s">
        <v>2276</v>
      </c>
      <c r="S3062" s="204" t="s">
        <v>2276</v>
      </c>
      <c r="T3062" s="204" t="s">
        <v>2276</v>
      </c>
      <c r="U3062" s="204" t="s">
        <v>2276</v>
      </c>
      <c r="V3062" s="204" t="s">
        <v>2276</v>
      </c>
      <c r="W3062" s="204" t="s">
        <v>2276</v>
      </c>
      <c r="X3062" s="204" t="s">
        <v>2276</v>
      </c>
      <c r="Y3062" s="204" t="s">
        <v>2276</v>
      </c>
      <c r="Z3062" s="204" t="s">
        <v>86</v>
      </c>
      <c r="AA3062" s="204" t="s">
        <v>404</v>
      </c>
      <c r="AB3062" s="204" t="s">
        <v>2655</v>
      </c>
      <c r="AC3062" s="4" t="s">
        <v>8255</v>
      </c>
      <c r="AD3062" s="204"/>
    </row>
    <row r="3063" spans="1:30" ht="29" customHeight="1">
      <c r="A3063" s="19" t="s">
        <v>8236</v>
      </c>
      <c r="B3063" s="19" t="s">
        <v>8251</v>
      </c>
      <c r="C3063" s="204" t="s">
        <v>2656</v>
      </c>
      <c r="D3063" s="204" t="s">
        <v>2276</v>
      </c>
      <c r="E3063" s="204" t="s">
        <v>1105</v>
      </c>
      <c r="F3063" s="4" t="s">
        <v>2276</v>
      </c>
      <c r="G3063" s="4" t="s">
        <v>2662</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34</v>
      </c>
      <c r="AA3063" s="204" t="s">
        <v>404</v>
      </c>
      <c r="AB3063" s="204" t="s">
        <v>2655</v>
      </c>
      <c r="AC3063" s="204"/>
      <c r="AD3063" s="204"/>
    </row>
    <row r="3064" spans="1:30" ht="29" customHeight="1">
      <c r="A3064" s="19" t="s">
        <v>8240</v>
      </c>
      <c r="B3064" s="19" t="s">
        <v>8252</v>
      </c>
      <c r="C3064" s="204" t="s">
        <v>2656</v>
      </c>
      <c r="D3064" s="204" t="s">
        <v>2276</v>
      </c>
      <c r="E3064" s="204" t="s">
        <v>1105</v>
      </c>
      <c r="F3064" s="4" t="s">
        <v>2276</v>
      </c>
      <c r="G3064" s="4" t="s">
        <v>2662</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04" t="s">
        <v>2276</v>
      </c>
      <c r="Z3064" s="204" t="s">
        <v>34</v>
      </c>
      <c r="AA3064" s="204" t="s">
        <v>404</v>
      </c>
      <c r="AB3064" s="204" t="s">
        <v>2655</v>
      </c>
      <c r="AC3064" s="204"/>
      <c r="AD3064" s="204"/>
    </row>
    <row r="3065" spans="1:30" ht="29" customHeight="1">
      <c r="A3065" s="19" t="s">
        <v>8241</v>
      </c>
      <c r="B3065" s="19" t="s">
        <v>8253</v>
      </c>
      <c r="C3065" s="204" t="s">
        <v>2656</v>
      </c>
      <c r="D3065" s="204" t="s">
        <v>2276</v>
      </c>
      <c r="E3065" s="204" t="s">
        <v>1105</v>
      </c>
      <c r="F3065" s="4" t="s">
        <v>2276</v>
      </c>
      <c r="G3065" s="4" t="s">
        <v>2662</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34</v>
      </c>
      <c r="AA3065" s="204" t="s">
        <v>404</v>
      </c>
      <c r="AB3065" s="204" t="s">
        <v>2655</v>
      </c>
      <c r="AC3065" s="204"/>
      <c r="AD3065" s="204"/>
    </row>
    <row r="3066" spans="1:30" ht="29" customHeight="1">
      <c r="A3066" s="19" t="s">
        <v>8242</v>
      </c>
      <c r="B3066" s="19" t="s">
        <v>8254</v>
      </c>
      <c r="C3066" s="204" t="s">
        <v>2656</v>
      </c>
      <c r="D3066" s="204" t="s">
        <v>2276</v>
      </c>
      <c r="E3066" s="204" t="s">
        <v>1105</v>
      </c>
      <c r="F3066" s="4" t="s">
        <v>2276</v>
      </c>
      <c r="G3066" s="4" t="s">
        <v>2662</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34</v>
      </c>
      <c r="AA3066" s="204" t="s">
        <v>404</v>
      </c>
      <c r="AB3066" s="204" t="s">
        <v>2655</v>
      </c>
      <c r="AC3066" s="204"/>
      <c r="AD3066" s="204"/>
    </row>
    <row r="3067" spans="1:30" ht="39" customHeight="1">
      <c r="A3067" s="19" t="s">
        <v>8257</v>
      </c>
      <c r="B3067" s="19" t="s">
        <v>8259</v>
      </c>
      <c r="C3067" s="204" t="s">
        <v>24</v>
      </c>
      <c r="D3067" s="204" t="s">
        <v>1245</v>
      </c>
      <c r="E3067" s="204" t="s">
        <v>116</v>
      </c>
      <c r="F3067" s="4" t="s">
        <v>2662</v>
      </c>
      <c r="G3067" s="4" t="s">
        <v>2662</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14">
        <v>0.5</v>
      </c>
      <c r="Z3067" s="204" t="s">
        <v>425</v>
      </c>
      <c r="AA3067" s="204" t="s">
        <v>68</v>
      </c>
      <c r="AB3067" s="204" t="s">
        <v>76</v>
      </c>
      <c r="AC3067" s="4" t="s">
        <v>8267</v>
      </c>
      <c r="AD3067" s="4" t="s">
        <v>8268</v>
      </c>
    </row>
    <row r="3068" spans="1:30" ht="39" customHeight="1">
      <c r="A3068" s="19" t="s">
        <v>8257</v>
      </c>
      <c r="B3068" s="19" t="s">
        <v>8260</v>
      </c>
      <c r="C3068" s="204" t="s">
        <v>24</v>
      </c>
      <c r="D3068" s="204" t="s">
        <v>2341</v>
      </c>
      <c r="E3068" s="204" t="s">
        <v>116</v>
      </c>
      <c r="F3068" s="4" t="s">
        <v>2662</v>
      </c>
      <c r="G3068" s="4" t="s">
        <v>2662</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425</v>
      </c>
      <c r="AA3068" s="204" t="s">
        <v>68</v>
      </c>
      <c r="AB3068" s="204" t="s">
        <v>76</v>
      </c>
      <c r="AC3068" s="204"/>
      <c r="AD3068" s="4" t="s">
        <v>8268</v>
      </c>
    </row>
    <row r="3069" spans="1:30" ht="33.5" customHeight="1">
      <c r="A3069" s="19" t="s">
        <v>8257</v>
      </c>
      <c r="B3069" s="19" t="s">
        <v>8261</v>
      </c>
      <c r="C3069" s="204" t="s">
        <v>24</v>
      </c>
      <c r="D3069" s="204" t="s">
        <v>1242</v>
      </c>
      <c r="E3069" s="204" t="s">
        <v>116</v>
      </c>
      <c r="F3069" s="4" t="s">
        <v>2662</v>
      </c>
      <c r="G3069" s="4" t="s">
        <v>2662</v>
      </c>
      <c r="H3069" s="204" t="s">
        <v>523</v>
      </c>
      <c r="J3069" s="38" t="s">
        <v>2276</v>
      </c>
      <c r="K3069" s="38" t="s">
        <v>2276</v>
      </c>
      <c r="L3069" s="38" t="s">
        <v>2276</v>
      </c>
      <c r="M3069" s="38" t="s">
        <v>2276</v>
      </c>
      <c r="N3069" s="38" t="s">
        <v>2276</v>
      </c>
      <c r="O3069" s="38" t="s">
        <v>2276</v>
      </c>
      <c r="P3069" s="38" t="s">
        <v>2276</v>
      </c>
      <c r="Q3069" s="38" t="s">
        <v>2276</v>
      </c>
      <c r="R3069" s="38" t="s">
        <v>2276</v>
      </c>
      <c r="S3069" s="38" t="s">
        <v>2276</v>
      </c>
      <c r="T3069" s="38" t="s">
        <v>2276</v>
      </c>
      <c r="U3069" s="38" t="s">
        <v>2276</v>
      </c>
      <c r="V3069" s="38" t="s">
        <v>2276</v>
      </c>
      <c r="W3069" s="38" t="s">
        <v>2276</v>
      </c>
      <c r="X3069" s="38" t="s">
        <v>2276</v>
      </c>
      <c r="Y3069" s="38" t="s">
        <v>2276</v>
      </c>
      <c r="Z3069" s="38" t="s">
        <v>189</v>
      </c>
      <c r="AA3069" s="38" t="s">
        <v>38</v>
      </c>
      <c r="AB3069" s="38" t="s">
        <v>2655</v>
      </c>
      <c r="AC3069" s="168" t="s">
        <v>8266</v>
      </c>
      <c r="AD3069" s="4" t="s">
        <v>8268</v>
      </c>
    </row>
    <row r="3070" spans="1:30" ht="41" customHeight="1">
      <c r="A3070" s="19" t="s">
        <v>8257</v>
      </c>
      <c r="B3070" s="19" t="s">
        <v>8262</v>
      </c>
      <c r="C3070" s="204" t="s">
        <v>24</v>
      </c>
      <c r="D3070" s="204" t="s">
        <v>2305</v>
      </c>
      <c r="E3070" s="204" t="s">
        <v>116</v>
      </c>
      <c r="F3070" s="4" t="s">
        <v>2662</v>
      </c>
      <c r="G3070" s="4" t="s">
        <v>2662</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38</v>
      </c>
      <c r="AA3070" s="204" t="s">
        <v>34</v>
      </c>
      <c r="AB3070" s="204" t="s">
        <v>2655</v>
      </c>
      <c r="AC3070" s="168" t="s">
        <v>8266</v>
      </c>
      <c r="AD3070" s="4" t="s">
        <v>8268</v>
      </c>
    </row>
    <row r="3071" spans="1:30" ht="38" customHeight="1">
      <c r="A3071" s="19" t="s">
        <v>8257</v>
      </c>
      <c r="B3071" s="19" t="s">
        <v>8263</v>
      </c>
      <c r="C3071" s="204" t="s">
        <v>24</v>
      </c>
      <c r="D3071" s="204" t="s">
        <v>3480</v>
      </c>
      <c r="E3071" s="204" t="s">
        <v>116</v>
      </c>
      <c r="F3071" s="4" t="s">
        <v>2662</v>
      </c>
      <c r="G3071" s="4" t="s">
        <v>2662</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38</v>
      </c>
      <c r="AA3071" s="204" t="s">
        <v>34</v>
      </c>
      <c r="AB3071" s="204" t="s">
        <v>64</v>
      </c>
      <c r="AC3071" s="4"/>
      <c r="AD3071" s="4" t="s">
        <v>8268</v>
      </c>
    </row>
    <row r="3072" spans="1:30" ht="31" customHeight="1">
      <c r="A3072" s="19" t="s">
        <v>8257</v>
      </c>
      <c r="B3072" s="19" t="s">
        <v>8264</v>
      </c>
      <c r="C3072" s="204" t="s">
        <v>24</v>
      </c>
      <c r="D3072" s="204" t="s">
        <v>1242</v>
      </c>
      <c r="E3072" s="204" t="s">
        <v>116</v>
      </c>
      <c r="F3072" s="4" t="s">
        <v>2662</v>
      </c>
      <c r="G3072" s="4" t="s">
        <v>2662</v>
      </c>
      <c r="H3072" s="204" t="s">
        <v>523</v>
      </c>
      <c r="I3072" s="204"/>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2276</v>
      </c>
      <c r="Y3072" s="204" t="s">
        <v>2276</v>
      </c>
      <c r="Z3072" s="204" t="s">
        <v>34</v>
      </c>
      <c r="AA3072" s="204" t="s">
        <v>405</v>
      </c>
      <c r="AB3072" s="204" t="s">
        <v>64</v>
      </c>
      <c r="AC3072" s="4" t="s">
        <v>8265</v>
      </c>
      <c r="AD3072" s="4" t="s">
        <v>8268</v>
      </c>
    </row>
    <row r="3073" spans="1:30" ht="36" customHeight="1">
      <c r="A3073" s="19" t="s">
        <v>8271</v>
      </c>
      <c r="B3073" s="19" t="s">
        <v>8275</v>
      </c>
      <c r="C3073" s="204" t="s">
        <v>24</v>
      </c>
      <c r="D3073" s="204" t="s">
        <v>1245</v>
      </c>
      <c r="E3073" s="204" t="s">
        <v>116</v>
      </c>
      <c r="F3073" s="4" t="s">
        <v>74</v>
      </c>
      <c r="G3073" s="4" t="s">
        <v>74</v>
      </c>
      <c r="H3073" s="204" t="s">
        <v>524</v>
      </c>
      <c r="I3073" s="204">
        <v>1996</v>
      </c>
      <c r="J3073" s="14">
        <v>0</v>
      </c>
      <c r="K3073" s="21">
        <v>0</v>
      </c>
      <c r="L3073" s="21">
        <v>0</v>
      </c>
      <c r="M3073" s="21">
        <v>0</v>
      </c>
      <c r="N3073" s="21">
        <v>0</v>
      </c>
      <c r="O3073" s="21">
        <v>0</v>
      </c>
      <c r="P3073" s="21">
        <v>0</v>
      </c>
      <c r="Q3073" s="21">
        <v>0</v>
      </c>
      <c r="R3073" s="21">
        <v>0</v>
      </c>
      <c r="S3073" s="21">
        <v>0</v>
      </c>
      <c r="T3073" s="21">
        <v>0</v>
      </c>
      <c r="U3073" s="21">
        <v>0</v>
      </c>
      <c r="V3073" s="21">
        <v>0</v>
      </c>
      <c r="W3073" s="21">
        <v>0</v>
      </c>
      <c r="X3073" s="21">
        <v>0</v>
      </c>
      <c r="Y3073" s="204" t="s">
        <v>2276</v>
      </c>
      <c r="Z3073" s="204" t="s">
        <v>2276</v>
      </c>
      <c r="AA3073" s="204" t="s">
        <v>2276</v>
      </c>
      <c r="AB3073" s="204" t="s">
        <v>2276</v>
      </c>
      <c r="AC3073" s="204"/>
      <c r="AD3073" s="204"/>
    </row>
    <row r="3074" spans="1:30" ht="33" customHeight="1">
      <c r="A3074" s="19" t="s">
        <v>8271</v>
      </c>
      <c r="B3074" s="19" t="s">
        <v>8276</v>
      </c>
      <c r="C3074" s="204" t="s">
        <v>2656</v>
      </c>
      <c r="D3074" s="204" t="s">
        <v>2276</v>
      </c>
      <c r="E3074" s="204" t="s">
        <v>1105</v>
      </c>
      <c r="F3074" s="4" t="s">
        <v>2276</v>
      </c>
      <c r="G3074" s="4" t="s">
        <v>74</v>
      </c>
      <c r="H3074" s="204" t="s">
        <v>523</v>
      </c>
      <c r="I3074" s="204"/>
      <c r="J3074" s="204" t="s">
        <v>2276</v>
      </c>
      <c r="K3074" s="204" t="s">
        <v>2276</v>
      </c>
      <c r="L3074" s="204" t="s">
        <v>2276</v>
      </c>
      <c r="M3074" s="204" t="s">
        <v>2276</v>
      </c>
      <c r="N3074" s="204" t="s">
        <v>2276</v>
      </c>
      <c r="O3074" s="204" t="s">
        <v>2276</v>
      </c>
      <c r="P3074" s="204" t="s">
        <v>2276</v>
      </c>
      <c r="Q3074" s="204" t="s">
        <v>2276</v>
      </c>
      <c r="R3074" s="21">
        <v>0.1</v>
      </c>
      <c r="S3074" s="204" t="s">
        <v>2276</v>
      </c>
      <c r="T3074" s="204" t="s">
        <v>2276</v>
      </c>
      <c r="U3074" s="204" t="s">
        <v>2276</v>
      </c>
      <c r="V3074" s="204" t="s">
        <v>2276</v>
      </c>
      <c r="W3074" s="204" t="s">
        <v>2276</v>
      </c>
      <c r="X3074" s="204" t="s">
        <v>2276</v>
      </c>
      <c r="Y3074" s="204" t="s">
        <v>2276</v>
      </c>
      <c r="Z3074" s="204" t="s">
        <v>2276</v>
      </c>
      <c r="AA3074" s="204" t="s">
        <v>2276</v>
      </c>
      <c r="AB3074" s="204" t="s">
        <v>2276</v>
      </c>
      <c r="AC3074" s="204"/>
      <c r="AD3074" s="204"/>
    </row>
    <row r="3075" spans="1:30" ht="40" customHeight="1">
      <c r="A3075" s="19" t="s">
        <v>8271</v>
      </c>
      <c r="B3075" s="19" t="s">
        <v>8280</v>
      </c>
      <c r="C3075" s="204" t="s">
        <v>24</v>
      </c>
      <c r="D3075" s="204" t="s">
        <v>1245</v>
      </c>
      <c r="E3075" s="204" t="s">
        <v>116</v>
      </c>
      <c r="F3075" s="4" t="s">
        <v>74</v>
      </c>
      <c r="G3075" s="4" t="s">
        <v>74</v>
      </c>
      <c r="H3075" s="204" t="s">
        <v>523</v>
      </c>
      <c r="I3075" s="204">
        <v>1950</v>
      </c>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2276</v>
      </c>
      <c r="Y3075" s="204" t="s">
        <v>2276</v>
      </c>
      <c r="Z3075" s="204" t="s">
        <v>2276</v>
      </c>
      <c r="AA3075" s="204" t="s">
        <v>189</v>
      </c>
      <c r="AB3075" s="204" t="s">
        <v>38</v>
      </c>
      <c r="AC3075" s="204"/>
      <c r="AD3075" s="204"/>
    </row>
    <row r="3076" spans="1:30" ht="38" customHeight="1">
      <c r="A3076" s="19" t="s">
        <v>8271</v>
      </c>
      <c r="B3076" s="19" t="s">
        <v>8282</v>
      </c>
      <c r="C3076" s="204" t="s">
        <v>24</v>
      </c>
      <c r="D3076" s="204" t="s">
        <v>3480</v>
      </c>
      <c r="E3076" s="204" t="s">
        <v>116</v>
      </c>
      <c r="F3076" s="4" t="s">
        <v>74</v>
      </c>
      <c r="G3076" s="4" t="s">
        <v>74</v>
      </c>
      <c r="H3076" s="204" t="s">
        <v>523</v>
      </c>
      <c r="I3076" s="204">
        <v>1950</v>
      </c>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2276</v>
      </c>
      <c r="AA3076" s="204" t="s">
        <v>189</v>
      </c>
      <c r="AB3076" s="204" t="s">
        <v>38</v>
      </c>
      <c r="AC3076" s="204"/>
      <c r="AD3076" s="204"/>
    </row>
    <row r="3077" spans="1:30" ht="33.5" customHeight="1">
      <c r="A3077" s="19" t="s">
        <v>8284</v>
      </c>
      <c r="B3077" s="19" t="s">
        <v>8288</v>
      </c>
      <c r="C3077" s="204" t="s">
        <v>24</v>
      </c>
      <c r="D3077" s="204" t="s">
        <v>1242</v>
      </c>
      <c r="E3077" s="204" t="s">
        <v>116</v>
      </c>
      <c r="F3077" s="4" t="s">
        <v>2662</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2276</v>
      </c>
      <c r="AA3077" s="204" t="s">
        <v>2276</v>
      </c>
      <c r="AB3077" s="204" t="s">
        <v>2276</v>
      </c>
      <c r="AC3077" s="204"/>
      <c r="AD3077" s="204"/>
    </row>
    <row r="3078" spans="1:30" ht="33.5" customHeight="1">
      <c r="A3078" s="19" t="s">
        <v>8285</v>
      </c>
      <c r="B3078" s="19" t="s">
        <v>8289</v>
      </c>
      <c r="C3078" s="204" t="s">
        <v>24</v>
      </c>
      <c r="D3078" s="204" t="s">
        <v>1242</v>
      </c>
      <c r="E3078" s="204" t="s">
        <v>116</v>
      </c>
      <c r="F3078" s="4" t="s">
        <v>2662</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2276</v>
      </c>
      <c r="AA3078" s="204" t="s">
        <v>2276</v>
      </c>
      <c r="AB3078" s="204" t="s">
        <v>2276</v>
      </c>
      <c r="AC3078" s="204"/>
      <c r="AD3078" s="204"/>
    </row>
    <row r="3079" spans="1:30" ht="33.5" customHeight="1">
      <c r="A3079" s="19" t="s">
        <v>8286</v>
      </c>
      <c r="B3079" s="19" t="s">
        <v>8290</v>
      </c>
      <c r="C3079" s="204" t="s">
        <v>24</v>
      </c>
      <c r="D3079" s="204" t="s">
        <v>1242</v>
      </c>
      <c r="E3079" s="204" t="s">
        <v>116</v>
      </c>
      <c r="F3079" s="4" t="s">
        <v>2662</v>
      </c>
      <c r="G3079" s="4" t="s">
        <v>2662</v>
      </c>
      <c r="H3079" s="204" t="s">
        <v>523</v>
      </c>
      <c r="I3079" s="204"/>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2276</v>
      </c>
      <c r="AA3079" s="204" t="s">
        <v>2276</v>
      </c>
      <c r="AB3079" s="204" t="s">
        <v>2276</v>
      </c>
      <c r="AC3079" s="204"/>
      <c r="AD3079" s="204"/>
    </row>
    <row r="3080" spans="1:30" ht="33.5" customHeight="1">
      <c r="A3080" s="19" t="s">
        <v>8284</v>
      </c>
      <c r="B3080" s="19" t="s">
        <v>8293</v>
      </c>
      <c r="C3080" s="204" t="s">
        <v>24</v>
      </c>
      <c r="D3080" s="204" t="s">
        <v>1242</v>
      </c>
      <c r="E3080" s="204" t="s">
        <v>3209</v>
      </c>
      <c r="F3080" s="4" t="s">
        <v>2662</v>
      </c>
      <c r="G3080" s="4" t="s">
        <v>2662</v>
      </c>
      <c r="H3080" s="204" t="s">
        <v>523</v>
      </c>
      <c r="I3080" s="204"/>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204" t="s">
        <v>2276</v>
      </c>
      <c r="AB3080" s="204" t="s">
        <v>2276</v>
      </c>
      <c r="AC3080" s="204"/>
      <c r="AD3080" s="204"/>
    </row>
    <row r="3081" spans="1:30" ht="33.5" customHeight="1">
      <c r="A3081" s="19" t="s">
        <v>8285</v>
      </c>
      <c r="B3081" s="19" t="s">
        <v>8294</v>
      </c>
      <c r="C3081" s="204" t="s">
        <v>24</v>
      </c>
      <c r="D3081" s="204" t="s">
        <v>1242</v>
      </c>
      <c r="E3081" s="204" t="s">
        <v>3209</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2276</v>
      </c>
      <c r="AA3081" s="204" t="s">
        <v>2276</v>
      </c>
      <c r="AB3081" s="204" t="s">
        <v>2276</v>
      </c>
      <c r="AC3081" s="204"/>
      <c r="AD3081" s="204"/>
    </row>
    <row r="3082" spans="1:30" ht="33.5" customHeight="1">
      <c r="A3082" s="19" t="s">
        <v>8286</v>
      </c>
      <c r="B3082" s="19" t="s">
        <v>8291</v>
      </c>
      <c r="C3082" s="204" t="s">
        <v>24</v>
      </c>
      <c r="D3082" s="204" t="s">
        <v>1242</v>
      </c>
      <c r="E3082" s="204" t="s">
        <v>3209</v>
      </c>
      <c r="F3082" s="4" t="s">
        <v>2662</v>
      </c>
      <c r="G3082" s="4" t="s">
        <v>2662</v>
      </c>
      <c r="H3082" s="204" t="s">
        <v>523</v>
      </c>
      <c r="I3082" s="204"/>
      <c r="J3082" s="204" t="s">
        <v>2276</v>
      </c>
      <c r="K3082" s="204" t="s">
        <v>2276</v>
      </c>
      <c r="L3082" s="204" t="s">
        <v>2276</v>
      </c>
      <c r="M3082" s="204" t="s">
        <v>2276</v>
      </c>
      <c r="N3082" s="204" t="s">
        <v>2276</v>
      </c>
      <c r="O3082" s="204" t="s">
        <v>2276</v>
      </c>
      <c r="P3082" s="204" t="s">
        <v>2276</v>
      </c>
      <c r="Q3082" s="204" t="s">
        <v>2276</v>
      </c>
      <c r="R3082" s="204" t="s">
        <v>2276</v>
      </c>
      <c r="S3082" s="204" t="s">
        <v>2276</v>
      </c>
      <c r="T3082" s="204" t="s">
        <v>2276</v>
      </c>
      <c r="U3082" s="204" t="s">
        <v>2276</v>
      </c>
      <c r="V3082" s="204" t="s">
        <v>2276</v>
      </c>
      <c r="W3082" s="204" t="s">
        <v>2276</v>
      </c>
      <c r="X3082" s="204" t="s">
        <v>2276</v>
      </c>
      <c r="Y3082" s="204" t="s">
        <v>2276</v>
      </c>
      <c r="Z3082" s="204" t="s">
        <v>2276</v>
      </c>
      <c r="AA3082" s="204" t="s">
        <v>2276</v>
      </c>
      <c r="AB3082" s="204" t="s">
        <v>2276</v>
      </c>
      <c r="AC3082" s="204"/>
      <c r="AD3082" s="204"/>
    </row>
    <row r="3083" spans="1:30" ht="33.5" customHeight="1">
      <c r="A3083" s="19" t="s">
        <v>8286</v>
      </c>
      <c r="B3083" s="19" t="s">
        <v>8292</v>
      </c>
      <c r="C3083" s="204" t="s">
        <v>24</v>
      </c>
      <c r="D3083" s="204" t="s">
        <v>3480</v>
      </c>
      <c r="E3083" s="204" t="s">
        <v>116</v>
      </c>
      <c r="F3083" s="4" t="s">
        <v>2662</v>
      </c>
      <c r="G3083" s="4" t="s">
        <v>2662</v>
      </c>
      <c r="H3083" s="204" t="s">
        <v>523</v>
      </c>
      <c r="I3083" s="204"/>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2276</v>
      </c>
      <c r="AA3083" s="204" t="s">
        <v>2276</v>
      </c>
      <c r="AB3083" s="204" t="s">
        <v>2276</v>
      </c>
      <c r="AC3083" s="204"/>
      <c r="AD3083" s="204"/>
    </row>
    <row r="3084" spans="1:30" ht="29.5" customHeight="1">
      <c r="A3084" s="19" t="s">
        <v>8299</v>
      </c>
      <c r="B3084" s="19" t="s">
        <v>8301</v>
      </c>
      <c r="C3084" s="204" t="s">
        <v>24</v>
      </c>
      <c r="D3084" s="204" t="s">
        <v>406</v>
      </c>
      <c r="E3084" s="204" t="s">
        <v>116</v>
      </c>
      <c r="F3084" s="4" t="s">
        <v>2662</v>
      </c>
      <c r="G3084" s="4" t="s">
        <v>2662</v>
      </c>
      <c r="H3084" s="204" t="s">
        <v>523</v>
      </c>
      <c r="I3084" s="204"/>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2276</v>
      </c>
      <c r="AA3084" s="204" t="s">
        <v>2276</v>
      </c>
      <c r="AB3084" s="204" t="s">
        <v>2276</v>
      </c>
      <c r="AC3084" s="204"/>
      <c r="AD3084" s="204"/>
    </row>
    <row r="3085" spans="1:30" ht="31" customHeight="1">
      <c r="A3085" s="19" t="s">
        <v>8299</v>
      </c>
      <c r="B3085" s="19" t="s">
        <v>8302</v>
      </c>
      <c r="C3085" s="204" t="s">
        <v>24</v>
      </c>
      <c r="D3085" s="204" t="s">
        <v>3480</v>
      </c>
      <c r="E3085" s="204" t="s">
        <v>116</v>
      </c>
      <c r="F3085" s="4" t="s">
        <v>2662</v>
      </c>
      <c r="G3085" s="4" t="s">
        <v>2662</v>
      </c>
      <c r="H3085" s="204" t="s">
        <v>523</v>
      </c>
      <c r="I3085" s="204"/>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2276</v>
      </c>
      <c r="AA3085" s="204" t="s">
        <v>2276</v>
      </c>
      <c r="AB3085" s="204" t="s">
        <v>2276</v>
      </c>
      <c r="AC3085" s="204"/>
      <c r="AD3085" s="204"/>
    </row>
    <row r="3086" spans="1:30" ht="28" customHeight="1">
      <c r="A3086" s="19" t="s">
        <v>8299</v>
      </c>
      <c r="B3086" s="19" t="s">
        <v>8303</v>
      </c>
      <c r="C3086" s="204" t="s">
        <v>24</v>
      </c>
      <c r="D3086" s="204" t="s">
        <v>1245</v>
      </c>
      <c r="E3086" s="204" t="s">
        <v>116</v>
      </c>
      <c r="F3086" s="4" t="s">
        <v>2662</v>
      </c>
      <c r="G3086" s="4" t="s">
        <v>2662</v>
      </c>
      <c r="H3086" s="204" t="s">
        <v>523</v>
      </c>
      <c r="I3086" s="204"/>
      <c r="J3086" s="204" t="s">
        <v>2276</v>
      </c>
      <c r="K3086" s="204" t="s">
        <v>2276</v>
      </c>
      <c r="L3086" s="204" t="s">
        <v>2276</v>
      </c>
      <c r="M3086" s="204" t="s">
        <v>2276</v>
      </c>
      <c r="N3086" s="204" t="s">
        <v>2276</v>
      </c>
      <c r="O3086" s="204" t="s">
        <v>2276</v>
      </c>
      <c r="P3086" s="204" t="s">
        <v>2276</v>
      </c>
      <c r="Q3086" s="204" t="s">
        <v>2276</v>
      </c>
      <c r="R3086" s="204" t="s">
        <v>2276</v>
      </c>
      <c r="S3086" s="204" t="s">
        <v>2276</v>
      </c>
      <c r="T3086" s="204" t="s">
        <v>2276</v>
      </c>
      <c r="U3086" s="204" t="s">
        <v>2276</v>
      </c>
      <c r="V3086" s="204" t="s">
        <v>2276</v>
      </c>
      <c r="W3086" s="204" t="s">
        <v>2276</v>
      </c>
      <c r="X3086" s="204" t="s">
        <v>2276</v>
      </c>
      <c r="Y3086" s="204" t="s">
        <v>2276</v>
      </c>
      <c r="Z3086" s="204" t="s">
        <v>2276</v>
      </c>
      <c r="AA3086" s="204" t="s">
        <v>2276</v>
      </c>
      <c r="AB3086" s="204" t="s">
        <v>2276</v>
      </c>
      <c r="AC3086" s="204"/>
      <c r="AD3086" s="204"/>
    </row>
    <row r="3087" spans="1:30" ht="35.5" customHeight="1">
      <c r="A3087" s="19" t="s">
        <v>8299</v>
      </c>
      <c r="B3087" s="19" t="s">
        <v>8308</v>
      </c>
      <c r="C3087" s="204" t="s">
        <v>24</v>
      </c>
      <c r="D3087" s="204" t="s">
        <v>2659</v>
      </c>
      <c r="E3087" s="204" t="s">
        <v>2649</v>
      </c>
      <c r="F3087" s="4" t="s">
        <v>74</v>
      </c>
      <c r="G3087" s="4" t="s">
        <v>2276</v>
      </c>
      <c r="H3087" s="204" t="s">
        <v>523</v>
      </c>
      <c r="I3087" s="204"/>
      <c r="J3087" s="204" t="s">
        <v>2276</v>
      </c>
      <c r="K3087" s="204" t="s">
        <v>2276</v>
      </c>
      <c r="L3087" s="204" t="s">
        <v>2276</v>
      </c>
      <c r="M3087" s="204" t="s">
        <v>2276</v>
      </c>
      <c r="N3087" s="204" t="s">
        <v>2276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t="s">
        <v>2276</v>
      </c>
      <c r="AB3087" s="204" t="s">
        <v>2276</v>
      </c>
      <c r="AC3087" s="204" t="s">
        <v>8312</v>
      </c>
      <c r="AD3087" s="204"/>
    </row>
    <row r="3088" spans="1:30" ht="31" customHeight="1">
      <c r="A3088" s="19" t="s">
        <v>8299</v>
      </c>
      <c r="B3088" s="19" t="s">
        <v>8309</v>
      </c>
      <c r="C3088" s="204" t="s">
        <v>24</v>
      </c>
      <c r="D3088" s="204" t="s">
        <v>61</v>
      </c>
      <c r="E3088" s="204" t="s">
        <v>2649</v>
      </c>
      <c r="F3088" s="4" t="s">
        <v>74</v>
      </c>
      <c r="G3088" s="4" t="s">
        <v>2276</v>
      </c>
      <c r="H3088" s="204" t="s">
        <v>523</v>
      </c>
      <c r="I3088" s="204"/>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t="s">
        <v>2276</v>
      </c>
      <c r="AB3088" s="204" t="s">
        <v>2276</v>
      </c>
      <c r="AC3088" s="204"/>
      <c r="AD3088" s="204"/>
    </row>
    <row r="3089" spans="1:30" ht="29">
      <c r="A3089" s="19" t="s">
        <v>8299</v>
      </c>
      <c r="B3089" s="19" t="s">
        <v>8310</v>
      </c>
      <c r="C3089" s="204" t="s">
        <v>24</v>
      </c>
      <c r="D3089" s="204" t="s">
        <v>1242</v>
      </c>
      <c r="E3089" s="204" t="s">
        <v>116</v>
      </c>
      <c r="F3089" s="4" t="s">
        <v>2662</v>
      </c>
      <c r="G3089" s="4" t="s">
        <v>2662</v>
      </c>
      <c r="H3089" s="204" t="s">
        <v>523</v>
      </c>
      <c r="I3089" s="204"/>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t="s">
        <v>2276</v>
      </c>
      <c r="AB3089" s="204" t="s">
        <v>2276</v>
      </c>
      <c r="AC3089" s="204"/>
      <c r="AD3089" s="204"/>
    </row>
    <row r="3090" spans="1:30" ht="29">
      <c r="A3090" s="19" t="s">
        <v>8299</v>
      </c>
      <c r="B3090" s="19" t="s">
        <v>8311</v>
      </c>
      <c r="C3090" s="204" t="s">
        <v>24</v>
      </c>
      <c r="D3090" s="204" t="s">
        <v>26</v>
      </c>
      <c r="E3090" s="204" t="s">
        <v>116</v>
      </c>
      <c r="F3090" s="4" t="s">
        <v>2662</v>
      </c>
      <c r="G3090" s="4" t="s">
        <v>2662</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t="s">
        <v>2276</v>
      </c>
      <c r="AB3090" s="204" t="s">
        <v>2276</v>
      </c>
      <c r="AC3090" s="204"/>
      <c r="AD3090" s="204"/>
    </row>
    <row r="3091" spans="1:30" ht="59.5" customHeight="1">
      <c r="A3091" s="19" t="s">
        <v>8314</v>
      </c>
      <c r="B3091" s="19" t="s">
        <v>8325</v>
      </c>
      <c r="C3091" s="204" t="s">
        <v>24</v>
      </c>
      <c r="D3091" s="204" t="s">
        <v>2659</v>
      </c>
      <c r="E3091" s="4" t="s">
        <v>3854</v>
      </c>
      <c r="F3091" s="4" t="s">
        <v>28</v>
      </c>
      <c r="G3091" s="204" t="s">
        <v>2276</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189</v>
      </c>
      <c r="AA3091" s="204" t="s">
        <v>86</v>
      </c>
      <c r="AB3091" s="204" t="s">
        <v>64</v>
      </c>
      <c r="AC3091" s="204"/>
      <c r="AD3091" s="204"/>
    </row>
    <row r="3092" spans="1:30" ht="59.5" customHeight="1">
      <c r="A3092" s="19" t="s">
        <v>8314</v>
      </c>
      <c r="B3092" s="19" t="s">
        <v>8326</v>
      </c>
      <c r="C3092" s="204" t="s">
        <v>24</v>
      </c>
      <c r="D3092" s="204" t="s">
        <v>27</v>
      </c>
      <c r="E3092" s="4" t="s">
        <v>3854</v>
      </c>
      <c r="F3092" s="4" t="s">
        <v>28</v>
      </c>
      <c r="G3092" s="204" t="s">
        <v>2276</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404</v>
      </c>
      <c r="AA3092" s="204" t="s">
        <v>425</v>
      </c>
      <c r="AB3092" s="204" t="s">
        <v>64</v>
      </c>
      <c r="AC3092" s="204"/>
      <c r="AD3092" s="204"/>
    </row>
    <row r="3093" spans="1:30" ht="59.5" customHeight="1">
      <c r="A3093" s="19" t="s">
        <v>8314</v>
      </c>
      <c r="B3093" s="19" t="s">
        <v>8327</v>
      </c>
      <c r="C3093" s="204" t="s">
        <v>24</v>
      </c>
      <c r="D3093" s="204" t="s">
        <v>2231</v>
      </c>
      <c r="E3093" s="4" t="s">
        <v>3854</v>
      </c>
      <c r="F3093" s="4" t="s">
        <v>2662</v>
      </c>
      <c r="G3093" s="204" t="s">
        <v>2276</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404</v>
      </c>
      <c r="AA3093" s="204" t="s">
        <v>425</v>
      </c>
      <c r="AB3093" s="204" t="s">
        <v>64</v>
      </c>
      <c r="AC3093" s="204"/>
      <c r="AD3093" s="204"/>
    </row>
    <row r="3094" spans="1:30" ht="59.5" customHeight="1">
      <c r="A3094" s="19" t="s">
        <v>8314</v>
      </c>
      <c r="B3094" s="19" t="s">
        <v>8328</v>
      </c>
      <c r="C3094" s="204" t="s">
        <v>24</v>
      </c>
      <c r="D3094" s="204" t="s">
        <v>25</v>
      </c>
      <c r="E3094" s="4" t="s">
        <v>3854</v>
      </c>
      <c r="F3094" s="4" t="s">
        <v>2662</v>
      </c>
      <c r="G3094" s="204" t="s">
        <v>2276</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404</v>
      </c>
      <c r="AA3094" s="204" t="s">
        <v>68</v>
      </c>
      <c r="AB3094" s="204" t="s">
        <v>64</v>
      </c>
      <c r="AC3094" s="204"/>
      <c r="AD3094" s="204"/>
    </row>
    <row r="3095" spans="1:30" ht="59.5" customHeight="1">
      <c r="A3095" s="19" t="s">
        <v>8314</v>
      </c>
      <c r="B3095" s="19" t="s">
        <v>8329</v>
      </c>
      <c r="C3095" s="204" t="s">
        <v>24</v>
      </c>
      <c r="D3095" s="204" t="s">
        <v>1245</v>
      </c>
      <c r="E3095" s="4" t="s">
        <v>3854</v>
      </c>
      <c r="F3095" s="4" t="s">
        <v>2662</v>
      </c>
      <c r="G3095" s="204" t="s">
        <v>2276</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425</v>
      </c>
      <c r="AA3095" s="204" t="s">
        <v>425</v>
      </c>
      <c r="AB3095" s="204" t="s">
        <v>64</v>
      </c>
      <c r="AC3095" s="204"/>
      <c r="AD3095" s="204"/>
    </row>
    <row r="3096" spans="1:30" ht="49" customHeight="1">
      <c r="A3096" s="19" t="s">
        <v>8315</v>
      </c>
      <c r="B3096" s="19" t="s">
        <v>8330</v>
      </c>
      <c r="C3096" s="204" t="s">
        <v>24</v>
      </c>
      <c r="D3096" s="204" t="s">
        <v>2659</v>
      </c>
      <c r="E3096" s="4" t="s">
        <v>3854</v>
      </c>
      <c r="F3096" s="4" t="s">
        <v>28</v>
      </c>
      <c r="G3096" s="204" t="s">
        <v>2276</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189</v>
      </c>
      <c r="AA3096" s="204" t="s">
        <v>86</v>
      </c>
      <c r="AB3096" s="204" t="s">
        <v>64</v>
      </c>
      <c r="AC3096" s="204"/>
      <c r="AD3096" s="204"/>
    </row>
    <row r="3097" spans="1:30" ht="49" customHeight="1">
      <c r="A3097" s="19" t="s">
        <v>8315</v>
      </c>
      <c r="B3097" s="19" t="s">
        <v>8331</v>
      </c>
      <c r="C3097" s="204" t="s">
        <v>24</v>
      </c>
      <c r="D3097" s="204" t="s">
        <v>27</v>
      </c>
      <c r="E3097" s="4" t="s">
        <v>3854</v>
      </c>
      <c r="F3097" s="4" t="s">
        <v>28</v>
      </c>
      <c r="G3097" s="204" t="s">
        <v>2276</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34</v>
      </c>
      <c r="AA3097" s="204" t="s">
        <v>404</v>
      </c>
      <c r="AB3097" s="204" t="s">
        <v>64</v>
      </c>
      <c r="AC3097" s="204"/>
      <c r="AD3097" s="204"/>
    </row>
    <row r="3098" spans="1:30" ht="49" customHeight="1">
      <c r="A3098" s="19" t="s">
        <v>8315</v>
      </c>
      <c r="B3098" s="19" t="s">
        <v>8332</v>
      </c>
      <c r="C3098" s="204" t="s">
        <v>24</v>
      </c>
      <c r="D3098" s="204" t="s">
        <v>2231</v>
      </c>
      <c r="E3098" s="4" t="s">
        <v>3854</v>
      </c>
      <c r="F3098" s="4" t="s">
        <v>2662</v>
      </c>
      <c r="G3098" s="204" t="s">
        <v>2276</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34</v>
      </c>
      <c r="AA3098" s="204" t="s">
        <v>404</v>
      </c>
      <c r="AB3098" s="204" t="s">
        <v>64</v>
      </c>
      <c r="AC3098" s="204"/>
      <c r="AD3098" s="204"/>
    </row>
    <row r="3099" spans="1:30" ht="49" customHeight="1">
      <c r="A3099" s="19" t="s">
        <v>8315</v>
      </c>
      <c r="B3099" s="19" t="s">
        <v>8333</v>
      </c>
      <c r="C3099" s="204" t="s">
        <v>24</v>
      </c>
      <c r="D3099" s="204" t="s">
        <v>25</v>
      </c>
      <c r="E3099" s="4" t="s">
        <v>3854</v>
      </c>
      <c r="F3099" s="4" t="s">
        <v>2662</v>
      </c>
      <c r="G3099" s="204" t="s">
        <v>2276</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34</v>
      </c>
      <c r="AA3099" s="204" t="s">
        <v>68</v>
      </c>
      <c r="AB3099" s="204" t="s">
        <v>64</v>
      </c>
      <c r="AC3099" s="204"/>
      <c r="AD3099" s="204"/>
    </row>
    <row r="3100" spans="1:30" ht="49" customHeight="1">
      <c r="A3100" s="19" t="s">
        <v>8315</v>
      </c>
      <c r="B3100" s="19" t="s">
        <v>8334</v>
      </c>
      <c r="C3100" s="204" t="s">
        <v>24</v>
      </c>
      <c r="D3100" s="204" t="s">
        <v>1245</v>
      </c>
      <c r="E3100" s="4" t="s">
        <v>3854</v>
      </c>
      <c r="F3100" s="4" t="s">
        <v>2662</v>
      </c>
      <c r="G3100" s="204" t="s">
        <v>2276</v>
      </c>
      <c r="H3100" s="204" t="s">
        <v>523</v>
      </c>
      <c r="I3100" s="204"/>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425</v>
      </c>
      <c r="AA3100" s="204" t="s">
        <v>425</v>
      </c>
      <c r="AB3100" s="204" t="s">
        <v>64</v>
      </c>
      <c r="AC3100" s="204"/>
      <c r="AD3100" s="204"/>
    </row>
    <row r="3101" spans="1:30" ht="51.5" customHeight="1">
      <c r="A3101" s="19" t="s">
        <v>8315</v>
      </c>
      <c r="B3101" s="19" t="s">
        <v>8335</v>
      </c>
      <c r="C3101" s="204" t="s">
        <v>24</v>
      </c>
      <c r="D3101" s="204" t="s">
        <v>2231</v>
      </c>
      <c r="E3101" s="4" t="s">
        <v>3854</v>
      </c>
      <c r="F3101" s="4" t="s">
        <v>2662</v>
      </c>
      <c r="G3101" s="204" t="s">
        <v>2276</v>
      </c>
      <c r="H3101" s="204" t="s">
        <v>523</v>
      </c>
      <c r="I3101" s="204"/>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399</v>
      </c>
      <c r="AA3101" s="204" t="s">
        <v>188</v>
      </c>
      <c r="AB3101" s="204" t="s">
        <v>64</v>
      </c>
      <c r="AC3101" s="204"/>
      <c r="AD3101" s="204"/>
    </row>
    <row r="3102" spans="1:30" ht="51.5" customHeight="1">
      <c r="A3102" s="19" t="s">
        <v>8318</v>
      </c>
      <c r="B3102" s="19" t="s">
        <v>8336</v>
      </c>
      <c r="C3102" s="204" t="s">
        <v>24</v>
      </c>
      <c r="D3102" s="204" t="s">
        <v>2659</v>
      </c>
      <c r="E3102" s="4" t="s">
        <v>3854</v>
      </c>
      <c r="F3102" s="4" t="s">
        <v>28</v>
      </c>
      <c r="G3102" s="204" t="s">
        <v>2276</v>
      </c>
      <c r="H3102" s="204" t="s">
        <v>524</v>
      </c>
      <c r="I3102" s="204"/>
      <c r="J3102" s="21">
        <v>0</v>
      </c>
      <c r="K3102" s="21">
        <v>0</v>
      </c>
      <c r="L3102" s="21">
        <v>0</v>
      </c>
      <c r="M3102" s="21">
        <v>0</v>
      </c>
      <c r="N3102" s="21">
        <v>0</v>
      </c>
      <c r="O3102" s="21">
        <v>0</v>
      </c>
      <c r="P3102" s="21">
        <v>0</v>
      </c>
      <c r="Q3102" s="21">
        <v>0</v>
      </c>
      <c r="R3102" s="21">
        <v>0</v>
      </c>
      <c r="S3102" s="21">
        <v>0</v>
      </c>
      <c r="T3102" s="21">
        <v>0</v>
      </c>
      <c r="U3102" s="21">
        <v>0</v>
      </c>
      <c r="V3102" s="21">
        <v>0</v>
      </c>
      <c r="W3102" s="21">
        <v>0</v>
      </c>
      <c r="X3102" s="21">
        <v>0</v>
      </c>
      <c r="Y3102" s="204" t="s">
        <v>2276</v>
      </c>
      <c r="Z3102" s="204" t="s">
        <v>2276</v>
      </c>
      <c r="AA3102" s="204" t="s">
        <v>2276</v>
      </c>
      <c r="AB3102" s="204" t="s">
        <v>2276</v>
      </c>
      <c r="AC3102" s="204"/>
      <c r="AD3102" s="204"/>
    </row>
    <row r="3103" spans="1:30" ht="51.5" customHeight="1">
      <c r="A3103" s="19" t="s">
        <v>8318</v>
      </c>
      <c r="B3103" s="19" t="s">
        <v>8337</v>
      </c>
      <c r="C3103" s="204" t="s">
        <v>24</v>
      </c>
      <c r="D3103" s="204" t="s">
        <v>27</v>
      </c>
      <c r="E3103" s="4" t="s">
        <v>3854</v>
      </c>
      <c r="F3103" s="4" t="s">
        <v>28</v>
      </c>
      <c r="G3103" s="204" t="s">
        <v>2276</v>
      </c>
      <c r="H3103" s="204" t="s">
        <v>523</v>
      </c>
      <c r="I3103" s="204"/>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189</v>
      </c>
      <c r="AA3103" s="204" t="s">
        <v>38</v>
      </c>
      <c r="AB3103" s="204" t="s">
        <v>64</v>
      </c>
      <c r="AC3103" s="204"/>
      <c r="AD3103" s="204"/>
    </row>
    <row r="3104" spans="1:30" ht="51.5" customHeight="1">
      <c r="A3104" s="19" t="s">
        <v>8318</v>
      </c>
      <c r="B3104" s="19" t="s">
        <v>8338</v>
      </c>
      <c r="C3104" s="204" t="s">
        <v>24</v>
      </c>
      <c r="D3104" s="204" t="s">
        <v>27</v>
      </c>
      <c r="E3104" s="4" t="s">
        <v>3854</v>
      </c>
      <c r="F3104" s="4" t="s">
        <v>28</v>
      </c>
      <c r="G3104" s="204" t="s">
        <v>2276</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68</v>
      </c>
      <c r="AA3104" s="204" t="s">
        <v>35</v>
      </c>
      <c r="AB3104" s="204" t="s">
        <v>64</v>
      </c>
      <c r="AC3104" s="204"/>
      <c r="AD3104" s="204"/>
    </row>
    <row r="3105" spans="1:30" ht="51.5" customHeight="1">
      <c r="A3105" s="19" t="s">
        <v>8318</v>
      </c>
      <c r="B3105" s="19" t="s">
        <v>8339</v>
      </c>
      <c r="C3105" s="204" t="s">
        <v>24</v>
      </c>
      <c r="D3105" s="204" t="s">
        <v>2231</v>
      </c>
      <c r="E3105" s="4" t="s">
        <v>3854</v>
      </c>
      <c r="F3105" s="4" t="s">
        <v>2662</v>
      </c>
      <c r="G3105" s="204" t="s">
        <v>2276</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68</v>
      </c>
      <c r="AA3105" s="204" t="s">
        <v>35</v>
      </c>
      <c r="AB3105" s="204" t="s">
        <v>64</v>
      </c>
      <c r="AC3105" s="204"/>
      <c r="AD3105" s="204"/>
    </row>
    <row r="3106" spans="1:30" ht="51.5" customHeight="1">
      <c r="A3106" s="19" t="s">
        <v>8318</v>
      </c>
      <c r="B3106" s="19" t="s">
        <v>8340</v>
      </c>
      <c r="C3106" s="204" t="s">
        <v>24</v>
      </c>
      <c r="D3106" s="204" t="s">
        <v>25</v>
      </c>
      <c r="E3106" s="4" t="s">
        <v>3854</v>
      </c>
      <c r="F3106" s="4" t="s">
        <v>2662</v>
      </c>
      <c r="G3106" s="204" t="s">
        <v>2276</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405</v>
      </c>
      <c r="AA3106" s="204" t="s">
        <v>35</v>
      </c>
      <c r="AB3106" s="204" t="s">
        <v>64</v>
      </c>
      <c r="AC3106" s="204"/>
      <c r="AD3106" s="204"/>
    </row>
    <row r="3107" spans="1:30" ht="51.5" customHeight="1">
      <c r="A3107" s="19" t="s">
        <v>8318</v>
      </c>
      <c r="B3107" s="19" t="s">
        <v>8341</v>
      </c>
      <c r="C3107" s="204" t="s">
        <v>24</v>
      </c>
      <c r="D3107" s="204" t="s">
        <v>1245</v>
      </c>
      <c r="E3107" s="4" t="s">
        <v>3854</v>
      </c>
      <c r="F3107" s="4" t="s">
        <v>2662</v>
      </c>
      <c r="G3107" s="204" t="s">
        <v>2276</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86</v>
      </c>
      <c r="AA3107" s="204" t="s">
        <v>35</v>
      </c>
      <c r="AB3107" s="204" t="s">
        <v>64</v>
      </c>
      <c r="AC3107" s="204"/>
      <c r="AD3107" s="204"/>
    </row>
    <row r="3108" spans="1:30" ht="51.5" customHeight="1">
      <c r="A3108" s="19" t="s">
        <v>8318</v>
      </c>
      <c r="B3108" s="19" t="s">
        <v>8342</v>
      </c>
      <c r="C3108" s="204" t="s">
        <v>24</v>
      </c>
      <c r="D3108" s="204" t="s">
        <v>3480</v>
      </c>
      <c r="E3108" s="4" t="s">
        <v>3854</v>
      </c>
      <c r="F3108" s="4" t="s">
        <v>74</v>
      </c>
      <c r="G3108" s="204" t="s">
        <v>2276</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204" t="s">
        <v>2276</v>
      </c>
      <c r="Z3108" s="204" t="s">
        <v>68</v>
      </c>
      <c r="AA3108" s="204" t="s">
        <v>127</v>
      </c>
      <c r="AB3108" s="204" t="s">
        <v>64</v>
      </c>
      <c r="AC3108" s="204"/>
      <c r="AD3108" s="204"/>
    </row>
    <row r="3109" spans="1:30" ht="51.5" customHeight="1">
      <c r="A3109" s="19" t="s">
        <v>8318</v>
      </c>
      <c r="B3109" s="19" t="s">
        <v>8343</v>
      </c>
      <c r="C3109" s="204" t="s">
        <v>24</v>
      </c>
      <c r="D3109" s="204" t="s">
        <v>26</v>
      </c>
      <c r="E3109" s="4" t="s">
        <v>3854</v>
      </c>
      <c r="F3109" s="4" t="s">
        <v>2662</v>
      </c>
      <c r="G3109" s="204" t="s">
        <v>2276</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38</v>
      </c>
      <c r="AA3109" s="204" t="s">
        <v>127</v>
      </c>
      <c r="AB3109" s="204" t="s">
        <v>64</v>
      </c>
      <c r="AC3109" s="204"/>
      <c r="AD3109" s="204"/>
    </row>
    <row r="3110" spans="1:30" ht="54.5" customHeight="1">
      <c r="A3110" s="19" t="s">
        <v>8319</v>
      </c>
      <c r="B3110" s="19" t="s">
        <v>8345</v>
      </c>
      <c r="C3110" s="204" t="s">
        <v>24</v>
      </c>
      <c r="D3110" s="204" t="s">
        <v>2659</v>
      </c>
      <c r="E3110" s="4" t="s">
        <v>3854</v>
      </c>
      <c r="F3110" s="4" t="s">
        <v>28</v>
      </c>
      <c r="G3110" s="204" t="s">
        <v>2276</v>
      </c>
      <c r="H3110" s="204" t="s">
        <v>524</v>
      </c>
      <c r="I3110" s="204"/>
      <c r="J3110" s="21">
        <v>0</v>
      </c>
      <c r="K3110" s="21">
        <v>0</v>
      </c>
      <c r="L3110" s="21">
        <v>0</v>
      </c>
      <c r="M3110" s="21">
        <v>0</v>
      </c>
      <c r="N3110" s="21">
        <v>0</v>
      </c>
      <c r="O3110" s="21">
        <v>0</v>
      </c>
      <c r="P3110" s="21">
        <v>0</v>
      </c>
      <c r="Q3110" s="21">
        <v>0</v>
      </c>
      <c r="R3110" s="21">
        <v>0</v>
      </c>
      <c r="S3110" s="21">
        <v>0</v>
      </c>
      <c r="T3110" s="21">
        <v>0</v>
      </c>
      <c r="U3110" s="21">
        <v>0</v>
      </c>
      <c r="V3110" s="21">
        <v>0</v>
      </c>
      <c r="W3110" s="21">
        <v>0</v>
      </c>
      <c r="X3110" s="21">
        <v>0</v>
      </c>
      <c r="Y3110" s="204" t="s">
        <v>2276</v>
      </c>
      <c r="Z3110" s="204" t="s">
        <v>2276</v>
      </c>
      <c r="AA3110" s="204" t="s">
        <v>2276</v>
      </c>
      <c r="AB3110" s="204" t="s">
        <v>2276</v>
      </c>
      <c r="AC3110" s="204"/>
      <c r="AD3110" s="204"/>
    </row>
    <row r="3111" spans="1:30" ht="54.5" customHeight="1">
      <c r="A3111" s="19" t="s">
        <v>8319</v>
      </c>
      <c r="B3111" s="19" t="s">
        <v>8346</v>
      </c>
      <c r="C3111" s="204" t="s">
        <v>24</v>
      </c>
      <c r="D3111" s="204" t="s">
        <v>27</v>
      </c>
      <c r="E3111" s="4" t="s">
        <v>3854</v>
      </c>
      <c r="F3111" s="4" t="s">
        <v>28</v>
      </c>
      <c r="G3111" s="204" t="s">
        <v>2276</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68</v>
      </c>
      <c r="AA3111" s="204" t="s">
        <v>35</v>
      </c>
      <c r="AB3111" s="204" t="s">
        <v>64</v>
      </c>
      <c r="AC3111" s="204"/>
      <c r="AD3111" s="204"/>
    </row>
    <row r="3112" spans="1:30" ht="54.5" customHeight="1">
      <c r="A3112" s="19" t="s">
        <v>8319</v>
      </c>
      <c r="B3112" s="19" t="s">
        <v>8347</v>
      </c>
      <c r="C3112" s="204" t="s">
        <v>24</v>
      </c>
      <c r="D3112" s="204" t="s">
        <v>2231</v>
      </c>
      <c r="E3112" s="4" t="s">
        <v>3854</v>
      </c>
      <c r="F3112" s="4" t="s">
        <v>28</v>
      </c>
      <c r="G3112" s="204" t="s">
        <v>2276</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68</v>
      </c>
      <c r="AA3112" s="204" t="s">
        <v>35</v>
      </c>
      <c r="AB3112" s="204" t="s">
        <v>64</v>
      </c>
      <c r="AC3112" s="204"/>
      <c r="AD3112" s="204"/>
    </row>
    <row r="3113" spans="1:30" ht="54.5" customHeight="1">
      <c r="A3113" s="19" t="s">
        <v>8319</v>
      </c>
      <c r="B3113" s="19" t="s">
        <v>8348</v>
      </c>
      <c r="C3113" s="204" t="s">
        <v>24</v>
      </c>
      <c r="D3113" s="204" t="s">
        <v>25</v>
      </c>
      <c r="E3113" s="4" t="s">
        <v>3854</v>
      </c>
      <c r="F3113" s="4" t="s">
        <v>2662</v>
      </c>
      <c r="G3113" s="204" t="s">
        <v>2276</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405</v>
      </c>
      <c r="AA3113" s="204" t="s">
        <v>35</v>
      </c>
      <c r="AB3113" s="204" t="s">
        <v>64</v>
      </c>
      <c r="AC3113" s="204"/>
      <c r="AD3113" s="204"/>
    </row>
    <row r="3114" spans="1:30" ht="54.5" customHeight="1">
      <c r="A3114" s="19" t="s">
        <v>8319</v>
      </c>
      <c r="B3114" s="19" t="s">
        <v>8349</v>
      </c>
      <c r="C3114" s="204" t="s">
        <v>24</v>
      </c>
      <c r="D3114" s="204" t="s">
        <v>1245</v>
      </c>
      <c r="E3114" s="4" t="s">
        <v>3854</v>
      </c>
      <c r="F3114" s="4" t="s">
        <v>2662</v>
      </c>
      <c r="G3114" s="204" t="s">
        <v>2276</v>
      </c>
      <c r="H3114" s="204" t="s">
        <v>523</v>
      </c>
      <c r="I3114" s="204"/>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2276</v>
      </c>
      <c r="Y3114" s="204" t="s">
        <v>2276</v>
      </c>
      <c r="Z3114" s="204" t="s">
        <v>86</v>
      </c>
      <c r="AA3114" s="204" t="s">
        <v>35</v>
      </c>
      <c r="AB3114" s="204" t="s">
        <v>64</v>
      </c>
      <c r="AC3114" s="204"/>
      <c r="AD3114" s="204"/>
    </row>
    <row r="3115" spans="1:30" ht="54.5" customHeight="1">
      <c r="A3115" s="19" t="s">
        <v>8319</v>
      </c>
      <c r="B3115" s="19" t="s">
        <v>8350</v>
      </c>
      <c r="C3115" s="204" t="s">
        <v>24</v>
      </c>
      <c r="D3115" s="204" t="s">
        <v>3480</v>
      </c>
      <c r="E3115" s="4" t="s">
        <v>3854</v>
      </c>
      <c r="F3115" s="4" t="s">
        <v>2662</v>
      </c>
      <c r="G3115" s="204" t="s">
        <v>2276</v>
      </c>
      <c r="H3115" s="204" t="s">
        <v>523</v>
      </c>
      <c r="I3115" s="204"/>
      <c r="J3115" s="204" t="s">
        <v>2276</v>
      </c>
      <c r="K3115" s="204" t="s">
        <v>2276</v>
      </c>
      <c r="L3115" s="204" t="s">
        <v>2276</v>
      </c>
      <c r="M3115" s="204" t="s">
        <v>2276</v>
      </c>
      <c r="N3115" s="204" t="s">
        <v>2276</v>
      </c>
      <c r="O3115" s="204" t="s">
        <v>2276</v>
      </c>
      <c r="P3115" s="204" t="s">
        <v>2276</v>
      </c>
      <c r="Q3115" s="204" t="s">
        <v>2276</v>
      </c>
      <c r="R3115" s="204" t="s">
        <v>2276</v>
      </c>
      <c r="S3115" s="204" t="s">
        <v>2276</v>
      </c>
      <c r="T3115" s="204" t="s">
        <v>2276</v>
      </c>
      <c r="U3115" s="204" t="s">
        <v>2276</v>
      </c>
      <c r="V3115" s="204" t="s">
        <v>2276</v>
      </c>
      <c r="W3115" s="204" t="s">
        <v>2276</v>
      </c>
      <c r="X3115" s="204" t="s">
        <v>2276</v>
      </c>
      <c r="Y3115" s="204" t="s">
        <v>2276</v>
      </c>
      <c r="Z3115" s="204" t="s">
        <v>68</v>
      </c>
      <c r="AA3115" s="204" t="s">
        <v>127</v>
      </c>
      <c r="AB3115" s="204" t="s">
        <v>64</v>
      </c>
      <c r="AC3115" s="204"/>
      <c r="AD3115" s="204"/>
    </row>
    <row r="3116" spans="1:30" ht="54.5" customHeight="1">
      <c r="A3116" s="19" t="s">
        <v>8319</v>
      </c>
      <c r="B3116" s="19" t="s">
        <v>8351</v>
      </c>
      <c r="C3116" s="204" t="s">
        <v>24</v>
      </c>
      <c r="D3116" s="204" t="s">
        <v>26</v>
      </c>
      <c r="E3116" s="4" t="s">
        <v>3854</v>
      </c>
      <c r="F3116" s="4" t="s">
        <v>74</v>
      </c>
      <c r="G3116" s="204" t="s">
        <v>2276</v>
      </c>
      <c r="H3116" s="204" t="s">
        <v>523</v>
      </c>
      <c r="I3116" s="204"/>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38</v>
      </c>
      <c r="AA3116" s="204" t="s">
        <v>127</v>
      </c>
      <c r="AB3116" s="204" t="s">
        <v>64</v>
      </c>
      <c r="AC3116" s="204"/>
      <c r="AD3116" s="204"/>
    </row>
    <row r="3117" spans="1:30" ht="50.5" customHeight="1">
      <c r="A3117" s="19" t="s">
        <v>8314</v>
      </c>
      <c r="B3117" s="19" t="s">
        <v>8362</v>
      </c>
      <c r="C3117" s="204" t="s">
        <v>24</v>
      </c>
      <c r="D3117" s="204" t="s">
        <v>1105</v>
      </c>
      <c r="E3117" s="4" t="s">
        <v>3854</v>
      </c>
      <c r="F3117" s="4" t="s">
        <v>28</v>
      </c>
      <c r="G3117" s="4" t="s">
        <v>28</v>
      </c>
      <c r="H3117" s="204" t="s">
        <v>523</v>
      </c>
      <c r="I3117" s="204"/>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1">
        <f>AVERAGE(21, 10.8)</f>
        <v>15.9</v>
      </c>
      <c r="W3117" s="204" t="s">
        <v>2276</v>
      </c>
      <c r="X3117" s="21">
        <f>V3117*('Land use'!P1288/100)</f>
        <v>0.34980000000000006</v>
      </c>
      <c r="Y3117" s="204" t="s">
        <v>2276</v>
      </c>
      <c r="Z3117" s="204" t="s">
        <v>2276</v>
      </c>
      <c r="AA3117" s="204" t="s">
        <v>2276</v>
      </c>
      <c r="AB3117" s="204" t="s">
        <v>2276</v>
      </c>
      <c r="AC3117" s="204"/>
      <c r="AD3117" s="204"/>
    </row>
    <row r="3118" spans="1:30" ht="50.5" customHeight="1">
      <c r="A3118" s="19" t="s">
        <v>8315</v>
      </c>
      <c r="B3118" s="19" t="s">
        <v>8363</v>
      </c>
      <c r="C3118" s="204" t="s">
        <v>24</v>
      </c>
      <c r="D3118" s="204" t="s">
        <v>1105</v>
      </c>
      <c r="E3118" s="4" t="s">
        <v>3854</v>
      </c>
      <c r="F3118" s="4" t="s">
        <v>28</v>
      </c>
      <c r="G3118" s="4" t="s">
        <v>28</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1">
        <f>AVERAGE(41, 39)</f>
        <v>40</v>
      </c>
      <c r="W3118" s="204" t="s">
        <v>2276</v>
      </c>
      <c r="X3118" s="21">
        <f>V3118*('Land use'!P1289/100)</f>
        <v>0.96</v>
      </c>
      <c r="Y3118" s="204" t="s">
        <v>2276</v>
      </c>
      <c r="Z3118" s="204" t="s">
        <v>2276</v>
      </c>
      <c r="AA3118" s="204" t="s">
        <v>2276</v>
      </c>
      <c r="AB3118" s="204" t="s">
        <v>2276</v>
      </c>
      <c r="AC3118" s="204"/>
      <c r="AD3118" s="204"/>
    </row>
    <row r="3119" spans="1:30" ht="50.5" customHeight="1">
      <c r="A3119" s="19" t="s">
        <v>8318</v>
      </c>
      <c r="B3119" s="19" t="s">
        <v>8344</v>
      </c>
      <c r="C3119" s="204" t="s">
        <v>24</v>
      </c>
      <c r="D3119" s="204" t="s">
        <v>1105</v>
      </c>
      <c r="E3119" s="4" t="s">
        <v>3854</v>
      </c>
      <c r="F3119" s="4" t="s">
        <v>28</v>
      </c>
      <c r="G3119" s="4" t="s">
        <v>28</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1">
        <f>AVERAGE(0.9, 3.5)</f>
        <v>2.2000000000000002</v>
      </c>
      <c r="W3119" s="204" t="s">
        <v>2276</v>
      </c>
      <c r="X3119" s="21">
        <f>V3119*('Land use'!P1290/100)</f>
        <v>1.0912000000000002</v>
      </c>
      <c r="Y3119" s="204" t="s">
        <v>2276</v>
      </c>
      <c r="Z3119" s="204" t="s">
        <v>2276</v>
      </c>
      <c r="AA3119" s="204" t="s">
        <v>2276</v>
      </c>
      <c r="AB3119" s="204" t="s">
        <v>2276</v>
      </c>
      <c r="AC3119" s="204"/>
      <c r="AD3119" s="4" t="s">
        <v>8374</v>
      </c>
    </row>
    <row r="3120" spans="1:30" ht="50.5" customHeight="1">
      <c r="A3120" s="19" t="s">
        <v>8319</v>
      </c>
      <c r="B3120" s="19" t="s">
        <v>8364</v>
      </c>
      <c r="C3120" s="204" t="s">
        <v>24</v>
      </c>
      <c r="D3120" s="204" t="s">
        <v>1105</v>
      </c>
      <c r="E3120" s="4" t="s">
        <v>3854</v>
      </c>
      <c r="F3120" s="4" t="s">
        <v>28</v>
      </c>
      <c r="G3120" s="4" t="s">
        <v>28</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1">
        <f>AVERAGE(5.1, 14.9)</f>
        <v>10</v>
      </c>
      <c r="W3120" s="204" t="s">
        <v>2276</v>
      </c>
      <c r="X3120" s="21">
        <f>V3120*('Land use'!P1291/100)</f>
        <v>3.06</v>
      </c>
      <c r="Y3120" s="204" t="s">
        <v>2276</v>
      </c>
      <c r="Z3120" s="204" t="s">
        <v>2276</v>
      </c>
      <c r="AA3120" s="204" t="s">
        <v>2276</v>
      </c>
      <c r="AB3120" s="204" t="s">
        <v>2276</v>
      </c>
      <c r="AC3120" s="204"/>
      <c r="AD3120" s="4" t="s">
        <v>8374</v>
      </c>
    </row>
    <row r="3121" spans="1:30" ht="48" customHeight="1">
      <c r="A3121" s="19" t="s">
        <v>8314</v>
      </c>
      <c r="B3121" s="19" t="s">
        <v>8365</v>
      </c>
      <c r="C3121" s="204" t="s">
        <v>24</v>
      </c>
      <c r="D3121" s="204" t="s">
        <v>1105</v>
      </c>
      <c r="E3121" s="4" t="s">
        <v>3854</v>
      </c>
      <c r="F3121" s="4" t="s">
        <v>2662</v>
      </c>
      <c r="G3121" s="4" t="s">
        <v>2662</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1">
        <f>AVERAGE(3, 23.6)</f>
        <v>13.3</v>
      </c>
      <c r="W3121" s="204" t="s">
        <v>2276</v>
      </c>
      <c r="X3121" s="21">
        <f>V3121*(71.7/100)</f>
        <v>9.5361000000000011</v>
      </c>
      <c r="Y3121" s="204" t="s">
        <v>2276</v>
      </c>
      <c r="Z3121" s="204" t="s">
        <v>2276</v>
      </c>
      <c r="AA3121" s="204" t="s">
        <v>2276</v>
      </c>
      <c r="AB3121" s="204" t="s">
        <v>2276</v>
      </c>
      <c r="AC3121" s="204"/>
      <c r="AD3121" s="4" t="s">
        <v>8373</v>
      </c>
    </row>
    <row r="3122" spans="1:30" ht="48" customHeight="1">
      <c r="A3122" s="19" t="s">
        <v>8315</v>
      </c>
      <c r="B3122" s="19" t="s">
        <v>8366</v>
      </c>
      <c r="C3122" s="204" t="s">
        <v>24</v>
      </c>
      <c r="D3122" s="204" t="s">
        <v>1105</v>
      </c>
      <c r="E3122" s="4" t="s">
        <v>3854</v>
      </c>
      <c r="F3122" s="4" t="s">
        <v>2662</v>
      </c>
      <c r="G3122" s="4" t="s">
        <v>2662</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1">
        <f>AVERAGE(14, 33)</f>
        <v>23.5</v>
      </c>
      <c r="W3122" s="204" t="s">
        <v>2276</v>
      </c>
      <c r="X3122" s="21">
        <f>V3122*(80.7/100)</f>
        <v>18.964500000000001</v>
      </c>
      <c r="Y3122" s="204" t="s">
        <v>2276</v>
      </c>
      <c r="Z3122" s="204" t="s">
        <v>2276</v>
      </c>
      <c r="AA3122" s="204" t="s">
        <v>2276</v>
      </c>
      <c r="AB3122" s="204" t="s">
        <v>2276</v>
      </c>
      <c r="AC3122" s="204"/>
      <c r="AD3122" s="4" t="s">
        <v>8373</v>
      </c>
    </row>
    <row r="3123" spans="1:30" ht="48" customHeight="1">
      <c r="A3123" s="19" t="s">
        <v>8318</v>
      </c>
      <c r="B3123" s="19" t="s">
        <v>8367</v>
      </c>
      <c r="C3123" s="204" t="s">
        <v>24</v>
      </c>
      <c r="D3123" s="204" t="s">
        <v>1105</v>
      </c>
      <c r="E3123" s="4" t="s">
        <v>3854</v>
      </c>
      <c r="F3123" s="4" t="s">
        <v>2662</v>
      </c>
      <c r="G3123" s="4" t="s">
        <v>2662</v>
      </c>
      <c r="H3123" s="204" t="s">
        <v>523</v>
      </c>
      <c r="I3123" s="204"/>
      <c r="J3123" s="204" t="s">
        <v>2276</v>
      </c>
      <c r="K3123" s="204" t="s">
        <v>2276</v>
      </c>
      <c r="L3123" s="204" t="s">
        <v>2276</v>
      </c>
      <c r="M3123" s="204" t="s">
        <v>2276</v>
      </c>
      <c r="N3123" s="204" t="s">
        <v>2276</v>
      </c>
      <c r="O3123" s="204" t="s">
        <v>2276</v>
      </c>
      <c r="P3123" s="204" t="s">
        <v>2276</v>
      </c>
      <c r="Q3123" s="204" t="s">
        <v>2276</v>
      </c>
      <c r="R3123" s="204" t="s">
        <v>2276</v>
      </c>
      <c r="S3123" s="204" t="s">
        <v>2276</v>
      </c>
      <c r="T3123" s="204" t="s">
        <v>2276</v>
      </c>
      <c r="U3123" s="204" t="s">
        <v>2276</v>
      </c>
      <c r="V3123" s="21">
        <f>AVERAGE(36.7, 13.7)</f>
        <v>25.200000000000003</v>
      </c>
      <c r="W3123" s="204" t="s">
        <v>2276</v>
      </c>
      <c r="X3123" s="21">
        <f>V3123*(39.6/100)</f>
        <v>9.9792000000000023</v>
      </c>
      <c r="Y3123" s="204" t="s">
        <v>2276</v>
      </c>
      <c r="Z3123" s="204" t="s">
        <v>2276</v>
      </c>
      <c r="AA3123" s="204" t="s">
        <v>2276</v>
      </c>
      <c r="AB3123" s="204" t="s">
        <v>2276</v>
      </c>
      <c r="AC3123" s="204"/>
      <c r="AD3123" s="4" t="s">
        <v>8373</v>
      </c>
    </row>
    <row r="3124" spans="1:30" ht="48" customHeight="1">
      <c r="A3124" s="19" t="s">
        <v>8319</v>
      </c>
      <c r="B3124" s="19" t="s">
        <v>8368</v>
      </c>
      <c r="C3124" s="204" t="s">
        <v>24</v>
      </c>
      <c r="D3124" s="204" t="s">
        <v>1105</v>
      </c>
      <c r="E3124" s="4" t="s">
        <v>3854</v>
      </c>
      <c r="F3124" s="4" t="s">
        <v>2662</v>
      </c>
      <c r="G3124" s="4" t="s">
        <v>2662</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1">
        <f>AVERAGE(53, 49)</f>
        <v>51</v>
      </c>
      <c r="W3124" s="204" t="s">
        <v>2276</v>
      </c>
      <c r="X3124" s="21">
        <f>V3124*(57.6/100)</f>
        <v>29.376000000000005</v>
      </c>
      <c r="Y3124" s="204" t="s">
        <v>2276</v>
      </c>
      <c r="Z3124" s="204" t="s">
        <v>2276</v>
      </c>
      <c r="AA3124" s="204" t="s">
        <v>2276</v>
      </c>
      <c r="AB3124" s="204" t="s">
        <v>2276</v>
      </c>
      <c r="AC3124" s="204"/>
      <c r="AD3124" s="4" t="s">
        <v>8373</v>
      </c>
    </row>
    <row r="3125" spans="1:30" ht="45" customHeight="1">
      <c r="A3125" s="19" t="s">
        <v>8314</v>
      </c>
      <c r="B3125" s="19" t="s">
        <v>8369</v>
      </c>
      <c r="C3125" s="204" t="s">
        <v>24</v>
      </c>
      <c r="D3125" s="204" t="s">
        <v>1105</v>
      </c>
      <c r="E3125" s="4" t="s">
        <v>3854</v>
      </c>
      <c r="F3125" s="4" t="s">
        <v>2276</v>
      </c>
      <c r="G3125" s="4" t="s">
        <v>2276</v>
      </c>
      <c r="H3125" s="204" t="s">
        <v>523</v>
      </c>
      <c r="I3125" s="204"/>
      <c r="J3125" s="21">
        <f>66.5/2/'Record info'!K1292</f>
        <v>0.38439306358381503</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34</v>
      </c>
      <c r="AA3125" s="204" t="s">
        <v>35</v>
      </c>
      <c r="AB3125" s="204" t="s">
        <v>64</v>
      </c>
      <c r="AC3125" s="204"/>
      <c r="AD3125" s="4" t="s">
        <v>8379</v>
      </c>
    </row>
    <row r="3126" spans="1:30" ht="45" customHeight="1">
      <c r="A3126" s="19" t="s">
        <v>8315</v>
      </c>
      <c r="B3126" s="19" t="s">
        <v>8370</v>
      </c>
      <c r="C3126" s="204" t="s">
        <v>24</v>
      </c>
      <c r="D3126" s="204" t="s">
        <v>1105</v>
      </c>
      <c r="E3126" s="4" t="s">
        <v>3854</v>
      </c>
      <c r="F3126" s="4" t="s">
        <v>2276</v>
      </c>
      <c r="G3126" s="4" t="s">
        <v>2276</v>
      </c>
      <c r="H3126" s="204" t="s">
        <v>523</v>
      </c>
      <c r="I3126" s="204"/>
      <c r="J3126" s="21">
        <f>66.5/2/'Record info'!K1292</f>
        <v>0.38439306358381503</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34</v>
      </c>
      <c r="AA3126" s="204" t="s">
        <v>35</v>
      </c>
      <c r="AB3126" s="204" t="s">
        <v>64</v>
      </c>
      <c r="AC3126" s="204"/>
      <c r="AD3126" s="4" t="s">
        <v>8379</v>
      </c>
    </row>
    <row r="3127" spans="1:30" ht="45" customHeight="1">
      <c r="A3127" s="19" t="s">
        <v>8318</v>
      </c>
      <c r="B3127" s="19" t="s">
        <v>8371</v>
      </c>
      <c r="C3127" s="204" t="s">
        <v>24</v>
      </c>
      <c r="D3127" s="204" t="s">
        <v>1105</v>
      </c>
      <c r="E3127" s="4" t="s">
        <v>3854</v>
      </c>
      <c r="F3127" s="4" t="s">
        <v>2276</v>
      </c>
      <c r="G3127" s="4" t="s">
        <v>2276</v>
      </c>
      <c r="H3127" s="204" t="s">
        <v>523</v>
      </c>
      <c r="I3127" s="204"/>
      <c r="J3127" s="21">
        <f>233.5/2/'Record info'!K1293</f>
        <v>3.6257763975155277</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86</v>
      </c>
      <c r="AA3127" s="204" t="s">
        <v>127</v>
      </c>
      <c r="AB3127" s="204" t="s">
        <v>64</v>
      </c>
      <c r="AC3127" s="204"/>
      <c r="AD3127" s="4" t="s">
        <v>8380</v>
      </c>
    </row>
    <row r="3128" spans="1:30" ht="45" customHeight="1">
      <c r="A3128" s="19" t="s">
        <v>8319</v>
      </c>
      <c r="B3128" s="19" t="s">
        <v>8372</v>
      </c>
      <c r="C3128" s="204" t="s">
        <v>24</v>
      </c>
      <c r="D3128" s="204" t="s">
        <v>1105</v>
      </c>
      <c r="E3128" s="4" t="s">
        <v>3854</v>
      </c>
      <c r="F3128" s="4" t="s">
        <v>2276</v>
      </c>
      <c r="G3128" s="4" t="s">
        <v>2276</v>
      </c>
      <c r="H3128" s="204" t="s">
        <v>523</v>
      </c>
      <c r="I3128" s="204"/>
      <c r="J3128" s="21">
        <f>233.5/2/'Record info'!K1293</f>
        <v>3.6257763975155277</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86</v>
      </c>
      <c r="AA3128" s="204" t="s">
        <v>127</v>
      </c>
      <c r="AB3128" s="204" t="s">
        <v>64</v>
      </c>
      <c r="AC3128" s="204"/>
      <c r="AD3128" s="4" t="s">
        <v>8380</v>
      </c>
    </row>
    <row r="3129" spans="1:30" ht="49" customHeight="1">
      <c r="A3129" s="19" t="s">
        <v>8314</v>
      </c>
      <c r="B3129" s="19" t="s">
        <v>8375</v>
      </c>
      <c r="C3129" s="204" t="s">
        <v>2458</v>
      </c>
      <c r="D3129" s="204" t="s">
        <v>1105</v>
      </c>
      <c r="E3129" s="4" t="s">
        <v>3854</v>
      </c>
      <c r="F3129" s="4" t="s">
        <v>2662</v>
      </c>
      <c r="G3129" s="204" t="s">
        <v>74</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t="s">
        <v>2276</v>
      </c>
      <c r="AB3129" s="204" t="s">
        <v>2276</v>
      </c>
      <c r="AC3129" s="204"/>
      <c r="AD3129" s="204"/>
    </row>
    <row r="3130" spans="1:30" ht="49" customHeight="1">
      <c r="A3130" s="19" t="s">
        <v>8315</v>
      </c>
      <c r="B3130" s="19" t="s">
        <v>8376</v>
      </c>
      <c r="C3130" s="204" t="s">
        <v>2458</v>
      </c>
      <c r="D3130" s="204" t="s">
        <v>1105</v>
      </c>
      <c r="E3130" s="4" t="s">
        <v>3854</v>
      </c>
      <c r="F3130" s="4" t="s">
        <v>2662</v>
      </c>
      <c r="G3130" s="204" t="s">
        <v>74</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t="s">
        <v>2276</v>
      </c>
      <c r="AB3130" s="204" t="s">
        <v>2276</v>
      </c>
      <c r="AC3130" s="204"/>
      <c r="AD3130" s="204"/>
    </row>
    <row r="3131" spans="1:30" ht="49" customHeight="1">
      <c r="A3131" s="19" t="s">
        <v>8318</v>
      </c>
      <c r="B3131" s="19" t="s">
        <v>8377</v>
      </c>
      <c r="C3131" s="204" t="s">
        <v>2458</v>
      </c>
      <c r="D3131" s="204" t="s">
        <v>1105</v>
      </c>
      <c r="E3131" s="4" t="s">
        <v>3854</v>
      </c>
      <c r="F3131" s="4" t="s">
        <v>2662</v>
      </c>
      <c r="G3131" s="204" t="s">
        <v>74</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t="s">
        <v>2276</v>
      </c>
      <c r="AB3131" s="204" t="s">
        <v>2276</v>
      </c>
      <c r="AC3131" s="204"/>
      <c r="AD3131" s="204"/>
    </row>
    <row r="3132" spans="1:30" ht="49" customHeight="1">
      <c r="A3132" s="19" t="s">
        <v>8319</v>
      </c>
      <c r="B3132" s="19" t="s">
        <v>8378</v>
      </c>
      <c r="C3132" s="204" t="s">
        <v>2458</v>
      </c>
      <c r="D3132" s="204" t="s">
        <v>1105</v>
      </c>
      <c r="E3132" s="4" t="s">
        <v>3854</v>
      </c>
      <c r="F3132" s="4" t="s">
        <v>2662</v>
      </c>
      <c r="G3132" s="204" t="s">
        <v>74</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2276</v>
      </c>
      <c r="AA3132" s="204" t="s">
        <v>2276</v>
      </c>
      <c r="AB3132" s="204" t="s">
        <v>2276</v>
      </c>
      <c r="AC3132" s="204"/>
      <c r="AD3132" s="204"/>
    </row>
    <row r="3133" spans="1:30" ht="36" customHeight="1">
      <c r="A3133" s="19" t="s">
        <v>8355</v>
      </c>
      <c r="B3133" s="19" t="s">
        <v>8386</v>
      </c>
      <c r="C3133" s="204" t="s">
        <v>24</v>
      </c>
      <c r="D3133" s="204" t="s">
        <v>2659</v>
      </c>
      <c r="E3133" s="4" t="s">
        <v>396</v>
      </c>
      <c r="F3133" s="4" t="s">
        <v>28</v>
      </c>
      <c r="G3133" s="204" t="s">
        <v>2276</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04" t="s">
        <v>2276</v>
      </c>
      <c r="W3133" s="204" t="s">
        <v>2276</v>
      </c>
      <c r="X3133" s="204" t="s">
        <v>2276</v>
      </c>
      <c r="Y3133" s="21">
        <v>1</v>
      </c>
      <c r="Z3133" s="204" t="s">
        <v>68</v>
      </c>
      <c r="AA3133" s="204" t="s">
        <v>35</v>
      </c>
      <c r="AB3133" s="204" t="s">
        <v>2276</v>
      </c>
      <c r="AC3133" s="204"/>
      <c r="AD3133" s="204"/>
    </row>
    <row r="3134" spans="1:30" ht="36" customHeight="1">
      <c r="A3134" s="19" t="s">
        <v>8355</v>
      </c>
      <c r="B3134" s="19" t="s">
        <v>8387</v>
      </c>
      <c r="C3134" s="204" t="s">
        <v>24</v>
      </c>
      <c r="D3134" s="204" t="s">
        <v>2659</v>
      </c>
      <c r="E3134" s="4" t="s">
        <v>396</v>
      </c>
      <c r="F3134" s="4" t="s">
        <v>28</v>
      </c>
      <c r="G3134" s="204" t="s">
        <v>2276</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04" t="s">
        <v>2276</v>
      </c>
      <c r="W3134" s="204" t="s">
        <v>2276</v>
      </c>
      <c r="X3134" s="204" t="s">
        <v>2276</v>
      </c>
      <c r="Y3134" s="21">
        <v>1</v>
      </c>
      <c r="Z3134" s="204" t="s">
        <v>86</v>
      </c>
      <c r="AA3134" s="204" t="s">
        <v>34</v>
      </c>
      <c r="AB3134" s="204" t="s">
        <v>2276</v>
      </c>
      <c r="AC3134" s="204"/>
      <c r="AD3134" s="204"/>
    </row>
    <row r="3135" spans="1:30" ht="36" customHeight="1">
      <c r="A3135" s="19" t="s">
        <v>8384</v>
      </c>
      <c r="B3135" s="19" t="s">
        <v>8388</v>
      </c>
      <c r="C3135" s="204" t="s">
        <v>24</v>
      </c>
      <c r="D3135" s="204" t="s">
        <v>2659</v>
      </c>
      <c r="E3135" s="4" t="s">
        <v>396</v>
      </c>
      <c r="F3135" s="4" t="s">
        <v>28</v>
      </c>
      <c r="G3135" s="204" t="s">
        <v>2276</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04" t="s">
        <v>2276</v>
      </c>
      <c r="W3135" s="204" t="s">
        <v>2276</v>
      </c>
      <c r="X3135" s="204" t="s">
        <v>2276</v>
      </c>
      <c r="Y3135" s="21">
        <v>1</v>
      </c>
      <c r="Z3135" s="204" t="s">
        <v>68</v>
      </c>
      <c r="AA3135" s="204" t="s">
        <v>35</v>
      </c>
      <c r="AB3135" s="204" t="s">
        <v>2276</v>
      </c>
      <c r="AC3135" s="204"/>
      <c r="AD3135" s="204"/>
    </row>
    <row r="3136" spans="1:30" ht="36" customHeight="1">
      <c r="A3136" s="19" t="s">
        <v>8384</v>
      </c>
      <c r="B3136" s="19" t="s">
        <v>8389</v>
      </c>
      <c r="C3136" s="204" t="s">
        <v>24</v>
      </c>
      <c r="D3136" s="204" t="s">
        <v>2659</v>
      </c>
      <c r="E3136" s="4" t="s">
        <v>396</v>
      </c>
      <c r="F3136" s="4" t="s">
        <v>28</v>
      </c>
      <c r="G3136" s="204" t="s">
        <v>2276</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04" t="s">
        <v>2276</v>
      </c>
      <c r="W3136" s="204" t="s">
        <v>2276</v>
      </c>
      <c r="X3136" s="204" t="s">
        <v>2276</v>
      </c>
      <c r="Y3136" s="21">
        <v>1</v>
      </c>
      <c r="Z3136" s="204" t="s">
        <v>86</v>
      </c>
      <c r="AA3136" s="204" t="s">
        <v>34</v>
      </c>
      <c r="AB3136" s="204" t="s">
        <v>2276</v>
      </c>
      <c r="AC3136" s="204"/>
      <c r="AD3136" s="204"/>
    </row>
    <row r="3137" spans="1:30" ht="36" customHeight="1">
      <c r="A3137" s="19" t="s">
        <v>8390</v>
      </c>
      <c r="B3137" s="19" t="s">
        <v>8393</v>
      </c>
      <c r="C3137" s="204" t="s">
        <v>24</v>
      </c>
      <c r="D3137" s="204" t="s">
        <v>2659</v>
      </c>
      <c r="E3137" s="4" t="s">
        <v>396</v>
      </c>
      <c r="F3137" s="4" t="s">
        <v>28</v>
      </c>
      <c r="G3137" s="204" t="s">
        <v>2276</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04" t="s">
        <v>2276</v>
      </c>
      <c r="W3137" s="204" t="s">
        <v>2276</v>
      </c>
      <c r="X3137" s="204" t="s">
        <v>2276</v>
      </c>
      <c r="Y3137" s="21">
        <v>1</v>
      </c>
      <c r="Z3137" s="204" t="s">
        <v>68</v>
      </c>
      <c r="AA3137" s="204" t="s">
        <v>35</v>
      </c>
      <c r="AB3137" s="204" t="s">
        <v>2276</v>
      </c>
      <c r="AC3137" s="204"/>
      <c r="AD3137" s="204"/>
    </row>
    <row r="3138" spans="1:30" ht="36" customHeight="1">
      <c r="A3138" s="19" t="s">
        <v>8390</v>
      </c>
      <c r="B3138" s="19" t="s">
        <v>8394</v>
      </c>
      <c r="C3138" s="204" t="s">
        <v>24</v>
      </c>
      <c r="D3138" s="204" t="s">
        <v>2659</v>
      </c>
      <c r="E3138" s="4" t="s">
        <v>396</v>
      </c>
      <c r="F3138" s="4" t="s">
        <v>28</v>
      </c>
      <c r="G3138" s="204" t="s">
        <v>2276</v>
      </c>
      <c r="H3138" s="204" t="s">
        <v>523</v>
      </c>
      <c r="I3138" s="204"/>
      <c r="J3138" s="204" t="s">
        <v>2276</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1">
        <v>1</v>
      </c>
      <c r="Z3138" s="204" t="s">
        <v>86</v>
      </c>
      <c r="AA3138" s="204" t="s">
        <v>34</v>
      </c>
      <c r="AB3138" s="204" t="s">
        <v>2276</v>
      </c>
      <c r="AC3138" s="204"/>
      <c r="AD3138" s="204"/>
    </row>
    <row r="3139" spans="1:30" ht="36" customHeight="1">
      <c r="A3139" s="19" t="s">
        <v>8390</v>
      </c>
      <c r="B3139" s="19" t="s">
        <v>8395</v>
      </c>
      <c r="C3139" s="204" t="s">
        <v>24</v>
      </c>
      <c r="D3139" s="204" t="s">
        <v>2659</v>
      </c>
      <c r="E3139" s="4" t="s">
        <v>397</v>
      </c>
      <c r="F3139" s="4" t="s">
        <v>28</v>
      </c>
      <c r="G3139" s="204" t="s">
        <v>2276</v>
      </c>
      <c r="H3139" s="204" t="s">
        <v>523</v>
      </c>
      <c r="J3139" s="204" t="s">
        <v>2276</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1">
        <v>1</v>
      </c>
      <c r="Z3139" s="204" t="s">
        <v>68</v>
      </c>
      <c r="AA3139" s="204" t="s">
        <v>35</v>
      </c>
      <c r="AB3139" s="204" t="s">
        <v>2276</v>
      </c>
      <c r="AC3139" s="204"/>
      <c r="AD3139" s="204"/>
    </row>
    <row r="3140" spans="1:30" ht="36" customHeight="1">
      <c r="A3140" s="19" t="s">
        <v>8390</v>
      </c>
      <c r="B3140" s="19" t="s">
        <v>8396</v>
      </c>
      <c r="C3140" s="204" t="s">
        <v>24</v>
      </c>
      <c r="D3140" s="204" t="s">
        <v>2659</v>
      </c>
      <c r="E3140" s="4" t="s">
        <v>397</v>
      </c>
      <c r="F3140" s="4" t="s">
        <v>28</v>
      </c>
      <c r="G3140" s="204" t="s">
        <v>2276</v>
      </c>
      <c r="H3140" s="204" t="s">
        <v>524</v>
      </c>
      <c r="I3140" s="204"/>
      <c r="J3140" s="21">
        <v>0</v>
      </c>
      <c r="K3140" s="21">
        <v>0</v>
      </c>
      <c r="L3140" s="21">
        <v>0</v>
      </c>
      <c r="M3140" s="21">
        <v>0</v>
      </c>
      <c r="N3140" s="21">
        <v>0</v>
      </c>
      <c r="O3140" s="21">
        <v>0</v>
      </c>
      <c r="P3140" s="21">
        <v>0</v>
      </c>
      <c r="Q3140" s="21">
        <v>0</v>
      </c>
      <c r="R3140" s="21">
        <v>0</v>
      </c>
      <c r="S3140" s="21">
        <v>0</v>
      </c>
      <c r="T3140" s="21">
        <v>0</v>
      </c>
      <c r="U3140" s="21">
        <v>0</v>
      </c>
      <c r="V3140" s="21">
        <v>0</v>
      </c>
      <c r="W3140" s="21">
        <v>0</v>
      </c>
      <c r="X3140" s="21">
        <v>0</v>
      </c>
      <c r="Y3140" s="204" t="s">
        <v>2276</v>
      </c>
      <c r="Z3140" s="204" t="s">
        <v>86</v>
      </c>
      <c r="AA3140" s="204" t="s">
        <v>34</v>
      </c>
      <c r="AB3140" s="204" t="s">
        <v>2276</v>
      </c>
      <c r="AC3140" s="204"/>
      <c r="AD3140" s="204"/>
    </row>
    <row r="3141" spans="1:30" ht="40" customHeight="1">
      <c r="A3141" s="19" t="s">
        <v>8416</v>
      </c>
      <c r="B3141" s="19" t="s">
        <v>8418</v>
      </c>
      <c r="C3141" s="204" t="s">
        <v>24</v>
      </c>
      <c r="D3141" s="204" t="s">
        <v>2659</v>
      </c>
      <c r="E3141" s="204" t="s">
        <v>84</v>
      </c>
      <c r="F3141" s="4" t="s">
        <v>28</v>
      </c>
      <c r="G3141" s="204" t="s">
        <v>2276</v>
      </c>
      <c r="H3141" s="204" t="s">
        <v>523</v>
      </c>
      <c r="I3141" s="204">
        <v>1980</v>
      </c>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1">
        <f>6000/'Record info'!$K1297</f>
        <v>2.4742778201612404E-2</v>
      </c>
      <c r="Y3141" s="21">
        <v>1</v>
      </c>
      <c r="Z3141" s="204" t="s">
        <v>2276</v>
      </c>
      <c r="AA3141" s="204" t="s">
        <v>2276</v>
      </c>
      <c r="AB3141" s="204" t="s">
        <v>2276</v>
      </c>
      <c r="AC3141" s="204"/>
      <c r="AD3141" s="204"/>
    </row>
    <row r="3142" spans="1:30" ht="47" customHeight="1">
      <c r="A3142" s="19" t="s">
        <v>8416</v>
      </c>
      <c r="B3142" s="19" t="s">
        <v>8419</v>
      </c>
      <c r="C3142" s="204" t="s">
        <v>24</v>
      </c>
      <c r="D3142" s="204" t="s">
        <v>2659</v>
      </c>
      <c r="E3142" s="204" t="s">
        <v>84</v>
      </c>
      <c r="F3142" s="4" t="s">
        <v>28</v>
      </c>
      <c r="G3142" s="204" t="s">
        <v>2276</v>
      </c>
      <c r="H3142" s="204" t="s">
        <v>524</v>
      </c>
      <c r="I3142" s="204">
        <v>1992</v>
      </c>
      <c r="J3142" s="21">
        <v>0</v>
      </c>
      <c r="K3142" s="21">
        <v>0</v>
      </c>
      <c r="L3142" s="21">
        <v>0</v>
      </c>
      <c r="M3142" s="21">
        <v>0</v>
      </c>
      <c r="N3142" s="21">
        <v>0</v>
      </c>
      <c r="O3142" s="21">
        <v>0</v>
      </c>
      <c r="P3142" s="21">
        <v>0</v>
      </c>
      <c r="Q3142" s="21">
        <v>0</v>
      </c>
      <c r="R3142" s="21">
        <v>0</v>
      </c>
      <c r="S3142" s="21">
        <v>0</v>
      </c>
      <c r="T3142" s="21">
        <v>0</v>
      </c>
      <c r="U3142" s="21">
        <v>0</v>
      </c>
      <c r="V3142" s="21">
        <v>0</v>
      </c>
      <c r="W3142" s="21">
        <v>0</v>
      </c>
      <c r="X3142" s="21">
        <v>0</v>
      </c>
      <c r="Y3142" s="204" t="s">
        <v>2276</v>
      </c>
      <c r="Z3142" s="204" t="s">
        <v>2276</v>
      </c>
      <c r="AA3142" s="204" t="s">
        <v>2276</v>
      </c>
      <c r="AB3142" s="204" t="s">
        <v>2276</v>
      </c>
      <c r="AC3142" s="204"/>
      <c r="AD3142" s="204"/>
    </row>
    <row r="3143" spans="1:30" ht="42" customHeight="1">
      <c r="A3143" s="19" t="s">
        <v>8425</v>
      </c>
      <c r="B3143" s="19" t="s">
        <v>8428</v>
      </c>
      <c r="C3143" s="204" t="s">
        <v>24</v>
      </c>
      <c r="D3143" s="204" t="s">
        <v>2659</v>
      </c>
      <c r="E3143" s="204" t="s">
        <v>84</v>
      </c>
      <c r="F3143" s="4" t="s">
        <v>28</v>
      </c>
      <c r="G3143" s="204" t="s">
        <v>2276</v>
      </c>
      <c r="H3143" s="204" t="s">
        <v>523</v>
      </c>
      <c r="I3143" s="204">
        <v>1992</v>
      </c>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1">
        <f>((303000*0.404686)/0.83)/'Record info'!$K$1299</f>
        <v>0.34121248279256949</v>
      </c>
      <c r="Y3143" s="204" t="s">
        <v>2276</v>
      </c>
      <c r="Z3143" s="204" t="s">
        <v>38</v>
      </c>
      <c r="AA3143" s="204" t="s">
        <v>35</v>
      </c>
      <c r="AB3143" s="204" t="s">
        <v>76</v>
      </c>
      <c r="AC3143" s="204"/>
      <c r="AD3143" s="204"/>
    </row>
    <row r="3144" spans="1:30" ht="42" customHeight="1">
      <c r="A3144" s="19" t="s">
        <v>8425</v>
      </c>
      <c r="B3144" s="19" t="s">
        <v>8429</v>
      </c>
      <c r="C3144" s="204" t="s">
        <v>24</v>
      </c>
      <c r="D3144" s="204" t="s">
        <v>2659</v>
      </c>
      <c r="E3144" s="204" t="s">
        <v>84</v>
      </c>
      <c r="F3144" s="4" t="s">
        <v>28</v>
      </c>
      <c r="G3144" s="204" t="s">
        <v>2276</v>
      </c>
      <c r="H3144" s="204" t="s">
        <v>523</v>
      </c>
      <c r="I3144" s="204">
        <v>1993</v>
      </c>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1">
        <f>((306000*0.404686)/0.78)/'Record info'!$K$1299</f>
        <v>0.36667997960420068</v>
      </c>
      <c r="Y3144" s="204" t="s">
        <v>2276</v>
      </c>
      <c r="Z3144" s="204" t="s">
        <v>38</v>
      </c>
      <c r="AA3144" s="204" t="s">
        <v>35</v>
      </c>
      <c r="AB3144" s="204" t="s">
        <v>76</v>
      </c>
      <c r="AC3144" s="204"/>
      <c r="AD3144" s="204"/>
    </row>
    <row r="3145" spans="1:30" ht="35.5" customHeight="1">
      <c r="A3145" s="19" t="s">
        <v>8425</v>
      </c>
      <c r="B3145" s="19" t="s">
        <v>8430</v>
      </c>
      <c r="C3145" s="204" t="s">
        <v>24</v>
      </c>
      <c r="D3145" s="204" t="s">
        <v>2659</v>
      </c>
      <c r="E3145" s="204" t="s">
        <v>84</v>
      </c>
      <c r="F3145" s="4" t="s">
        <v>28</v>
      </c>
      <c r="G3145" s="204" t="s">
        <v>2276</v>
      </c>
      <c r="H3145" s="204" t="s">
        <v>523</v>
      </c>
      <c r="I3145" s="204">
        <v>1994</v>
      </c>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1">
        <f>((293000*0.404686)/0.9)/'Record info'!$K$1299</f>
        <v>0.30428846237742924</v>
      </c>
      <c r="Y3145" s="204" t="s">
        <v>2276</v>
      </c>
      <c r="Z3145" s="204" t="s">
        <v>38</v>
      </c>
      <c r="AA3145" s="204" t="s">
        <v>35</v>
      </c>
      <c r="AB3145" s="204" t="s">
        <v>76</v>
      </c>
      <c r="AC3145" s="204"/>
      <c r="AD3145" s="204"/>
    </row>
    <row r="3146" spans="1:30" ht="35.5" customHeight="1">
      <c r="A3146" s="19" t="s">
        <v>8425</v>
      </c>
      <c r="B3146" s="19" t="s">
        <v>8431</v>
      </c>
      <c r="C3146" s="204" t="s">
        <v>24</v>
      </c>
      <c r="D3146" s="204" t="s">
        <v>2659</v>
      </c>
      <c r="E3146" s="204" t="s">
        <v>84</v>
      </c>
      <c r="F3146" s="4" t="s">
        <v>28</v>
      </c>
      <c r="G3146" s="204" t="s">
        <v>2276</v>
      </c>
      <c r="H3146" s="204" t="s">
        <v>523</v>
      </c>
      <c r="I3146" s="204">
        <v>1995</v>
      </c>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1">
        <f>((268000*0.404686)/0.74)/'Record info'!$K$1299</f>
        <v>0.33850372255989275</v>
      </c>
      <c r="Y3146" s="204" t="s">
        <v>2276</v>
      </c>
      <c r="Z3146" s="204" t="s">
        <v>38</v>
      </c>
      <c r="AA3146" s="204" t="s">
        <v>35</v>
      </c>
      <c r="AB3146" s="204" t="s">
        <v>76</v>
      </c>
      <c r="AC3146" s="204"/>
      <c r="AD3146" s="204"/>
    </row>
    <row r="3147" spans="1:30" ht="35.5" customHeight="1">
      <c r="A3147" s="19" t="s">
        <v>8425</v>
      </c>
      <c r="B3147" s="19" t="s">
        <v>8432</v>
      </c>
      <c r="C3147" s="204" t="s">
        <v>24</v>
      </c>
      <c r="D3147" s="204" t="s">
        <v>2659</v>
      </c>
      <c r="E3147" s="204" t="s">
        <v>84</v>
      </c>
      <c r="F3147" s="4" t="s">
        <v>28</v>
      </c>
      <c r="G3147" s="204" t="s">
        <v>2276</v>
      </c>
      <c r="H3147" s="204" t="s">
        <v>523</v>
      </c>
      <c r="I3147" s="204">
        <v>1996</v>
      </c>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1">
        <f>((211000*0.404686)/0.85)/'Record info'!$K$1299</f>
        <v>0.23201918893986678</v>
      </c>
      <c r="Y3147" s="204" t="s">
        <v>2276</v>
      </c>
      <c r="Z3147" s="204" t="s">
        <v>38</v>
      </c>
      <c r="AA3147" s="204" t="s">
        <v>35</v>
      </c>
      <c r="AB3147" s="204" t="s">
        <v>76</v>
      </c>
      <c r="AC3147" s="204"/>
      <c r="AD3147" s="204"/>
    </row>
    <row r="3148" spans="1:30" ht="36.5" customHeight="1">
      <c r="A3148" s="19" t="s">
        <v>8425</v>
      </c>
      <c r="B3148" s="19" t="s">
        <v>8433</v>
      </c>
      <c r="C3148" s="204" t="s">
        <v>24</v>
      </c>
      <c r="D3148" s="204" t="s">
        <v>2659</v>
      </c>
      <c r="E3148" s="204" t="s">
        <v>84</v>
      </c>
      <c r="F3148" s="4" t="s">
        <v>28</v>
      </c>
      <c r="G3148" s="204" t="s">
        <v>2276</v>
      </c>
      <c r="H3148" s="204" t="s">
        <v>523</v>
      </c>
      <c r="I3148" s="11">
        <v>1980</v>
      </c>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1">
        <f>((425000*0.404686)/AVERAGE(0.83, 0.78, 0.9, 0.74, 0.85))/'Record info'!$K$1299</f>
        <v>0.48443493240392371</v>
      </c>
      <c r="Y3148" s="204" t="s">
        <v>2276</v>
      </c>
      <c r="Z3148" s="204" t="s">
        <v>38</v>
      </c>
      <c r="AA3148" s="204" t="s">
        <v>35</v>
      </c>
      <c r="AB3148" s="204" t="s">
        <v>76</v>
      </c>
      <c r="AC3148" s="204"/>
      <c r="AD3148" s="204"/>
    </row>
    <row r="3149" spans="1:30" ht="39" customHeight="1">
      <c r="A3149" s="19" t="s">
        <v>8421</v>
      </c>
      <c r="B3149" s="19" t="s">
        <v>8422</v>
      </c>
      <c r="C3149" s="204" t="s">
        <v>24</v>
      </c>
      <c r="D3149" s="204" t="s">
        <v>2659</v>
      </c>
      <c r="E3149" s="204" t="s">
        <v>84</v>
      </c>
      <c r="F3149" s="4" t="s">
        <v>28</v>
      </c>
      <c r="G3149" s="204" t="s">
        <v>2276</v>
      </c>
      <c r="H3149" s="204" t="s">
        <v>523</v>
      </c>
      <c r="I3149" s="204">
        <v>1992</v>
      </c>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68</v>
      </c>
      <c r="AA3149" s="204" t="s">
        <v>68</v>
      </c>
      <c r="AB3149" s="204" t="s">
        <v>2276</v>
      </c>
      <c r="AC3149" s="204"/>
      <c r="AD3149" s="204"/>
    </row>
    <row r="3150" spans="1:30" ht="45.5" customHeight="1">
      <c r="A3150" s="19" t="s">
        <v>8434</v>
      </c>
      <c r="B3150" s="19" t="s">
        <v>8436</v>
      </c>
      <c r="C3150" s="204" t="s">
        <v>24</v>
      </c>
      <c r="D3150" s="204" t="s">
        <v>2659</v>
      </c>
      <c r="E3150" s="204" t="s">
        <v>84</v>
      </c>
      <c r="F3150" s="4" t="s">
        <v>28</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2276</v>
      </c>
      <c r="AA3150" s="204" t="s">
        <v>2276</v>
      </c>
      <c r="AB3150" s="204" t="s">
        <v>2276</v>
      </c>
      <c r="AC3150" s="204"/>
      <c r="AD3150" s="204"/>
    </row>
    <row r="3151" spans="1:30" ht="42.5" customHeight="1">
      <c r="A3151" s="19" t="s">
        <v>8439</v>
      </c>
      <c r="B3151" s="19" t="s">
        <v>8440</v>
      </c>
      <c r="C3151" s="204" t="s">
        <v>24</v>
      </c>
      <c r="D3151" s="204" t="s">
        <v>2659</v>
      </c>
      <c r="E3151" s="4" t="s">
        <v>397</v>
      </c>
      <c r="F3151" s="4" t="s">
        <v>28</v>
      </c>
      <c r="G3151" s="204" t="s">
        <v>2276</v>
      </c>
      <c r="H3151" s="204" t="s">
        <v>523</v>
      </c>
      <c r="I3151" s="204"/>
      <c r="J3151" s="204" t="s">
        <v>2276</v>
      </c>
      <c r="K3151" s="204" t="s">
        <v>2276</v>
      </c>
      <c r="L3151" s="204" t="s">
        <v>2276</v>
      </c>
      <c r="M3151" s="204" t="s">
        <v>2276</v>
      </c>
      <c r="N3151" s="204" t="s">
        <v>2276</v>
      </c>
      <c r="O3151" s="204" t="s">
        <v>2276</v>
      </c>
      <c r="P3151" s="204" t="s">
        <v>2276</v>
      </c>
      <c r="Q3151" s="204" t="s">
        <v>2276</v>
      </c>
      <c r="R3151" s="204" t="s">
        <v>2276</v>
      </c>
      <c r="S3151" s="204" t="s">
        <v>2276</v>
      </c>
      <c r="T3151" s="204" t="s">
        <v>2276</v>
      </c>
      <c r="U3151" s="204" t="s">
        <v>2276</v>
      </c>
      <c r="V3151" s="204" t="s">
        <v>2276</v>
      </c>
      <c r="W3151" s="204" t="s">
        <v>2276</v>
      </c>
      <c r="X3151" s="21">
        <f>(0.3*3718000*0.9)/'Record info'!K1301</f>
        <v>3.3462000000000001</v>
      </c>
      <c r="Y3151" s="204" t="s">
        <v>2276</v>
      </c>
      <c r="Z3151" s="204" t="s">
        <v>399</v>
      </c>
      <c r="AA3151" s="204" t="s">
        <v>189</v>
      </c>
      <c r="AB3151" s="204" t="s">
        <v>2276</v>
      </c>
      <c r="AC3151" s="204" t="s">
        <v>8446</v>
      </c>
      <c r="AD3151" s="204"/>
    </row>
    <row r="3152" spans="1:30" ht="45.5" customHeight="1">
      <c r="A3152" s="19" t="s">
        <v>8439</v>
      </c>
      <c r="B3152" s="19" t="s">
        <v>8441</v>
      </c>
      <c r="C3152" s="204" t="s">
        <v>24</v>
      </c>
      <c r="D3152" s="204" t="s">
        <v>2659</v>
      </c>
      <c r="E3152" s="4" t="s">
        <v>397</v>
      </c>
      <c r="F3152" s="4" t="s">
        <v>28</v>
      </c>
      <c r="G3152" s="204" t="s">
        <v>2276</v>
      </c>
      <c r="H3152" s="204" t="s">
        <v>523</v>
      </c>
      <c r="I3152" s="204"/>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1">
        <f>(0.7*3718000*0.9)/'Record info'!K1301</f>
        <v>7.8078000000000003</v>
      </c>
      <c r="Y3152" s="204" t="s">
        <v>2276</v>
      </c>
      <c r="Z3152" s="204" t="s">
        <v>38</v>
      </c>
      <c r="AA3152" s="204" t="s">
        <v>86</v>
      </c>
      <c r="AB3152" s="204" t="s">
        <v>2276</v>
      </c>
      <c r="AC3152" s="204" t="s">
        <v>8446</v>
      </c>
      <c r="AD3152" s="204"/>
    </row>
    <row r="3153" spans="1:30" ht="64" customHeight="1">
      <c r="A3153" s="19" t="s">
        <v>8439</v>
      </c>
      <c r="B3153" s="19" t="s">
        <v>8442</v>
      </c>
      <c r="C3153" s="204" t="s">
        <v>24</v>
      </c>
      <c r="D3153" s="204" t="s">
        <v>1131</v>
      </c>
      <c r="E3153" s="4" t="s">
        <v>396</v>
      </c>
      <c r="F3153" s="4" t="s">
        <v>28</v>
      </c>
      <c r="G3153" s="204" t="s">
        <v>2276</v>
      </c>
      <c r="H3153" s="204" t="s">
        <v>523</v>
      </c>
      <c r="I3153" s="204"/>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04" t="s">
        <v>2276</v>
      </c>
      <c r="X3153" s="21">
        <f>22200/'Record info'!K$1301</f>
        <v>7.3999999999999996E-2</v>
      </c>
      <c r="Y3153" s="204" t="s">
        <v>2276</v>
      </c>
      <c r="Z3153" s="204" t="s">
        <v>68</v>
      </c>
      <c r="AA3153" s="204" t="s">
        <v>127</v>
      </c>
      <c r="AB3153" s="204" t="s">
        <v>2276</v>
      </c>
      <c r="AC3153" s="4" t="s">
        <v>8445</v>
      </c>
      <c r="AD3153" s="204"/>
    </row>
    <row r="3154" spans="1:30" ht="64" customHeight="1">
      <c r="A3154" s="19" t="s">
        <v>8439</v>
      </c>
      <c r="B3154" s="19" t="s">
        <v>8443</v>
      </c>
      <c r="C3154" s="204" t="s">
        <v>24</v>
      </c>
      <c r="D3154" s="204" t="s">
        <v>1131</v>
      </c>
      <c r="E3154" s="4" t="s">
        <v>396</v>
      </c>
      <c r="F3154" s="4" t="s">
        <v>28</v>
      </c>
      <c r="G3154" s="204" t="s">
        <v>2276</v>
      </c>
      <c r="H3154" s="204" t="s">
        <v>523</v>
      </c>
      <c r="I3154" s="204"/>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1">
        <f>148000/'Record info'!K$1301</f>
        <v>0.49333333333333335</v>
      </c>
      <c r="Y3154" s="204" t="s">
        <v>2276</v>
      </c>
      <c r="Z3154" s="204" t="s">
        <v>399</v>
      </c>
      <c r="AA3154" s="204" t="s">
        <v>189</v>
      </c>
      <c r="AB3154" s="204" t="s">
        <v>2276</v>
      </c>
      <c r="AC3154" s="4" t="s">
        <v>8445</v>
      </c>
      <c r="AD3154" s="204"/>
    </row>
    <row r="3155" spans="1:30" ht="64" customHeight="1">
      <c r="A3155" s="19" t="s">
        <v>8439</v>
      </c>
      <c r="B3155" s="19" t="s">
        <v>8444</v>
      </c>
      <c r="C3155" s="204" t="s">
        <v>24</v>
      </c>
      <c r="D3155" s="204" t="s">
        <v>1131</v>
      </c>
      <c r="E3155" s="4" t="s">
        <v>396</v>
      </c>
      <c r="F3155" s="4" t="s">
        <v>28</v>
      </c>
      <c r="G3155" s="204" t="s">
        <v>2276</v>
      </c>
      <c r="H3155" s="204" t="s">
        <v>523</v>
      </c>
      <c r="I3155" s="204"/>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04" t="s">
        <v>2276</v>
      </c>
      <c r="X3155" s="21">
        <f>66600/'Record info'!K$1301</f>
        <v>0.222</v>
      </c>
      <c r="Y3155" s="204" t="s">
        <v>2276</v>
      </c>
      <c r="Z3155" s="204" t="s">
        <v>38</v>
      </c>
      <c r="AA3155" s="204" t="s">
        <v>86</v>
      </c>
      <c r="AB3155" s="204" t="s">
        <v>2276</v>
      </c>
      <c r="AC3155" s="4" t="s">
        <v>8445</v>
      </c>
      <c r="AD3155" s="204"/>
    </row>
    <row r="3156" spans="1:30" ht="53.5" customHeight="1">
      <c r="A3156" s="19" t="s">
        <v>8439</v>
      </c>
      <c r="B3156" s="19" t="s">
        <v>8447</v>
      </c>
      <c r="C3156" s="204" t="s">
        <v>24</v>
      </c>
      <c r="D3156" s="204" t="s">
        <v>2659</v>
      </c>
      <c r="E3156" s="4" t="s">
        <v>396</v>
      </c>
      <c r="F3156" s="4" t="s">
        <v>28</v>
      </c>
      <c r="G3156" s="204" t="s">
        <v>2276</v>
      </c>
      <c r="H3156" s="204" t="s">
        <v>523</v>
      </c>
      <c r="I3156" s="204"/>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04" t="s">
        <v>2276</v>
      </c>
      <c r="Y3156" s="204" t="s">
        <v>2276</v>
      </c>
      <c r="Z3156" s="204" t="s">
        <v>68</v>
      </c>
      <c r="AA3156" s="204" t="s">
        <v>127</v>
      </c>
      <c r="AB3156" s="204" t="s">
        <v>2276</v>
      </c>
      <c r="AC3156" s="4" t="s">
        <v>8450</v>
      </c>
      <c r="AD3156" s="204"/>
    </row>
    <row r="3157" spans="1:30" ht="53.5" customHeight="1">
      <c r="A3157" s="19" t="s">
        <v>8439</v>
      </c>
      <c r="B3157" s="19" t="s">
        <v>8448</v>
      </c>
      <c r="C3157" s="204" t="s">
        <v>24</v>
      </c>
      <c r="D3157" s="204" t="s">
        <v>2659</v>
      </c>
      <c r="E3157" s="4" t="s">
        <v>396</v>
      </c>
      <c r="F3157" s="4" t="s">
        <v>28</v>
      </c>
      <c r="G3157" s="204" t="s">
        <v>2276</v>
      </c>
      <c r="H3157" s="204" t="s">
        <v>523</v>
      </c>
      <c r="I3157" s="204"/>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04" t="s">
        <v>2276</v>
      </c>
      <c r="Y3157" s="204" t="s">
        <v>2276</v>
      </c>
      <c r="Z3157" s="204" t="s">
        <v>399</v>
      </c>
      <c r="AA3157" s="204" t="s">
        <v>189</v>
      </c>
      <c r="AB3157" s="204" t="s">
        <v>2276</v>
      </c>
      <c r="AC3157" s="4" t="s">
        <v>8450</v>
      </c>
      <c r="AD3157" s="204"/>
    </row>
    <row r="3158" spans="1:30" ht="53.5" customHeight="1">
      <c r="A3158" s="19" t="s">
        <v>8439</v>
      </c>
      <c r="B3158" s="19" t="s">
        <v>8449</v>
      </c>
      <c r="C3158" s="204" t="s">
        <v>24</v>
      </c>
      <c r="D3158" s="204" t="s">
        <v>2659</v>
      </c>
      <c r="E3158" s="4" t="s">
        <v>396</v>
      </c>
      <c r="F3158" s="4" t="s">
        <v>28</v>
      </c>
      <c r="G3158" s="204" t="s">
        <v>2276</v>
      </c>
      <c r="H3158" s="204" t="s">
        <v>523</v>
      </c>
      <c r="I3158" s="204"/>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04" t="s">
        <v>2276</v>
      </c>
      <c r="X3158" s="204" t="s">
        <v>2276</v>
      </c>
      <c r="Y3158" s="204" t="s">
        <v>2276</v>
      </c>
      <c r="Z3158" s="204" t="s">
        <v>38</v>
      </c>
      <c r="AA3158" s="204" t="s">
        <v>86</v>
      </c>
      <c r="AB3158" s="204" t="s">
        <v>2276</v>
      </c>
      <c r="AC3158" s="4" t="s">
        <v>8450</v>
      </c>
      <c r="AD3158" s="204"/>
    </row>
    <row r="3159" spans="1:30" ht="42" customHeight="1">
      <c r="A3159" s="19" t="s">
        <v>8451</v>
      </c>
      <c r="B3159" s="19" t="s">
        <v>8454</v>
      </c>
      <c r="C3159" s="204" t="s">
        <v>24</v>
      </c>
      <c r="D3159" s="204" t="s">
        <v>1131</v>
      </c>
      <c r="E3159" s="4" t="s">
        <v>397</v>
      </c>
      <c r="F3159" s="4" t="s">
        <v>28</v>
      </c>
      <c r="G3159" s="204" t="s">
        <v>2276</v>
      </c>
      <c r="H3159" s="204" t="s">
        <v>524</v>
      </c>
      <c r="I3159" s="204"/>
      <c r="J3159" s="21">
        <v>0</v>
      </c>
      <c r="K3159" s="21">
        <v>0</v>
      </c>
      <c r="L3159" s="21">
        <v>0</v>
      </c>
      <c r="M3159" s="21">
        <v>0</v>
      </c>
      <c r="N3159" s="21">
        <v>0</v>
      </c>
      <c r="O3159" s="21">
        <v>0</v>
      </c>
      <c r="P3159" s="21">
        <v>0</v>
      </c>
      <c r="Q3159" s="21">
        <v>0</v>
      </c>
      <c r="R3159" s="21">
        <v>0</v>
      </c>
      <c r="S3159" s="21">
        <v>0</v>
      </c>
      <c r="T3159" s="21">
        <v>0</v>
      </c>
      <c r="U3159" s="21">
        <v>0</v>
      </c>
      <c r="V3159" s="21">
        <v>0</v>
      </c>
      <c r="W3159" s="21">
        <v>0</v>
      </c>
      <c r="X3159" s="21">
        <v>0</v>
      </c>
      <c r="Y3159" s="204" t="s">
        <v>2276</v>
      </c>
      <c r="Z3159" s="204" t="s">
        <v>2276</v>
      </c>
      <c r="AA3159" s="204" t="s">
        <v>2276</v>
      </c>
      <c r="AB3159" s="204" t="s">
        <v>2276</v>
      </c>
      <c r="AC3159" s="204" t="s">
        <v>8469</v>
      </c>
      <c r="AD3159" s="204"/>
    </row>
    <row r="3160" spans="1:30" ht="36" customHeight="1">
      <c r="A3160" s="19" t="s">
        <v>8461</v>
      </c>
      <c r="B3160" s="19" t="s">
        <v>8463</v>
      </c>
      <c r="C3160" s="204" t="s">
        <v>24</v>
      </c>
      <c r="D3160" s="204" t="s">
        <v>2659</v>
      </c>
      <c r="E3160" s="4" t="s">
        <v>396</v>
      </c>
      <c r="F3160" s="4" t="s">
        <v>28</v>
      </c>
      <c r="G3160" s="204" t="s">
        <v>2276</v>
      </c>
      <c r="H3160" s="204" t="s">
        <v>523</v>
      </c>
      <c r="I3160" s="204"/>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04" t="s">
        <v>2276</v>
      </c>
      <c r="X3160" s="21">
        <v>91.99</v>
      </c>
      <c r="Y3160" s="21">
        <v>1</v>
      </c>
      <c r="Z3160" s="204" t="s">
        <v>188</v>
      </c>
      <c r="AA3160" s="204" t="s">
        <v>86</v>
      </c>
      <c r="AB3160" s="204" t="s">
        <v>2276</v>
      </c>
      <c r="AC3160" s="204"/>
      <c r="AD3160" s="204"/>
    </row>
    <row r="3161" spans="1:30" ht="41" customHeight="1">
      <c r="A3161" s="19" t="s">
        <v>8465</v>
      </c>
      <c r="B3161" s="19" t="s">
        <v>8467</v>
      </c>
      <c r="C3161" s="204" t="s">
        <v>24</v>
      </c>
      <c r="D3161" s="204" t="s">
        <v>1131</v>
      </c>
      <c r="E3161" s="4" t="s">
        <v>396</v>
      </c>
      <c r="F3161" s="4" t="s">
        <v>28</v>
      </c>
      <c r="G3161" s="204" t="s">
        <v>2276</v>
      </c>
      <c r="H3161" s="204" t="s">
        <v>523</v>
      </c>
      <c r="I3161" s="204"/>
      <c r="J3161" s="204" t="s">
        <v>2276</v>
      </c>
      <c r="K3161" s="204" t="s">
        <v>2276</v>
      </c>
      <c r="L3161" s="204" t="s">
        <v>2276</v>
      </c>
      <c r="M3161" s="204" t="s">
        <v>2276</v>
      </c>
      <c r="N3161" s="204" t="s">
        <v>2276</v>
      </c>
      <c r="O3161" s="204" t="s">
        <v>2276</v>
      </c>
      <c r="P3161" s="204" t="s">
        <v>2276</v>
      </c>
      <c r="Q3161" s="204" t="s">
        <v>2276</v>
      </c>
      <c r="R3161" s="204" t="s">
        <v>2276</v>
      </c>
      <c r="S3161" s="204" t="s">
        <v>2276</v>
      </c>
      <c r="T3161" s="21">
        <v>2000000</v>
      </c>
      <c r="U3161" s="204" t="s">
        <v>2276</v>
      </c>
      <c r="V3161" s="21">
        <f>100*2/5.4</f>
        <v>37.037037037037038</v>
      </c>
      <c r="W3161" s="204" t="s">
        <v>2276</v>
      </c>
      <c r="X3161" s="21">
        <f>100*2/5.4</f>
        <v>37.037037037037038</v>
      </c>
      <c r="Y3161" s="204" t="s">
        <v>2276</v>
      </c>
      <c r="Z3161" s="204" t="s">
        <v>2276</v>
      </c>
      <c r="AA3161" s="204" t="s">
        <v>2276</v>
      </c>
      <c r="AB3161" s="204" t="s">
        <v>2276</v>
      </c>
      <c r="AC3161" s="204" t="s">
        <v>8469</v>
      </c>
      <c r="AD3161" s="204"/>
    </row>
    <row r="3162" spans="1:30" ht="36.5" customHeight="1">
      <c r="A3162" s="19" t="s">
        <v>8472</v>
      </c>
      <c r="B3162" s="19" t="s">
        <v>8502</v>
      </c>
      <c r="C3162" s="204" t="s">
        <v>24</v>
      </c>
      <c r="D3162" s="204" t="s">
        <v>1131</v>
      </c>
      <c r="E3162" s="4" t="s">
        <v>396</v>
      </c>
      <c r="F3162" s="4" t="s">
        <v>28</v>
      </c>
      <c r="G3162" s="204" t="s">
        <v>2276</v>
      </c>
      <c r="H3162" s="204" t="s">
        <v>523</v>
      </c>
      <c r="I3162" s="204"/>
      <c r="J3162" s="204" t="s">
        <v>2276</v>
      </c>
      <c r="K3162" s="204" t="s">
        <v>2276</v>
      </c>
      <c r="L3162" s="204" t="s">
        <v>2276</v>
      </c>
      <c r="M3162" s="204" t="s">
        <v>2276</v>
      </c>
      <c r="N3162" s="204" t="s">
        <v>2276</v>
      </c>
      <c r="O3162" s="204" t="s">
        <v>2276</v>
      </c>
      <c r="P3162" s="204" t="s">
        <v>2276</v>
      </c>
      <c r="Q3162" s="204" t="s">
        <v>2276</v>
      </c>
      <c r="R3162" s="204" t="s">
        <v>2276</v>
      </c>
      <c r="S3162" s="204" t="s">
        <v>2276</v>
      </c>
      <c r="T3162" s="21">
        <v>174042</v>
      </c>
      <c r="U3162" s="204" t="s">
        <v>2276</v>
      </c>
      <c r="V3162" s="21">
        <v>44.6</v>
      </c>
      <c r="W3162" s="204" t="s">
        <v>2276</v>
      </c>
      <c r="X3162" s="21">
        <v>44.6</v>
      </c>
      <c r="Y3162" s="204" t="s">
        <v>2276</v>
      </c>
      <c r="Z3162" s="204" t="s">
        <v>38</v>
      </c>
      <c r="AA3162" s="204" t="s">
        <v>127</v>
      </c>
      <c r="AB3162" s="204" t="s">
        <v>64</v>
      </c>
      <c r="AC3162" s="204" t="s">
        <v>8469</v>
      </c>
      <c r="AD3162" s="204"/>
    </row>
    <row r="3163" spans="1:30" ht="36.5" customHeight="1">
      <c r="A3163" s="19" t="s">
        <v>8475</v>
      </c>
      <c r="B3163" s="19" t="s">
        <v>8503</v>
      </c>
      <c r="C3163" s="204" t="s">
        <v>24</v>
      </c>
      <c r="D3163" s="204" t="s">
        <v>1131</v>
      </c>
      <c r="E3163" s="4" t="s">
        <v>396</v>
      </c>
      <c r="F3163" s="4" t="s">
        <v>28</v>
      </c>
      <c r="G3163" s="204" t="s">
        <v>2276</v>
      </c>
      <c r="H3163" s="204" t="s">
        <v>523</v>
      </c>
      <c r="I3163" s="204"/>
      <c r="J3163" s="204" t="s">
        <v>2276</v>
      </c>
      <c r="K3163" s="204" t="s">
        <v>2276</v>
      </c>
      <c r="L3163" s="204" t="s">
        <v>2276</v>
      </c>
      <c r="M3163" s="204" t="s">
        <v>2276</v>
      </c>
      <c r="N3163" s="204" t="s">
        <v>2276</v>
      </c>
      <c r="O3163" s="204" t="s">
        <v>2276</v>
      </c>
      <c r="P3163" s="204" t="s">
        <v>2276</v>
      </c>
      <c r="Q3163" s="204" t="s">
        <v>2276</v>
      </c>
      <c r="R3163" s="204" t="s">
        <v>2276</v>
      </c>
      <c r="S3163" s="204" t="s">
        <v>2276</v>
      </c>
      <c r="T3163" s="21">
        <v>185362</v>
      </c>
      <c r="U3163" s="204" t="s">
        <v>2276</v>
      </c>
      <c r="V3163" s="21">
        <v>55.2</v>
      </c>
      <c r="W3163" s="204" t="s">
        <v>2276</v>
      </c>
      <c r="X3163" s="21">
        <v>55.2</v>
      </c>
      <c r="Y3163" s="204" t="s">
        <v>2276</v>
      </c>
      <c r="Z3163" s="204" t="s">
        <v>38</v>
      </c>
      <c r="AA3163" s="204" t="s">
        <v>127</v>
      </c>
      <c r="AB3163" s="204" t="s">
        <v>64</v>
      </c>
      <c r="AC3163" s="204" t="s">
        <v>8469</v>
      </c>
      <c r="AD3163" s="204"/>
    </row>
    <row r="3164" spans="1:30" ht="36.5" customHeight="1">
      <c r="A3164" s="19" t="s">
        <v>8476</v>
      </c>
      <c r="B3164" s="19" t="s">
        <v>8504</v>
      </c>
      <c r="C3164" s="204" t="s">
        <v>24</v>
      </c>
      <c r="D3164" s="204" t="s">
        <v>1131</v>
      </c>
      <c r="E3164" s="4" t="s">
        <v>396</v>
      </c>
      <c r="F3164" s="4" t="s">
        <v>28</v>
      </c>
      <c r="G3164" s="204" t="s">
        <v>2276</v>
      </c>
      <c r="H3164" s="204" t="s">
        <v>523</v>
      </c>
      <c r="I3164" s="204"/>
      <c r="J3164" s="204" t="s">
        <v>2276</v>
      </c>
      <c r="K3164" s="204" t="s">
        <v>2276</v>
      </c>
      <c r="L3164" s="204" t="s">
        <v>2276</v>
      </c>
      <c r="M3164" s="204" t="s">
        <v>2276</v>
      </c>
      <c r="N3164" s="204" t="s">
        <v>2276</v>
      </c>
      <c r="O3164" s="204" t="s">
        <v>2276</v>
      </c>
      <c r="P3164" s="204" t="s">
        <v>2276</v>
      </c>
      <c r="Q3164" s="204" t="s">
        <v>2276</v>
      </c>
      <c r="R3164" s="204" t="s">
        <v>2276</v>
      </c>
      <c r="S3164" s="204" t="s">
        <v>2276</v>
      </c>
      <c r="T3164" s="21">
        <v>208935</v>
      </c>
      <c r="U3164" s="204" t="s">
        <v>2276</v>
      </c>
      <c r="V3164" s="21">
        <v>57.5</v>
      </c>
      <c r="W3164" s="204" t="s">
        <v>2276</v>
      </c>
      <c r="X3164" s="21">
        <v>57.5</v>
      </c>
      <c r="Y3164" s="204" t="s">
        <v>2276</v>
      </c>
      <c r="Z3164" s="204" t="s">
        <v>38</v>
      </c>
      <c r="AA3164" s="204" t="s">
        <v>127</v>
      </c>
      <c r="AB3164" s="204" t="s">
        <v>64</v>
      </c>
      <c r="AC3164" s="204" t="s">
        <v>8469</v>
      </c>
      <c r="AD3164" s="204"/>
    </row>
    <row r="3165" spans="1:30" ht="36.5" customHeight="1">
      <c r="A3165" s="19" t="s">
        <v>8477</v>
      </c>
      <c r="B3165" s="19" t="s">
        <v>8505</v>
      </c>
      <c r="C3165" s="204" t="s">
        <v>24</v>
      </c>
      <c r="D3165" s="204" t="s">
        <v>1131</v>
      </c>
      <c r="E3165" s="4" t="s">
        <v>396</v>
      </c>
      <c r="F3165" s="4" t="s">
        <v>28</v>
      </c>
      <c r="G3165" s="204" t="s">
        <v>2276</v>
      </c>
      <c r="H3165" s="204" t="s">
        <v>523</v>
      </c>
      <c r="I3165" s="204"/>
      <c r="J3165" s="204" t="s">
        <v>2276</v>
      </c>
      <c r="K3165" s="204" t="s">
        <v>2276</v>
      </c>
      <c r="L3165" s="204" t="s">
        <v>2276</v>
      </c>
      <c r="M3165" s="204" t="s">
        <v>2276</v>
      </c>
      <c r="N3165" s="204" t="s">
        <v>2276</v>
      </c>
      <c r="O3165" s="204" t="s">
        <v>2276</v>
      </c>
      <c r="P3165" s="204" t="s">
        <v>2276</v>
      </c>
      <c r="Q3165" s="204" t="s">
        <v>2276</v>
      </c>
      <c r="R3165" s="204" t="s">
        <v>2276</v>
      </c>
      <c r="S3165" s="204" t="s">
        <v>2276</v>
      </c>
      <c r="T3165" s="21">
        <v>199747</v>
      </c>
      <c r="U3165" s="204" t="s">
        <v>2276</v>
      </c>
      <c r="V3165" s="21">
        <v>48.3</v>
      </c>
      <c r="W3165" s="204" t="s">
        <v>2276</v>
      </c>
      <c r="X3165" s="21">
        <v>48.3</v>
      </c>
      <c r="Y3165" s="204" t="s">
        <v>2276</v>
      </c>
      <c r="Z3165" s="204" t="s">
        <v>38</v>
      </c>
      <c r="AA3165" s="204" t="s">
        <v>127</v>
      </c>
      <c r="AB3165" s="204" t="s">
        <v>64</v>
      </c>
      <c r="AC3165" s="204" t="s">
        <v>8469</v>
      </c>
      <c r="AD3165" s="204"/>
    </row>
    <row r="3166" spans="1:30" ht="36.5" customHeight="1">
      <c r="A3166" s="19" t="s">
        <v>8478</v>
      </c>
      <c r="B3166" s="19" t="s">
        <v>8506</v>
      </c>
      <c r="C3166" s="204" t="s">
        <v>24</v>
      </c>
      <c r="D3166" s="204" t="s">
        <v>1131</v>
      </c>
      <c r="E3166" s="4" t="s">
        <v>396</v>
      </c>
      <c r="F3166" s="4" t="s">
        <v>28</v>
      </c>
      <c r="G3166" s="204" t="s">
        <v>2276</v>
      </c>
      <c r="H3166" s="204" t="s">
        <v>523</v>
      </c>
      <c r="I3166" s="204"/>
      <c r="J3166" s="204" t="s">
        <v>2276</v>
      </c>
      <c r="K3166" s="204" t="s">
        <v>2276</v>
      </c>
      <c r="L3166" s="204" t="s">
        <v>2276</v>
      </c>
      <c r="M3166" s="204" t="s">
        <v>2276</v>
      </c>
      <c r="N3166" s="204" t="s">
        <v>2276</v>
      </c>
      <c r="O3166" s="204" t="s">
        <v>2276</v>
      </c>
      <c r="P3166" s="204" t="s">
        <v>2276</v>
      </c>
      <c r="Q3166" s="204" t="s">
        <v>2276</v>
      </c>
      <c r="R3166" s="204" t="s">
        <v>2276</v>
      </c>
      <c r="S3166" s="204" t="s">
        <v>2276</v>
      </c>
      <c r="T3166" s="21">
        <v>187026</v>
      </c>
      <c r="U3166" s="204" t="s">
        <v>2276</v>
      </c>
      <c r="V3166" s="21">
        <v>51.4</v>
      </c>
      <c r="W3166" s="204" t="s">
        <v>2276</v>
      </c>
      <c r="X3166" s="21">
        <v>51.4</v>
      </c>
      <c r="Y3166" s="204" t="s">
        <v>2276</v>
      </c>
      <c r="Z3166" s="204" t="s">
        <v>38</v>
      </c>
      <c r="AA3166" s="204" t="s">
        <v>127</v>
      </c>
      <c r="AB3166" s="204" t="s">
        <v>64</v>
      </c>
      <c r="AC3166" s="204" t="s">
        <v>8469</v>
      </c>
      <c r="AD3166" s="204"/>
    </row>
    <row r="3167" spans="1:30" ht="36.5" customHeight="1">
      <c r="A3167" s="19" t="s">
        <v>8479</v>
      </c>
      <c r="B3167" s="19" t="s">
        <v>8507</v>
      </c>
      <c r="C3167" s="204" t="s">
        <v>24</v>
      </c>
      <c r="D3167" s="204" t="s">
        <v>1131</v>
      </c>
      <c r="E3167" s="4" t="s">
        <v>396</v>
      </c>
      <c r="F3167" s="4" t="s">
        <v>28</v>
      </c>
      <c r="G3167" s="204" t="s">
        <v>2276</v>
      </c>
      <c r="H3167" s="204" t="s">
        <v>523</v>
      </c>
      <c r="I3167" s="204"/>
      <c r="J3167" s="204" t="s">
        <v>2276</v>
      </c>
      <c r="K3167" s="204" t="s">
        <v>2276</v>
      </c>
      <c r="L3167" s="204" t="s">
        <v>2276</v>
      </c>
      <c r="M3167" s="204" t="s">
        <v>2276</v>
      </c>
      <c r="N3167" s="204" t="s">
        <v>2276</v>
      </c>
      <c r="O3167" s="204" t="s">
        <v>2276</v>
      </c>
      <c r="P3167" s="204" t="s">
        <v>2276</v>
      </c>
      <c r="Q3167" s="204" t="s">
        <v>2276</v>
      </c>
      <c r="R3167" s="204" t="s">
        <v>2276</v>
      </c>
      <c r="S3167" s="204" t="s">
        <v>2276</v>
      </c>
      <c r="T3167" s="21">
        <v>216902</v>
      </c>
      <c r="U3167" s="204" t="s">
        <v>2276</v>
      </c>
      <c r="V3167" s="21">
        <v>53</v>
      </c>
      <c r="W3167" s="204" t="s">
        <v>2276</v>
      </c>
      <c r="X3167" s="21">
        <v>53</v>
      </c>
      <c r="Y3167" s="204" t="s">
        <v>2276</v>
      </c>
      <c r="Z3167" s="204" t="s">
        <v>38</v>
      </c>
      <c r="AA3167" s="204" t="s">
        <v>127</v>
      </c>
      <c r="AB3167" s="204" t="s">
        <v>64</v>
      </c>
      <c r="AC3167" s="204" t="s">
        <v>8469</v>
      </c>
      <c r="AD3167" s="204"/>
    </row>
    <row r="3168" spans="1:30" ht="36.5" customHeight="1">
      <c r="A3168" s="19" t="s">
        <v>8480</v>
      </c>
      <c r="B3168" s="19" t="s">
        <v>8508</v>
      </c>
      <c r="C3168" s="204" t="s">
        <v>24</v>
      </c>
      <c r="D3168" s="204" t="s">
        <v>1131</v>
      </c>
      <c r="E3168" s="4" t="s">
        <v>396</v>
      </c>
      <c r="F3168" s="4" t="s">
        <v>28</v>
      </c>
      <c r="G3168" s="204" t="s">
        <v>2276</v>
      </c>
      <c r="H3168" s="204" t="s">
        <v>523</v>
      </c>
      <c r="I3168" s="204"/>
      <c r="J3168" s="204" t="s">
        <v>2276</v>
      </c>
      <c r="K3168" s="204" t="s">
        <v>2276</v>
      </c>
      <c r="L3168" s="204" t="s">
        <v>2276</v>
      </c>
      <c r="M3168" s="204" t="s">
        <v>2276</v>
      </c>
      <c r="N3168" s="204" t="s">
        <v>2276</v>
      </c>
      <c r="O3168" s="204" t="s">
        <v>2276</v>
      </c>
      <c r="P3168" s="204" t="s">
        <v>2276</v>
      </c>
      <c r="Q3168" s="204" t="s">
        <v>2276</v>
      </c>
      <c r="R3168" s="204" t="s">
        <v>2276</v>
      </c>
      <c r="S3168" s="204" t="s">
        <v>2276</v>
      </c>
      <c r="T3168" s="21">
        <v>160723</v>
      </c>
      <c r="U3168" s="204" t="s">
        <v>2276</v>
      </c>
      <c r="V3168" s="21">
        <v>56.9</v>
      </c>
      <c r="W3168" s="204" t="s">
        <v>2276</v>
      </c>
      <c r="X3168" s="21">
        <v>56.9</v>
      </c>
      <c r="Y3168" s="204" t="s">
        <v>2276</v>
      </c>
      <c r="Z3168" s="204" t="s">
        <v>38</v>
      </c>
      <c r="AA3168" s="204" t="s">
        <v>127</v>
      </c>
      <c r="AB3168" s="204" t="s">
        <v>64</v>
      </c>
      <c r="AC3168" s="204" t="s">
        <v>8469</v>
      </c>
      <c r="AD3168" s="204"/>
    </row>
    <row r="3169" spans="1:30" ht="36.5" customHeight="1">
      <c r="A3169" s="19" t="s">
        <v>8481</v>
      </c>
      <c r="B3169" s="19" t="s">
        <v>8509</v>
      </c>
      <c r="C3169" s="204" t="s">
        <v>24</v>
      </c>
      <c r="D3169" s="204" t="s">
        <v>1131</v>
      </c>
      <c r="E3169" s="4" t="s">
        <v>396</v>
      </c>
      <c r="F3169" s="4" t="s">
        <v>28</v>
      </c>
      <c r="G3169" s="204" t="s">
        <v>2276</v>
      </c>
      <c r="H3169" s="204" t="s">
        <v>523</v>
      </c>
      <c r="I3169" s="204"/>
      <c r="J3169" s="204" t="s">
        <v>2276</v>
      </c>
      <c r="K3169" s="204" t="s">
        <v>2276</v>
      </c>
      <c r="L3169" s="204" t="s">
        <v>2276</v>
      </c>
      <c r="M3169" s="204" t="s">
        <v>2276</v>
      </c>
      <c r="N3169" s="204" t="s">
        <v>2276</v>
      </c>
      <c r="O3169" s="204" t="s">
        <v>2276</v>
      </c>
      <c r="P3169" s="204" t="s">
        <v>2276</v>
      </c>
      <c r="Q3169" s="204" t="s">
        <v>2276</v>
      </c>
      <c r="R3169" s="204" t="s">
        <v>2276</v>
      </c>
      <c r="S3169" s="204" t="s">
        <v>2276</v>
      </c>
      <c r="T3169" s="21">
        <v>97806</v>
      </c>
      <c r="U3169" s="204" t="s">
        <v>2276</v>
      </c>
      <c r="V3169" s="21">
        <v>40.1</v>
      </c>
      <c r="W3169" s="204" t="s">
        <v>2276</v>
      </c>
      <c r="X3169" s="21">
        <v>40.1</v>
      </c>
      <c r="Y3169" s="204" t="s">
        <v>2276</v>
      </c>
      <c r="Z3169" s="204" t="s">
        <v>38</v>
      </c>
      <c r="AA3169" s="204" t="s">
        <v>127</v>
      </c>
      <c r="AB3169" s="204" t="s">
        <v>64</v>
      </c>
      <c r="AC3169" s="204" t="s">
        <v>8469</v>
      </c>
      <c r="AD3169" s="204"/>
    </row>
    <row r="3170" spans="1:30" ht="36.5" customHeight="1">
      <c r="A3170" s="19" t="s">
        <v>8483</v>
      </c>
      <c r="B3170" s="19" t="s">
        <v>8510</v>
      </c>
      <c r="C3170" s="204" t="s">
        <v>24</v>
      </c>
      <c r="D3170" s="204" t="s">
        <v>1131</v>
      </c>
      <c r="E3170" s="4" t="s">
        <v>396</v>
      </c>
      <c r="F3170" s="4" t="s">
        <v>28</v>
      </c>
      <c r="G3170" s="204" t="s">
        <v>2276</v>
      </c>
      <c r="H3170" s="204" t="s">
        <v>523</v>
      </c>
      <c r="I3170" s="204"/>
      <c r="J3170" s="204" t="s">
        <v>2276</v>
      </c>
      <c r="K3170" s="204" t="s">
        <v>2276</v>
      </c>
      <c r="L3170" s="204" t="s">
        <v>2276</v>
      </c>
      <c r="M3170" s="204" t="s">
        <v>2276</v>
      </c>
      <c r="N3170" s="204" t="s">
        <v>2276</v>
      </c>
      <c r="O3170" s="204" t="s">
        <v>2276</v>
      </c>
      <c r="P3170" s="204" t="s">
        <v>2276</v>
      </c>
      <c r="Q3170" s="204" t="s">
        <v>2276</v>
      </c>
      <c r="R3170" s="204" t="s">
        <v>2276</v>
      </c>
      <c r="S3170" s="204" t="s">
        <v>2276</v>
      </c>
      <c r="T3170" s="21">
        <v>211841</v>
      </c>
      <c r="U3170" s="204" t="s">
        <v>2276</v>
      </c>
      <c r="V3170" s="21">
        <v>51.1</v>
      </c>
      <c r="W3170" s="204" t="s">
        <v>2276</v>
      </c>
      <c r="X3170" s="21">
        <v>51.1</v>
      </c>
      <c r="Y3170" s="204" t="s">
        <v>2276</v>
      </c>
      <c r="Z3170" s="204" t="s">
        <v>38</v>
      </c>
      <c r="AA3170" s="204" t="s">
        <v>127</v>
      </c>
      <c r="AB3170" s="204" t="s">
        <v>64</v>
      </c>
      <c r="AC3170" s="204" t="s">
        <v>8469</v>
      </c>
      <c r="AD3170" s="204"/>
    </row>
    <row r="3171" spans="1:30" ht="36.5" customHeight="1">
      <c r="A3171" s="19" t="s">
        <v>8484</v>
      </c>
      <c r="B3171" s="19" t="s">
        <v>8511</v>
      </c>
      <c r="C3171" s="204" t="s">
        <v>24</v>
      </c>
      <c r="D3171" s="204" t="s">
        <v>1131</v>
      </c>
      <c r="E3171" s="4" t="s">
        <v>396</v>
      </c>
      <c r="F3171" s="4" t="s">
        <v>28</v>
      </c>
      <c r="G3171" s="204" t="s">
        <v>2276</v>
      </c>
      <c r="H3171" s="204" t="s">
        <v>523</v>
      </c>
      <c r="I3171" s="204"/>
      <c r="J3171" s="204" t="s">
        <v>2276</v>
      </c>
      <c r="K3171" s="204" t="s">
        <v>2276</v>
      </c>
      <c r="L3171" s="204" t="s">
        <v>2276</v>
      </c>
      <c r="M3171" s="204" t="s">
        <v>2276</v>
      </c>
      <c r="N3171" s="204" t="s">
        <v>2276</v>
      </c>
      <c r="O3171" s="204" t="s">
        <v>2276</v>
      </c>
      <c r="P3171" s="204" t="s">
        <v>2276</v>
      </c>
      <c r="Q3171" s="204" t="s">
        <v>2276</v>
      </c>
      <c r="R3171" s="204" t="s">
        <v>2276</v>
      </c>
      <c r="S3171" s="204" t="s">
        <v>2276</v>
      </c>
      <c r="T3171" s="21">
        <v>262421</v>
      </c>
      <c r="U3171" s="204" t="s">
        <v>2276</v>
      </c>
      <c r="V3171" s="21">
        <v>50.1</v>
      </c>
      <c r="W3171" s="204" t="s">
        <v>2276</v>
      </c>
      <c r="X3171" s="21">
        <v>50.1</v>
      </c>
      <c r="Y3171" s="204" t="s">
        <v>2276</v>
      </c>
      <c r="Z3171" s="204" t="s">
        <v>38</v>
      </c>
      <c r="AA3171" s="204" t="s">
        <v>127</v>
      </c>
      <c r="AB3171" s="204" t="s">
        <v>64</v>
      </c>
      <c r="AC3171" s="204" t="s">
        <v>8469</v>
      </c>
      <c r="AD3171" s="204"/>
    </row>
    <row r="3172" spans="1:30" ht="36.5" customHeight="1">
      <c r="A3172" s="19" t="s">
        <v>8487</v>
      </c>
      <c r="B3172" s="19" t="s">
        <v>8512</v>
      </c>
      <c r="C3172" s="204" t="s">
        <v>24</v>
      </c>
      <c r="D3172" s="204" t="s">
        <v>1131</v>
      </c>
      <c r="E3172" s="4" t="s">
        <v>396</v>
      </c>
      <c r="F3172" s="4" t="s">
        <v>28</v>
      </c>
      <c r="G3172" s="204" t="s">
        <v>2276</v>
      </c>
      <c r="H3172" s="204" t="s">
        <v>523</v>
      </c>
      <c r="I3172" s="204"/>
      <c r="J3172" s="204" t="s">
        <v>2276</v>
      </c>
      <c r="K3172" s="204" t="s">
        <v>2276</v>
      </c>
      <c r="L3172" s="204" t="s">
        <v>2276</v>
      </c>
      <c r="M3172" s="204" t="s">
        <v>2276</v>
      </c>
      <c r="N3172" s="204" t="s">
        <v>2276</v>
      </c>
      <c r="O3172" s="204" t="s">
        <v>2276</v>
      </c>
      <c r="P3172" s="204" t="s">
        <v>2276</v>
      </c>
      <c r="Q3172" s="204" t="s">
        <v>2276</v>
      </c>
      <c r="R3172" s="204" t="s">
        <v>2276</v>
      </c>
      <c r="S3172" s="204" t="s">
        <v>2276</v>
      </c>
      <c r="T3172" s="21">
        <v>97408</v>
      </c>
      <c r="U3172" s="204" t="s">
        <v>2276</v>
      </c>
      <c r="V3172" s="21">
        <v>51.6</v>
      </c>
      <c r="W3172" s="204" t="s">
        <v>2276</v>
      </c>
      <c r="X3172" s="21">
        <v>51.6</v>
      </c>
      <c r="Y3172" s="204" t="s">
        <v>2276</v>
      </c>
      <c r="Z3172" s="204" t="s">
        <v>38</v>
      </c>
      <c r="AA3172" s="204" t="s">
        <v>127</v>
      </c>
      <c r="AB3172" s="204" t="s">
        <v>64</v>
      </c>
      <c r="AC3172" s="204" t="s">
        <v>8469</v>
      </c>
      <c r="AD3172" s="204"/>
    </row>
    <row r="3173" spans="1:30" ht="50.5" customHeight="1">
      <c r="A3173" s="19" t="s">
        <v>8472</v>
      </c>
      <c r="B3173" s="19" t="s">
        <v>8513</v>
      </c>
      <c r="C3173" s="204" t="s">
        <v>24</v>
      </c>
      <c r="D3173" s="204" t="s">
        <v>1131</v>
      </c>
      <c r="E3173" s="4" t="s">
        <v>84</v>
      </c>
      <c r="F3173" s="4" t="s">
        <v>28</v>
      </c>
      <c r="G3173" s="204" t="s">
        <v>2276</v>
      </c>
      <c r="H3173" s="204" t="s">
        <v>524</v>
      </c>
      <c r="I3173" s="204"/>
      <c r="J3173" s="21">
        <v>0</v>
      </c>
      <c r="K3173" s="21">
        <v>0</v>
      </c>
      <c r="L3173" s="21">
        <v>0</v>
      </c>
      <c r="M3173" s="21">
        <v>0</v>
      </c>
      <c r="N3173" s="21">
        <v>0</v>
      </c>
      <c r="O3173" s="21">
        <v>0</v>
      </c>
      <c r="P3173" s="21">
        <v>0</v>
      </c>
      <c r="Q3173" s="21">
        <v>0</v>
      </c>
      <c r="R3173" s="21">
        <v>0</v>
      </c>
      <c r="S3173" s="21">
        <v>0</v>
      </c>
      <c r="T3173" s="21">
        <v>0</v>
      </c>
      <c r="U3173" s="21">
        <v>0</v>
      </c>
      <c r="V3173" s="21">
        <v>0</v>
      </c>
      <c r="W3173" s="21">
        <v>0</v>
      </c>
      <c r="X3173" s="21">
        <v>0</v>
      </c>
      <c r="Y3173" s="204" t="s">
        <v>2276</v>
      </c>
      <c r="Z3173" s="204" t="s">
        <v>2276</v>
      </c>
      <c r="AA3173" s="204" t="s">
        <v>2276</v>
      </c>
      <c r="AB3173" s="204" t="s">
        <v>2276</v>
      </c>
      <c r="AC3173" s="4" t="s">
        <v>8524</v>
      </c>
      <c r="AD3173" s="204"/>
    </row>
    <row r="3174" spans="1:30" ht="50.5" customHeight="1">
      <c r="A3174" s="19" t="s">
        <v>8475</v>
      </c>
      <c r="B3174" s="19" t="s">
        <v>8514</v>
      </c>
      <c r="C3174" s="204" t="s">
        <v>24</v>
      </c>
      <c r="D3174" s="204" t="s">
        <v>1131</v>
      </c>
      <c r="E3174" s="4" t="s">
        <v>84</v>
      </c>
      <c r="F3174" s="4" t="s">
        <v>28</v>
      </c>
      <c r="G3174" s="204" t="s">
        <v>2276</v>
      </c>
      <c r="H3174" s="204" t="s">
        <v>524</v>
      </c>
      <c r="I3174" s="204"/>
      <c r="J3174" s="21">
        <v>0</v>
      </c>
      <c r="K3174" s="21">
        <v>0</v>
      </c>
      <c r="L3174" s="21">
        <v>0</v>
      </c>
      <c r="M3174" s="21">
        <v>0</v>
      </c>
      <c r="N3174" s="21">
        <v>0</v>
      </c>
      <c r="O3174" s="21">
        <v>0</v>
      </c>
      <c r="P3174" s="21">
        <v>0</v>
      </c>
      <c r="Q3174" s="21">
        <v>0</v>
      </c>
      <c r="R3174" s="21">
        <v>0</v>
      </c>
      <c r="S3174" s="21">
        <v>0</v>
      </c>
      <c r="T3174" s="21">
        <v>0</v>
      </c>
      <c r="U3174" s="21">
        <v>0</v>
      </c>
      <c r="V3174" s="21">
        <v>0</v>
      </c>
      <c r="W3174" s="21">
        <v>0</v>
      </c>
      <c r="X3174" s="21">
        <v>0</v>
      </c>
      <c r="Y3174" s="204" t="s">
        <v>2276</v>
      </c>
      <c r="Z3174" s="204" t="s">
        <v>2276</v>
      </c>
      <c r="AA3174" s="204" t="s">
        <v>2276</v>
      </c>
      <c r="AB3174" s="204" t="s">
        <v>2276</v>
      </c>
      <c r="AC3174" s="4" t="s">
        <v>8524</v>
      </c>
      <c r="AD3174" s="204"/>
    </row>
    <row r="3175" spans="1:30" ht="50.5" customHeight="1">
      <c r="A3175" s="19" t="s">
        <v>8476</v>
      </c>
      <c r="B3175" s="19" t="s">
        <v>8515</v>
      </c>
      <c r="C3175" s="204" t="s">
        <v>24</v>
      </c>
      <c r="D3175" s="204" t="s">
        <v>1131</v>
      </c>
      <c r="E3175" s="4" t="s">
        <v>84</v>
      </c>
      <c r="F3175" s="4" t="s">
        <v>28</v>
      </c>
      <c r="G3175" s="204" t="s">
        <v>2276</v>
      </c>
      <c r="H3175" s="204" t="s">
        <v>524</v>
      </c>
      <c r="I3175" s="204"/>
      <c r="J3175" s="21">
        <v>0</v>
      </c>
      <c r="K3175" s="21">
        <v>0</v>
      </c>
      <c r="L3175" s="21">
        <v>0</v>
      </c>
      <c r="M3175" s="21">
        <v>0</v>
      </c>
      <c r="N3175" s="21">
        <v>0</v>
      </c>
      <c r="O3175" s="21">
        <v>0</v>
      </c>
      <c r="P3175" s="21">
        <v>0</v>
      </c>
      <c r="Q3175" s="21">
        <v>0</v>
      </c>
      <c r="R3175" s="21">
        <v>0</v>
      </c>
      <c r="S3175" s="21">
        <v>0</v>
      </c>
      <c r="T3175" s="21">
        <v>0</v>
      </c>
      <c r="U3175" s="21">
        <v>0</v>
      </c>
      <c r="V3175" s="21">
        <v>0</v>
      </c>
      <c r="W3175" s="21">
        <v>0</v>
      </c>
      <c r="X3175" s="21">
        <v>0</v>
      </c>
      <c r="Y3175" s="204" t="s">
        <v>2276</v>
      </c>
      <c r="Z3175" s="204" t="s">
        <v>2276</v>
      </c>
      <c r="AA3175" s="204" t="s">
        <v>2276</v>
      </c>
      <c r="AB3175" s="204" t="s">
        <v>2276</v>
      </c>
      <c r="AC3175" s="4" t="s">
        <v>8524</v>
      </c>
      <c r="AD3175" s="204"/>
    </row>
    <row r="3176" spans="1:30" ht="50.5" customHeight="1">
      <c r="A3176" s="19" t="s">
        <v>8477</v>
      </c>
      <c r="B3176" s="19" t="s">
        <v>8516</v>
      </c>
      <c r="C3176" s="204" t="s">
        <v>24</v>
      </c>
      <c r="D3176" s="204" t="s">
        <v>1131</v>
      </c>
      <c r="E3176" s="4" t="s">
        <v>84</v>
      </c>
      <c r="F3176" s="4" t="s">
        <v>28</v>
      </c>
      <c r="G3176" s="204" t="s">
        <v>2276</v>
      </c>
      <c r="H3176" s="204" t="s">
        <v>524</v>
      </c>
      <c r="I3176" s="204"/>
      <c r="J3176" s="21">
        <v>0</v>
      </c>
      <c r="K3176" s="21">
        <v>0</v>
      </c>
      <c r="L3176" s="21">
        <v>0</v>
      </c>
      <c r="M3176" s="21">
        <v>0</v>
      </c>
      <c r="N3176" s="21">
        <v>0</v>
      </c>
      <c r="O3176" s="21">
        <v>0</v>
      </c>
      <c r="P3176" s="21">
        <v>0</v>
      </c>
      <c r="Q3176" s="21">
        <v>0</v>
      </c>
      <c r="R3176" s="21">
        <v>0</v>
      </c>
      <c r="S3176" s="21">
        <v>0</v>
      </c>
      <c r="T3176" s="21">
        <v>0</v>
      </c>
      <c r="U3176" s="21">
        <v>0</v>
      </c>
      <c r="V3176" s="21">
        <v>0</v>
      </c>
      <c r="W3176" s="21">
        <v>0</v>
      </c>
      <c r="X3176" s="21">
        <v>0</v>
      </c>
      <c r="Y3176" s="204" t="s">
        <v>2276</v>
      </c>
      <c r="Z3176" s="204" t="s">
        <v>2276</v>
      </c>
      <c r="AA3176" s="204" t="s">
        <v>2276</v>
      </c>
      <c r="AB3176" s="204" t="s">
        <v>2276</v>
      </c>
      <c r="AC3176" s="4" t="s">
        <v>8524</v>
      </c>
      <c r="AD3176" s="204"/>
    </row>
    <row r="3177" spans="1:30" ht="50.5" customHeight="1">
      <c r="A3177" s="19" t="s">
        <v>8478</v>
      </c>
      <c r="B3177" s="19" t="s">
        <v>8517</v>
      </c>
      <c r="C3177" s="204" t="s">
        <v>24</v>
      </c>
      <c r="D3177" s="204" t="s">
        <v>1131</v>
      </c>
      <c r="E3177" s="4" t="s">
        <v>84</v>
      </c>
      <c r="F3177" s="4" t="s">
        <v>28</v>
      </c>
      <c r="G3177" s="204" t="s">
        <v>2276</v>
      </c>
      <c r="H3177" s="204" t="s">
        <v>524</v>
      </c>
      <c r="I3177" s="204"/>
      <c r="J3177" s="21">
        <v>0</v>
      </c>
      <c r="K3177" s="21">
        <v>0</v>
      </c>
      <c r="L3177" s="21">
        <v>0</v>
      </c>
      <c r="M3177" s="21">
        <v>0</v>
      </c>
      <c r="N3177" s="21">
        <v>0</v>
      </c>
      <c r="O3177" s="21">
        <v>0</v>
      </c>
      <c r="P3177" s="21">
        <v>0</v>
      </c>
      <c r="Q3177" s="21">
        <v>0</v>
      </c>
      <c r="R3177" s="21">
        <v>0</v>
      </c>
      <c r="S3177" s="21">
        <v>0</v>
      </c>
      <c r="T3177" s="21">
        <v>0</v>
      </c>
      <c r="U3177" s="21">
        <v>0</v>
      </c>
      <c r="V3177" s="21">
        <v>0</v>
      </c>
      <c r="W3177" s="21">
        <v>0</v>
      </c>
      <c r="X3177" s="21">
        <v>0</v>
      </c>
      <c r="Y3177" s="204" t="s">
        <v>2276</v>
      </c>
      <c r="Z3177" s="204" t="s">
        <v>2276</v>
      </c>
      <c r="AA3177" s="204" t="s">
        <v>2276</v>
      </c>
      <c r="AB3177" s="204" t="s">
        <v>2276</v>
      </c>
      <c r="AC3177" s="4" t="s">
        <v>8524</v>
      </c>
      <c r="AD3177" s="204"/>
    </row>
    <row r="3178" spans="1:30" ht="50.5" customHeight="1">
      <c r="A3178" s="19" t="s">
        <v>8479</v>
      </c>
      <c r="B3178" s="19" t="s">
        <v>8518</v>
      </c>
      <c r="C3178" s="204" t="s">
        <v>24</v>
      </c>
      <c r="D3178" s="204" t="s">
        <v>1131</v>
      </c>
      <c r="E3178" s="4" t="s">
        <v>84</v>
      </c>
      <c r="F3178" s="4" t="s">
        <v>28</v>
      </c>
      <c r="G3178" s="204" t="s">
        <v>2276</v>
      </c>
      <c r="H3178" s="204" t="s">
        <v>524</v>
      </c>
      <c r="I3178" s="204"/>
      <c r="J3178" s="21">
        <v>0</v>
      </c>
      <c r="K3178" s="21">
        <v>0</v>
      </c>
      <c r="L3178" s="21">
        <v>0</v>
      </c>
      <c r="M3178" s="21">
        <v>0</v>
      </c>
      <c r="N3178" s="21">
        <v>0</v>
      </c>
      <c r="O3178" s="21">
        <v>0</v>
      </c>
      <c r="P3178" s="21">
        <v>0</v>
      </c>
      <c r="Q3178" s="21">
        <v>0</v>
      </c>
      <c r="R3178" s="21">
        <v>0</v>
      </c>
      <c r="S3178" s="21">
        <v>0</v>
      </c>
      <c r="T3178" s="21">
        <v>0</v>
      </c>
      <c r="U3178" s="21">
        <v>0</v>
      </c>
      <c r="V3178" s="21">
        <v>0</v>
      </c>
      <c r="W3178" s="21">
        <v>0</v>
      </c>
      <c r="X3178" s="21">
        <v>0</v>
      </c>
      <c r="Y3178" s="204" t="s">
        <v>2276</v>
      </c>
      <c r="Z3178" s="204" t="s">
        <v>2276</v>
      </c>
      <c r="AA3178" s="204" t="s">
        <v>2276</v>
      </c>
      <c r="AB3178" s="204" t="s">
        <v>2276</v>
      </c>
      <c r="AC3178" s="4" t="s">
        <v>8524</v>
      </c>
      <c r="AD3178" s="204"/>
    </row>
    <row r="3179" spans="1:30" ht="50.5" customHeight="1">
      <c r="A3179" s="19" t="s">
        <v>8480</v>
      </c>
      <c r="B3179" s="19" t="s">
        <v>8519</v>
      </c>
      <c r="C3179" s="204" t="s">
        <v>24</v>
      </c>
      <c r="D3179" s="204" t="s">
        <v>1131</v>
      </c>
      <c r="E3179" s="4" t="s">
        <v>84</v>
      </c>
      <c r="F3179" s="4" t="s">
        <v>28</v>
      </c>
      <c r="G3179" s="204" t="s">
        <v>2276</v>
      </c>
      <c r="H3179" s="204" t="s">
        <v>524</v>
      </c>
      <c r="I3179" s="204"/>
      <c r="J3179" s="21">
        <v>0</v>
      </c>
      <c r="K3179" s="21">
        <v>0</v>
      </c>
      <c r="L3179" s="21">
        <v>0</v>
      </c>
      <c r="M3179" s="21">
        <v>0</v>
      </c>
      <c r="N3179" s="21">
        <v>0</v>
      </c>
      <c r="O3179" s="21">
        <v>0</v>
      </c>
      <c r="P3179" s="21">
        <v>0</v>
      </c>
      <c r="Q3179" s="21">
        <v>0</v>
      </c>
      <c r="R3179" s="21">
        <v>0</v>
      </c>
      <c r="S3179" s="21">
        <v>0</v>
      </c>
      <c r="T3179" s="21">
        <v>0</v>
      </c>
      <c r="U3179" s="21">
        <v>0</v>
      </c>
      <c r="V3179" s="21">
        <v>0</v>
      </c>
      <c r="W3179" s="21">
        <v>0</v>
      </c>
      <c r="X3179" s="21">
        <v>0</v>
      </c>
      <c r="Y3179" s="204" t="s">
        <v>2276</v>
      </c>
      <c r="Z3179" s="204" t="s">
        <v>2276</v>
      </c>
      <c r="AA3179" s="204" t="s">
        <v>2276</v>
      </c>
      <c r="AB3179" s="204" t="s">
        <v>2276</v>
      </c>
      <c r="AC3179" s="4" t="s">
        <v>8524</v>
      </c>
      <c r="AD3179" s="204"/>
    </row>
    <row r="3180" spans="1:30" ht="50.5" customHeight="1">
      <c r="A3180" s="19" t="s">
        <v>8481</v>
      </c>
      <c r="B3180" s="19" t="s">
        <v>8520</v>
      </c>
      <c r="C3180" s="204" t="s">
        <v>24</v>
      </c>
      <c r="D3180" s="204" t="s">
        <v>1131</v>
      </c>
      <c r="E3180" s="4" t="s">
        <v>84</v>
      </c>
      <c r="F3180" s="4" t="s">
        <v>28</v>
      </c>
      <c r="G3180" s="204" t="s">
        <v>2276</v>
      </c>
      <c r="H3180" s="204" t="s">
        <v>524</v>
      </c>
      <c r="I3180" s="204"/>
      <c r="J3180" s="21">
        <v>0</v>
      </c>
      <c r="K3180" s="21">
        <v>0</v>
      </c>
      <c r="L3180" s="21">
        <v>0</v>
      </c>
      <c r="M3180" s="21">
        <v>0</v>
      </c>
      <c r="N3180" s="21">
        <v>0</v>
      </c>
      <c r="O3180" s="21">
        <v>0</v>
      </c>
      <c r="P3180" s="21">
        <v>0</v>
      </c>
      <c r="Q3180" s="21">
        <v>0</v>
      </c>
      <c r="R3180" s="21">
        <v>0</v>
      </c>
      <c r="S3180" s="21">
        <v>0</v>
      </c>
      <c r="T3180" s="21">
        <v>0</v>
      </c>
      <c r="U3180" s="21">
        <v>0</v>
      </c>
      <c r="V3180" s="21">
        <v>0</v>
      </c>
      <c r="W3180" s="21">
        <v>0</v>
      </c>
      <c r="X3180" s="21">
        <v>0</v>
      </c>
      <c r="Y3180" s="204" t="s">
        <v>2276</v>
      </c>
      <c r="Z3180" s="204" t="s">
        <v>2276</v>
      </c>
      <c r="AA3180" s="204" t="s">
        <v>2276</v>
      </c>
      <c r="AB3180" s="204" t="s">
        <v>2276</v>
      </c>
      <c r="AC3180" s="4" t="s">
        <v>8524</v>
      </c>
      <c r="AD3180" s="204"/>
    </row>
    <row r="3181" spans="1:30" ht="50.5" customHeight="1">
      <c r="A3181" s="19" t="s">
        <v>8483</v>
      </c>
      <c r="B3181" s="19" t="s">
        <v>8521</v>
      </c>
      <c r="C3181" s="204" t="s">
        <v>24</v>
      </c>
      <c r="D3181" s="204" t="s">
        <v>1131</v>
      </c>
      <c r="E3181" s="4" t="s">
        <v>84</v>
      </c>
      <c r="F3181" s="4" t="s">
        <v>28</v>
      </c>
      <c r="G3181" s="204" t="s">
        <v>2276</v>
      </c>
      <c r="H3181" s="204" t="s">
        <v>524</v>
      </c>
      <c r="I3181" s="204"/>
      <c r="J3181" s="21">
        <v>0</v>
      </c>
      <c r="K3181" s="21">
        <v>0</v>
      </c>
      <c r="L3181" s="21">
        <v>0</v>
      </c>
      <c r="M3181" s="21">
        <v>0</v>
      </c>
      <c r="N3181" s="21">
        <v>0</v>
      </c>
      <c r="O3181" s="21">
        <v>0</v>
      </c>
      <c r="P3181" s="21">
        <v>0</v>
      </c>
      <c r="Q3181" s="21">
        <v>0</v>
      </c>
      <c r="R3181" s="21">
        <v>0</v>
      </c>
      <c r="S3181" s="21">
        <v>0</v>
      </c>
      <c r="T3181" s="21">
        <v>0</v>
      </c>
      <c r="U3181" s="21">
        <v>0</v>
      </c>
      <c r="V3181" s="21">
        <v>0</v>
      </c>
      <c r="W3181" s="21">
        <v>0</v>
      </c>
      <c r="X3181" s="21">
        <v>0</v>
      </c>
      <c r="Y3181" s="204" t="s">
        <v>2276</v>
      </c>
      <c r="Z3181" s="204" t="s">
        <v>2276</v>
      </c>
      <c r="AA3181" s="204" t="s">
        <v>2276</v>
      </c>
      <c r="AB3181" s="204" t="s">
        <v>2276</v>
      </c>
      <c r="AC3181" s="4" t="s">
        <v>8524</v>
      </c>
      <c r="AD3181" s="204"/>
    </row>
    <row r="3182" spans="1:30" ht="50.5" customHeight="1">
      <c r="A3182" s="19" t="s">
        <v>8484</v>
      </c>
      <c r="B3182" s="19" t="s">
        <v>8522</v>
      </c>
      <c r="C3182" s="204" t="s">
        <v>24</v>
      </c>
      <c r="D3182" s="204" t="s">
        <v>1131</v>
      </c>
      <c r="E3182" s="4" t="s">
        <v>84</v>
      </c>
      <c r="F3182" s="4" t="s">
        <v>28</v>
      </c>
      <c r="G3182" s="204" t="s">
        <v>2276</v>
      </c>
      <c r="H3182" s="204" t="s">
        <v>524</v>
      </c>
      <c r="I3182" s="204"/>
      <c r="J3182" s="21">
        <v>0</v>
      </c>
      <c r="K3182" s="21">
        <v>0</v>
      </c>
      <c r="L3182" s="21">
        <v>0</v>
      </c>
      <c r="M3182" s="21">
        <v>0</v>
      </c>
      <c r="N3182" s="21">
        <v>0</v>
      </c>
      <c r="O3182" s="21">
        <v>0</v>
      </c>
      <c r="P3182" s="21">
        <v>0</v>
      </c>
      <c r="Q3182" s="21">
        <v>0</v>
      </c>
      <c r="R3182" s="21">
        <v>0</v>
      </c>
      <c r="S3182" s="21">
        <v>0</v>
      </c>
      <c r="T3182" s="21">
        <v>0</v>
      </c>
      <c r="U3182" s="21">
        <v>0</v>
      </c>
      <c r="V3182" s="21">
        <v>0</v>
      </c>
      <c r="W3182" s="21">
        <v>0</v>
      </c>
      <c r="X3182" s="21">
        <v>0</v>
      </c>
      <c r="Y3182" s="204" t="s">
        <v>2276</v>
      </c>
      <c r="Z3182" s="204" t="s">
        <v>2276</v>
      </c>
      <c r="AA3182" s="204" t="s">
        <v>2276</v>
      </c>
      <c r="AB3182" s="204" t="s">
        <v>2276</v>
      </c>
      <c r="AC3182" s="4" t="s">
        <v>8524</v>
      </c>
      <c r="AD3182" s="204"/>
    </row>
    <row r="3183" spans="1:30" ht="50.5" customHeight="1">
      <c r="A3183" s="19" t="s">
        <v>8487</v>
      </c>
      <c r="B3183" s="19" t="s">
        <v>8523</v>
      </c>
      <c r="C3183" s="204" t="s">
        <v>24</v>
      </c>
      <c r="D3183" s="204" t="s">
        <v>1131</v>
      </c>
      <c r="E3183" s="4" t="s">
        <v>84</v>
      </c>
      <c r="F3183" s="4" t="s">
        <v>28</v>
      </c>
      <c r="G3183" s="204" t="s">
        <v>2276</v>
      </c>
      <c r="H3183" s="204" t="s">
        <v>524</v>
      </c>
      <c r="I3183" s="204"/>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04" t="s">
        <v>2276</v>
      </c>
      <c r="Z3183" s="204" t="s">
        <v>2276</v>
      </c>
      <c r="AA3183" s="204" t="s">
        <v>2276</v>
      </c>
      <c r="AB3183" s="204" t="s">
        <v>2276</v>
      </c>
      <c r="AC3183" s="4" t="s">
        <v>8524</v>
      </c>
      <c r="AD3183" s="204"/>
    </row>
    <row r="3184" spans="1:30" ht="36.5" customHeight="1">
      <c r="A3184" s="19" t="s">
        <v>8487</v>
      </c>
      <c r="B3184" s="19" t="s">
        <v>8512</v>
      </c>
      <c r="C3184" s="204" t="s">
        <v>24</v>
      </c>
      <c r="D3184" s="204" t="s">
        <v>1131</v>
      </c>
      <c r="E3184" s="4" t="s">
        <v>396</v>
      </c>
      <c r="F3184" s="4" t="s">
        <v>28</v>
      </c>
      <c r="G3184" s="204" t="s">
        <v>2276</v>
      </c>
      <c r="H3184" s="204" t="s">
        <v>523</v>
      </c>
      <c r="I3184" s="204"/>
      <c r="J3184" s="204" t="s">
        <v>2276</v>
      </c>
      <c r="K3184" s="204" t="s">
        <v>2276</v>
      </c>
      <c r="L3184" s="204" t="s">
        <v>2276</v>
      </c>
      <c r="M3184" s="204" t="s">
        <v>2276</v>
      </c>
      <c r="N3184" s="204" t="s">
        <v>2276</v>
      </c>
      <c r="O3184" s="204" t="s">
        <v>2276</v>
      </c>
      <c r="P3184" s="204" t="s">
        <v>2276</v>
      </c>
      <c r="Q3184" s="204" t="s">
        <v>2276</v>
      </c>
      <c r="R3184" s="204" t="s">
        <v>2276</v>
      </c>
      <c r="S3184" s="204" t="s">
        <v>2276</v>
      </c>
      <c r="T3184" s="21">
        <v>2150000</v>
      </c>
      <c r="U3184" s="204" t="s">
        <v>2276</v>
      </c>
      <c r="V3184" s="21">
        <f>100*T3184/3240000</f>
        <v>66.358024691358025</v>
      </c>
      <c r="W3184" s="204" t="s">
        <v>2276</v>
      </c>
      <c r="X3184" s="21">
        <f>V3184</f>
        <v>66.358024691358025</v>
      </c>
      <c r="Y3184" s="204" t="s">
        <v>2276</v>
      </c>
      <c r="Z3184" s="204" t="s">
        <v>38</v>
      </c>
      <c r="AA3184" s="204" t="s">
        <v>127</v>
      </c>
      <c r="AB3184" s="204" t="s">
        <v>64</v>
      </c>
      <c r="AC3184" s="204" t="s">
        <v>8469</v>
      </c>
      <c r="AD3184" s="204"/>
    </row>
    <row r="3185" spans="1:30" ht="51.5" customHeight="1">
      <c r="A3185" s="19" t="s">
        <v>8487</v>
      </c>
      <c r="B3185" s="19" t="s">
        <v>8523</v>
      </c>
      <c r="C3185" s="204" t="s">
        <v>24</v>
      </c>
      <c r="D3185" s="204" t="s">
        <v>1131</v>
      </c>
      <c r="E3185" s="4" t="s">
        <v>84</v>
      </c>
      <c r="F3185" s="4" t="s">
        <v>28</v>
      </c>
      <c r="G3185" s="204" t="s">
        <v>2276</v>
      </c>
      <c r="H3185" s="204" t="s">
        <v>524</v>
      </c>
      <c r="I3185" s="204"/>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04" t="s">
        <v>2276</v>
      </c>
      <c r="Z3185" s="204" t="s">
        <v>2276</v>
      </c>
      <c r="AA3185" s="204" t="s">
        <v>2276</v>
      </c>
      <c r="AB3185" s="204" t="s">
        <v>2276</v>
      </c>
      <c r="AC3185" s="4" t="s">
        <v>8524</v>
      </c>
      <c r="AD3185" s="204"/>
    </row>
    <row r="3186" spans="1:30" ht="30" customHeight="1">
      <c r="A3186" s="19" t="s">
        <v>8527</v>
      </c>
      <c r="B3186" s="19" t="s">
        <v>8529</v>
      </c>
      <c r="C3186" s="204" t="s">
        <v>24</v>
      </c>
      <c r="D3186" s="204" t="s">
        <v>2659</v>
      </c>
      <c r="E3186" s="4" t="s">
        <v>397</v>
      </c>
      <c r="F3186" s="4" t="s">
        <v>28</v>
      </c>
      <c r="G3186" s="204" t="s">
        <v>2276</v>
      </c>
      <c r="H3186" s="204" t="s">
        <v>523</v>
      </c>
      <c r="I3186" s="204"/>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04" t="s">
        <v>2276</v>
      </c>
      <c r="X3186" s="204" t="s">
        <v>2276</v>
      </c>
      <c r="Y3186" s="204" t="s">
        <v>2276</v>
      </c>
      <c r="Z3186" s="204" t="s">
        <v>2276</v>
      </c>
      <c r="AA3186" s="204" t="s">
        <v>2276</v>
      </c>
      <c r="AB3186" s="204" t="s">
        <v>2276</v>
      </c>
      <c r="AC3186" s="204"/>
      <c r="AD3186" s="204"/>
    </row>
    <row r="3187" spans="1:30" ht="32.5" customHeight="1">
      <c r="A3187" s="19" t="s">
        <v>8527</v>
      </c>
      <c r="B3187" s="19" t="s">
        <v>8530</v>
      </c>
      <c r="C3187" s="204" t="s">
        <v>24</v>
      </c>
      <c r="D3187" s="204" t="s">
        <v>2659</v>
      </c>
      <c r="E3187" s="4" t="s">
        <v>396</v>
      </c>
      <c r="F3187" s="4" t="s">
        <v>28</v>
      </c>
      <c r="G3187" s="204" t="s">
        <v>2276</v>
      </c>
      <c r="H3187" s="204" t="s">
        <v>523</v>
      </c>
      <c r="I3187" s="204"/>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04" t="s">
        <v>2276</v>
      </c>
      <c r="X3187" s="204" t="s">
        <v>2276</v>
      </c>
      <c r="Y3187" s="204" t="s">
        <v>2276</v>
      </c>
      <c r="Z3187" s="204" t="s">
        <v>2276</v>
      </c>
      <c r="AA3187" s="204" t="s">
        <v>2276</v>
      </c>
      <c r="AB3187" s="204" t="s">
        <v>2276</v>
      </c>
      <c r="AC3187" s="204"/>
      <c r="AD3187" s="204"/>
    </row>
    <row r="3188" spans="1:30" ht="42.5" customHeight="1">
      <c r="A3188" s="19" t="s">
        <v>8537</v>
      </c>
      <c r="B3188" s="19" t="s">
        <v>8538</v>
      </c>
      <c r="C3188" s="204" t="s">
        <v>24</v>
      </c>
      <c r="D3188" s="204" t="s">
        <v>2659</v>
      </c>
      <c r="E3188" s="4" t="s">
        <v>396</v>
      </c>
      <c r="F3188" s="4" t="s">
        <v>28</v>
      </c>
      <c r="G3188" s="204" t="s">
        <v>2276</v>
      </c>
      <c r="H3188" s="204" t="s">
        <v>524</v>
      </c>
      <c r="I3188" s="204"/>
      <c r="J3188" s="21">
        <v>0</v>
      </c>
      <c r="K3188" s="21">
        <v>0</v>
      </c>
      <c r="L3188" s="21">
        <v>0</v>
      </c>
      <c r="M3188" s="21">
        <v>0</v>
      </c>
      <c r="N3188" s="21">
        <v>0</v>
      </c>
      <c r="O3188" s="21">
        <v>0</v>
      </c>
      <c r="P3188" s="21">
        <v>0</v>
      </c>
      <c r="Q3188" s="21">
        <v>0</v>
      </c>
      <c r="R3188" s="21">
        <v>0</v>
      </c>
      <c r="S3188" s="21">
        <v>0</v>
      </c>
      <c r="T3188" s="21">
        <v>0</v>
      </c>
      <c r="U3188" s="21">
        <v>0</v>
      </c>
      <c r="V3188" s="21">
        <v>0</v>
      </c>
      <c r="W3188" s="21">
        <v>0</v>
      </c>
      <c r="X3188" s="21">
        <v>0</v>
      </c>
      <c r="Y3188" s="204" t="s">
        <v>2276</v>
      </c>
      <c r="Z3188" s="204" t="s">
        <v>2276</v>
      </c>
      <c r="AA3188" s="204" t="s">
        <v>2276</v>
      </c>
      <c r="AB3188" s="204" t="s">
        <v>2276</v>
      </c>
      <c r="AC3188" s="204"/>
      <c r="AD3188" s="204"/>
    </row>
    <row r="3189" spans="1:30" ht="37" customHeight="1">
      <c r="A3189" s="19" t="s">
        <v>8537</v>
      </c>
      <c r="B3189" s="55" t="s">
        <v>8539</v>
      </c>
      <c r="C3189" s="38" t="s">
        <v>24</v>
      </c>
      <c r="D3189" s="38" t="s">
        <v>2659</v>
      </c>
      <c r="E3189" s="168" t="s">
        <v>84</v>
      </c>
      <c r="F3189" s="4" t="s">
        <v>28</v>
      </c>
      <c r="G3189" s="204" t="s">
        <v>2276</v>
      </c>
      <c r="H3189" s="204" t="s">
        <v>524</v>
      </c>
      <c r="I3189" s="204"/>
      <c r="J3189" s="21">
        <v>0</v>
      </c>
      <c r="K3189" s="21">
        <v>0</v>
      </c>
      <c r="L3189" s="21">
        <v>0</v>
      </c>
      <c r="M3189" s="21">
        <v>0</v>
      </c>
      <c r="N3189" s="21">
        <v>0</v>
      </c>
      <c r="O3189" s="21">
        <v>0</v>
      </c>
      <c r="P3189" s="21">
        <v>0</v>
      </c>
      <c r="Q3189" s="21">
        <v>0</v>
      </c>
      <c r="R3189" s="21">
        <v>0</v>
      </c>
      <c r="S3189" s="21">
        <v>0</v>
      </c>
      <c r="T3189" s="21">
        <v>0</v>
      </c>
      <c r="U3189" s="21">
        <v>0</v>
      </c>
      <c r="V3189" s="21">
        <v>0</v>
      </c>
      <c r="W3189" s="21">
        <v>0</v>
      </c>
      <c r="X3189" s="21">
        <v>0</v>
      </c>
      <c r="Y3189" s="204" t="s">
        <v>2276</v>
      </c>
      <c r="Z3189" s="204" t="s">
        <v>2276</v>
      </c>
      <c r="AA3189" s="204" t="s">
        <v>2276</v>
      </c>
      <c r="AB3189" s="204" t="s">
        <v>2276</v>
      </c>
      <c r="AC3189" s="38"/>
      <c r="AD3189" s="38"/>
    </row>
    <row r="3190" spans="1:30" ht="35.5" customHeight="1">
      <c r="A3190" s="19" t="s">
        <v>8541</v>
      </c>
      <c r="B3190" s="19" t="s">
        <v>8543</v>
      </c>
      <c r="C3190" s="204" t="s">
        <v>24</v>
      </c>
      <c r="D3190" s="204" t="s">
        <v>2659</v>
      </c>
      <c r="E3190" s="4" t="s">
        <v>84</v>
      </c>
      <c r="F3190" s="4" t="s">
        <v>28</v>
      </c>
      <c r="G3190" s="204" t="s">
        <v>2276</v>
      </c>
      <c r="H3190" s="204" t="s">
        <v>524</v>
      </c>
      <c r="I3190" s="204"/>
      <c r="J3190" s="21">
        <v>0</v>
      </c>
      <c r="K3190" s="21">
        <v>0</v>
      </c>
      <c r="L3190" s="21">
        <v>0</v>
      </c>
      <c r="M3190" s="21">
        <v>0</v>
      </c>
      <c r="N3190" s="21">
        <v>0</v>
      </c>
      <c r="O3190" s="21">
        <v>0</v>
      </c>
      <c r="P3190" s="21">
        <v>0</v>
      </c>
      <c r="Q3190" s="21">
        <v>0</v>
      </c>
      <c r="R3190" s="21">
        <v>0</v>
      </c>
      <c r="S3190" s="21">
        <v>0</v>
      </c>
      <c r="T3190" s="21">
        <v>0</v>
      </c>
      <c r="U3190" s="21">
        <v>0</v>
      </c>
      <c r="V3190" s="21">
        <v>0</v>
      </c>
      <c r="W3190" s="21">
        <v>0</v>
      </c>
      <c r="X3190" s="21">
        <v>0</v>
      </c>
      <c r="Y3190" s="204" t="s">
        <v>2276</v>
      </c>
      <c r="Z3190" s="204" t="s">
        <v>2276</v>
      </c>
      <c r="AA3190" s="204" t="s">
        <v>2276</v>
      </c>
      <c r="AB3190" s="204" t="s">
        <v>2276</v>
      </c>
      <c r="AC3190" s="204"/>
      <c r="AD3190" s="204"/>
    </row>
    <row r="3191" spans="1:30" ht="30" customHeight="1">
      <c r="A3191" s="19" t="s">
        <v>8541</v>
      </c>
      <c r="B3191" s="19" t="s">
        <v>8544</v>
      </c>
      <c r="C3191" s="204" t="s">
        <v>31</v>
      </c>
      <c r="D3191" s="204" t="s">
        <v>2659</v>
      </c>
      <c r="E3191" s="4" t="s">
        <v>84</v>
      </c>
      <c r="F3191" s="4" t="s">
        <v>28</v>
      </c>
      <c r="G3191" s="204" t="s">
        <v>2276</v>
      </c>
      <c r="H3191" s="204" t="s">
        <v>523</v>
      </c>
      <c r="I3191" s="204"/>
      <c r="J3191" s="204" t="s">
        <v>2276</v>
      </c>
      <c r="K3191" s="204" t="s">
        <v>2276</v>
      </c>
      <c r="L3191" s="204" t="s">
        <v>2276</v>
      </c>
      <c r="M3191" s="204" t="s">
        <v>2276</v>
      </c>
      <c r="N3191" s="204" t="s">
        <v>2276</v>
      </c>
      <c r="O3191" s="204" t="s">
        <v>2276</v>
      </c>
      <c r="P3191" s="204" t="s">
        <v>2276</v>
      </c>
      <c r="Q3191" s="204" t="s">
        <v>2276</v>
      </c>
      <c r="R3191" s="204" t="s">
        <v>2276</v>
      </c>
      <c r="S3191" s="204" t="s">
        <v>2276</v>
      </c>
      <c r="T3191" s="204" t="s">
        <v>2276</v>
      </c>
      <c r="U3191" s="204" t="s">
        <v>2276</v>
      </c>
      <c r="V3191" s="204" t="s">
        <v>2276</v>
      </c>
      <c r="W3191" s="204" t="s">
        <v>2276</v>
      </c>
      <c r="X3191" s="204" t="s">
        <v>2276</v>
      </c>
      <c r="Y3191" s="204" t="s">
        <v>2276</v>
      </c>
      <c r="Z3191" s="204" t="s">
        <v>2276</v>
      </c>
      <c r="AA3191" s="204" t="s">
        <v>2276</v>
      </c>
      <c r="AB3191" s="204" t="s">
        <v>2276</v>
      </c>
      <c r="AC3191" s="204"/>
      <c r="AD3191" s="204"/>
    </row>
    <row r="3192" spans="1:30" ht="32.5" customHeight="1">
      <c r="A3192" s="19" t="s">
        <v>8550</v>
      </c>
      <c r="B3192" s="19" t="s">
        <v>8553</v>
      </c>
      <c r="C3192" s="204" t="s">
        <v>24</v>
      </c>
      <c r="D3192" s="204" t="s">
        <v>2659</v>
      </c>
      <c r="E3192" s="4" t="s">
        <v>396</v>
      </c>
      <c r="F3192" s="4" t="s">
        <v>28</v>
      </c>
      <c r="G3192" s="204" t="s">
        <v>2276</v>
      </c>
      <c r="H3192" s="204" t="s">
        <v>523</v>
      </c>
      <c r="I3192" s="204"/>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04" t="s">
        <v>2276</v>
      </c>
      <c r="X3192" s="204" t="s">
        <v>2276</v>
      </c>
      <c r="Y3192" s="204" t="s">
        <v>2276</v>
      </c>
      <c r="Z3192" s="204" t="s">
        <v>2276</v>
      </c>
      <c r="AA3192" s="204" t="s">
        <v>2276</v>
      </c>
      <c r="AB3192" s="204" t="s">
        <v>2276</v>
      </c>
      <c r="AC3192" s="204"/>
      <c r="AD3192" s="204"/>
    </row>
    <row r="3193" spans="1:30" ht="32.5" customHeight="1">
      <c r="A3193" s="19" t="s">
        <v>8556</v>
      </c>
      <c r="B3193" s="19" t="s">
        <v>8565</v>
      </c>
      <c r="C3193" s="204" t="s">
        <v>24</v>
      </c>
      <c r="D3193" s="204" t="s">
        <v>1131</v>
      </c>
      <c r="E3193" s="4" t="s">
        <v>396</v>
      </c>
      <c r="F3193" s="4" t="s">
        <v>28</v>
      </c>
      <c r="G3193" s="204" t="s">
        <v>2276</v>
      </c>
      <c r="H3193" s="204" t="s">
        <v>523</v>
      </c>
      <c r="I3193" s="204"/>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04" t="s">
        <v>2276</v>
      </c>
      <c r="X3193" s="204" t="s">
        <v>2276</v>
      </c>
      <c r="Y3193" s="204" t="s">
        <v>2276</v>
      </c>
      <c r="Z3193" s="204" t="s">
        <v>2276</v>
      </c>
      <c r="AA3193" s="204" t="s">
        <v>2276</v>
      </c>
      <c r="AB3193" s="204" t="s">
        <v>2276</v>
      </c>
      <c r="AC3193" s="204" t="s">
        <v>8567</v>
      </c>
      <c r="AD3193" s="204"/>
    </row>
    <row r="3194" spans="1:30" ht="29">
      <c r="A3194" s="19" t="s">
        <v>8557</v>
      </c>
      <c r="B3194" s="19" t="s">
        <v>8566</v>
      </c>
      <c r="C3194" s="204" t="s">
        <v>24</v>
      </c>
      <c r="D3194" s="204" t="s">
        <v>1131</v>
      </c>
      <c r="E3194" s="4" t="s">
        <v>396</v>
      </c>
      <c r="F3194" s="4" t="s">
        <v>28</v>
      </c>
      <c r="G3194" s="204" t="s">
        <v>2276</v>
      </c>
      <c r="H3194" s="204" t="s">
        <v>523</v>
      </c>
      <c r="I3194" s="204"/>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04" t="s">
        <v>2276</v>
      </c>
      <c r="X3194" s="204" t="s">
        <v>2276</v>
      </c>
      <c r="Y3194" s="204" t="s">
        <v>2276</v>
      </c>
      <c r="Z3194" s="204" t="s">
        <v>2276</v>
      </c>
      <c r="AA3194" s="204" t="s">
        <v>2276</v>
      </c>
      <c r="AB3194" s="204" t="s">
        <v>2276</v>
      </c>
      <c r="AC3194" s="204" t="s">
        <v>8567</v>
      </c>
      <c r="AD3194" s="204"/>
    </row>
    <row r="3195" spans="1:30" ht="46" customHeight="1">
      <c r="A3195" s="19" t="s">
        <v>8571</v>
      </c>
      <c r="B3195" s="19" t="s">
        <v>8573</v>
      </c>
      <c r="C3195" s="204" t="s">
        <v>24</v>
      </c>
      <c r="D3195" s="204" t="s">
        <v>2659</v>
      </c>
      <c r="E3195" s="4" t="s">
        <v>396</v>
      </c>
      <c r="F3195" s="4" t="s">
        <v>28</v>
      </c>
      <c r="G3195" s="204" t="s">
        <v>2276</v>
      </c>
      <c r="H3195" s="204" t="s">
        <v>523</v>
      </c>
      <c r="I3195" s="204"/>
      <c r="J3195" s="204" t="s">
        <v>2276</v>
      </c>
      <c r="K3195" s="204" t="s">
        <v>2276</v>
      </c>
      <c r="L3195" s="204" t="s">
        <v>2276</v>
      </c>
      <c r="M3195" s="204" t="s">
        <v>2276</v>
      </c>
      <c r="N3195" s="204" t="s">
        <v>2276</v>
      </c>
      <c r="O3195" s="204" t="s">
        <v>2276</v>
      </c>
      <c r="P3195" s="204" t="s">
        <v>2276</v>
      </c>
      <c r="Q3195" s="204" t="s">
        <v>2276</v>
      </c>
      <c r="R3195" s="204" t="s">
        <v>2276</v>
      </c>
      <c r="S3195" s="204" t="s">
        <v>2276</v>
      </c>
      <c r="T3195" s="204" t="s">
        <v>2276</v>
      </c>
      <c r="U3195" s="204" t="s">
        <v>2276</v>
      </c>
      <c r="V3195" s="204" t="s">
        <v>2276</v>
      </c>
      <c r="W3195" s="204" t="s">
        <v>2276</v>
      </c>
      <c r="X3195" s="204" t="s">
        <v>2276</v>
      </c>
      <c r="Y3195" s="204" t="s">
        <v>2276</v>
      </c>
      <c r="Z3195" s="204" t="s">
        <v>2276</v>
      </c>
      <c r="AA3195" s="204" t="s">
        <v>2276</v>
      </c>
      <c r="AB3195" s="204" t="s">
        <v>2276</v>
      </c>
      <c r="AC3195" s="4" t="s">
        <v>8575</v>
      </c>
      <c r="AD3195" s="204"/>
    </row>
    <row r="3196" spans="1:30" ht="46" customHeight="1">
      <c r="A3196" s="19" t="s">
        <v>8572</v>
      </c>
      <c r="B3196" s="204" t="s">
        <v>8574</v>
      </c>
      <c r="C3196" s="204" t="s">
        <v>24</v>
      </c>
      <c r="D3196" s="204" t="s">
        <v>2659</v>
      </c>
      <c r="E3196" s="4" t="s">
        <v>396</v>
      </c>
      <c r="F3196" s="4" t="s">
        <v>28</v>
      </c>
      <c r="G3196" s="204" t="s">
        <v>2276</v>
      </c>
      <c r="H3196" s="204" t="s">
        <v>523</v>
      </c>
      <c r="I3196" s="204"/>
      <c r="J3196" s="204" t="s">
        <v>2276</v>
      </c>
      <c r="K3196" s="204" t="s">
        <v>2276</v>
      </c>
      <c r="L3196" s="204" t="s">
        <v>2276</v>
      </c>
      <c r="M3196" s="204" t="s">
        <v>2276</v>
      </c>
      <c r="N3196" s="204" t="s">
        <v>2276</v>
      </c>
      <c r="O3196" s="204" t="s">
        <v>2276</v>
      </c>
      <c r="P3196" s="204" t="s">
        <v>2276</v>
      </c>
      <c r="Q3196" s="204" t="s">
        <v>2276</v>
      </c>
      <c r="R3196" s="204" t="s">
        <v>2276</v>
      </c>
      <c r="S3196" s="204" t="s">
        <v>2276</v>
      </c>
      <c r="T3196" s="204" t="s">
        <v>2276</v>
      </c>
      <c r="U3196" s="204" t="s">
        <v>2276</v>
      </c>
      <c r="V3196" s="204" t="s">
        <v>2276</v>
      </c>
      <c r="W3196" s="204" t="s">
        <v>2276</v>
      </c>
      <c r="X3196" s="204" t="s">
        <v>2276</v>
      </c>
      <c r="Y3196" s="204" t="s">
        <v>2276</v>
      </c>
      <c r="Z3196" s="204" t="s">
        <v>2276</v>
      </c>
      <c r="AA3196" s="204" t="s">
        <v>2276</v>
      </c>
      <c r="AB3196" s="204" t="s">
        <v>2276</v>
      </c>
      <c r="AC3196" s="4" t="s">
        <v>8575</v>
      </c>
      <c r="AD3196" s="204"/>
    </row>
    <row r="3197" spans="1:30" ht="31" customHeight="1">
      <c r="A3197" s="19" t="s">
        <v>8577</v>
      </c>
      <c r="B3197" s="19" t="s">
        <v>8586</v>
      </c>
      <c r="C3197" s="204" t="s">
        <v>2658</v>
      </c>
      <c r="D3197" s="204" t="s">
        <v>2276</v>
      </c>
      <c r="E3197" s="204" t="s">
        <v>45</v>
      </c>
      <c r="F3197" s="4" t="s">
        <v>2662</v>
      </c>
      <c r="G3197" s="204" t="s">
        <v>2276</v>
      </c>
      <c r="H3197" s="204" t="s">
        <v>523</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2276</v>
      </c>
      <c r="Y3197" s="204" t="s">
        <v>2276</v>
      </c>
      <c r="Z3197" s="204" t="s">
        <v>405</v>
      </c>
      <c r="AA3197" s="204" t="s">
        <v>35</v>
      </c>
      <c r="AB3197" s="204" t="s">
        <v>2276</v>
      </c>
      <c r="AC3197" s="204"/>
      <c r="AD3197" s="204"/>
    </row>
    <row r="3198" spans="1:30" ht="31" customHeight="1">
      <c r="A3198" s="19" t="s">
        <v>8583</v>
      </c>
      <c r="B3198" s="19" t="s">
        <v>8587</v>
      </c>
      <c r="C3198" s="204" t="s">
        <v>2658</v>
      </c>
      <c r="D3198" s="204" t="s">
        <v>2276</v>
      </c>
      <c r="E3198" s="204" t="s">
        <v>45</v>
      </c>
      <c r="F3198" s="4" t="s">
        <v>2662</v>
      </c>
      <c r="G3198" s="204" t="s">
        <v>2276</v>
      </c>
      <c r="H3198" s="204" t="s">
        <v>523</v>
      </c>
      <c r="I3198" s="204"/>
      <c r="J3198" s="204" t="s">
        <v>2276</v>
      </c>
      <c r="K3198" s="204" t="s">
        <v>2276</v>
      </c>
      <c r="L3198" s="204" t="s">
        <v>2276</v>
      </c>
      <c r="M3198" s="204" t="s">
        <v>2276</v>
      </c>
      <c r="N3198" s="204" t="s">
        <v>2276</v>
      </c>
      <c r="O3198" s="204" t="s">
        <v>2276</v>
      </c>
      <c r="P3198" s="204" t="s">
        <v>2276</v>
      </c>
      <c r="Q3198" s="204" t="s">
        <v>2276</v>
      </c>
      <c r="R3198" s="204" t="s">
        <v>2276</v>
      </c>
      <c r="S3198" s="204" t="s">
        <v>2276</v>
      </c>
      <c r="T3198" s="21">
        <v>66000</v>
      </c>
      <c r="U3198" s="204" t="s">
        <v>2276</v>
      </c>
      <c r="V3198" s="204" t="s">
        <v>2276</v>
      </c>
      <c r="W3198" s="204" t="s">
        <v>2276</v>
      </c>
      <c r="X3198" s="204" t="s">
        <v>2276</v>
      </c>
      <c r="Y3198" s="204" t="s">
        <v>2276</v>
      </c>
      <c r="Z3198" s="204" t="s">
        <v>405</v>
      </c>
      <c r="AA3198" s="204" t="s">
        <v>35</v>
      </c>
      <c r="AB3198" s="204" t="s">
        <v>2276</v>
      </c>
      <c r="AC3198" s="204"/>
      <c r="AD3198" s="204"/>
    </row>
    <row r="3199" spans="1:30" ht="31" customHeight="1">
      <c r="A3199" s="19" t="s">
        <v>8584</v>
      </c>
      <c r="B3199" s="19" t="s">
        <v>8588</v>
      </c>
      <c r="C3199" s="204" t="s">
        <v>2658</v>
      </c>
      <c r="D3199" s="204" t="s">
        <v>2276</v>
      </c>
      <c r="E3199" s="204" t="s">
        <v>45</v>
      </c>
      <c r="F3199" s="4" t="s">
        <v>2662</v>
      </c>
      <c r="G3199" s="204" t="s">
        <v>2276</v>
      </c>
      <c r="H3199" s="204" t="s">
        <v>523</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1">
        <v>12400</v>
      </c>
      <c r="U3199" s="204" t="s">
        <v>2276</v>
      </c>
      <c r="V3199" s="204" t="s">
        <v>2276</v>
      </c>
      <c r="W3199" s="204" t="s">
        <v>2276</v>
      </c>
      <c r="X3199" s="204" t="s">
        <v>2276</v>
      </c>
      <c r="Y3199" s="204" t="s">
        <v>2276</v>
      </c>
      <c r="Z3199" s="204" t="s">
        <v>405</v>
      </c>
      <c r="AA3199" s="204" t="s">
        <v>35</v>
      </c>
      <c r="AB3199" s="204" t="s">
        <v>2276</v>
      </c>
      <c r="AC3199" s="204"/>
      <c r="AD3199" s="204"/>
    </row>
    <row r="3200" spans="1:30" ht="31" customHeight="1">
      <c r="A3200" s="55" t="s">
        <v>8585</v>
      </c>
      <c r="B3200" s="55" t="s">
        <v>8589</v>
      </c>
      <c r="C3200" s="38" t="s">
        <v>2658</v>
      </c>
      <c r="D3200" s="38" t="s">
        <v>2276</v>
      </c>
      <c r="E3200" s="38" t="s">
        <v>45</v>
      </c>
      <c r="F3200" s="168" t="s">
        <v>2662</v>
      </c>
      <c r="G3200" s="38" t="s">
        <v>2276</v>
      </c>
      <c r="H3200" s="38" t="s">
        <v>523</v>
      </c>
      <c r="I3200" s="38"/>
      <c r="J3200" s="38" t="s">
        <v>2276</v>
      </c>
      <c r="K3200" s="38" t="s">
        <v>2276</v>
      </c>
      <c r="L3200" s="38" t="s">
        <v>2276</v>
      </c>
      <c r="M3200" s="38" t="s">
        <v>2276</v>
      </c>
      <c r="N3200" s="38" t="s">
        <v>2276</v>
      </c>
      <c r="O3200" s="38" t="s">
        <v>2276</v>
      </c>
      <c r="P3200" s="38" t="s">
        <v>2276</v>
      </c>
      <c r="Q3200" s="38" t="s">
        <v>2276</v>
      </c>
      <c r="R3200" s="38" t="s">
        <v>2276</v>
      </c>
      <c r="S3200" s="38" t="s">
        <v>2276</v>
      </c>
      <c r="T3200" s="73">
        <v>32000</v>
      </c>
      <c r="U3200" s="38" t="s">
        <v>2276</v>
      </c>
      <c r="V3200" s="38" t="s">
        <v>2276</v>
      </c>
      <c r="W3200" s="38" t="s">
        <v>2276</v>
      </c>
      <c r="X3200" s="38" t="s">
        <v>2276</v>
      </c>
      <c r="Y3200" s="38" t="s">
        <v>2276</v>
      </c>
      <c r="Z3200" s="38" t="s">
        <v>405</v>
      </c>
      <c r="AA3200" s="38" t="s">
        <v>35</v>
      </c>
      <c r="AB3200" s="38" t="s">
        <v>2276</v>
      </c>
      <c r="AC3200" s="204"/>
      <c r="AD3200" s="204"/>
    </row>
    <row r="3201" spans="1:30" ht="35.5" customHeight="1">
      <c r="A3201" s="19" t="s">
        <v>8598</v>
      </c>
      <c r="B3201" s="19" t="s">
        <v>8603</v>
      </c>
      <c r="C3201" s="204" t="s">
        <v>24</v>
      </c>
      <c r="D3201" s="204" t="s">
        <v>2659</v>
      </c>
      <c r="E3201" s="204" t="s">
        <v>84</v>
      </c>
      <c r="F3201" s="4" t="s">
        <v>28</v>
      </c>
      <c r="G3201" s="4" t="s">
        <v>28</v>
      </c>
      <c r="H3201" s="204" t="s">
        <v>523</v>
      </c>
      <c r="I3201" s="204"/>
      <c r="J3201" s="204" t="s">
        <v>2276</v>
      </c>
      <c r="K3201" s="204" t="s">
        <v>2276</v>
      </c>
      <c r="L3201" s="204" t="s">
        <v>2276</v>
      </c>
      <c r="M3201" s="204" t="s">
        <v>2276</v>
      </c>
      <c r="N3201" s="204" t="s">
        <v>2276</v>
      </c>
      <c r="O3201" s="204" t="s">
        <v>2276</v>
      </c>
      <c r="P3201" s="204" t="s">
        <v>2276</v>
      </c>
      <c r="Q3201" s="204" t="s">
        <v>2276</v>
      </c>
      <c r="R3201" s="204" t="s">
        <v>2276</v>
      </c>
      <c r="S3201" s="204" t="s">
        <v>2276</v>
      </c>
      <c r="T3201" s="21">
        <f>'Land use'!P1335*'Record info'!K1335*V3201/100</f>
        <v>1272.18</v>
      </c>
      <c r="U3201" s="204" t="s">
        <v>2276</v>
      </c>
      <c r="V3201" s="21">
        <v>27.3</v>
      </c>
      <c r="W3201" s="204" t="s">
        <v>2276</v>
      </c>
      <c r="X3201" s="21">
        <f>V3201*(4660/8600)</f>
        <v>14.792790697674418</v>
      </c>
      <c r="Y3201" s="204" t="s">
        <v>2276</v>
      </c>
      <c r="Z3201" s="204" t="s">
        <v>35</v>
      </c>
      <c r="AA3201" s="204" t="s">
        <v>127</v>
      </c>
      <c r="AB3201" s="204" t="s">
        <v>64</v>
      </c>
      <c r="AC3201" s="204"/>
      <c r="AD3201" s="204"/>
    </row>
    <row r="3202" spans="1:30" ht="50" customHeight="1">
      <c r="A3202" s="19" t="s">
        <v>8598</v>
      </c>
      <c r="B3202" s="19" t="s">
        <v>8604</v>
      </c>
      <c r="C3202" s="204" t="s">
        <v>24</v>
      </c>
      <c r="D3202" s="204" t="s">
        <v>2659</v>
      </c>
      <c r="E3202" s="204" t="s">
        <v>84</v>
      </c>
      <c r="F3202" s="4" t="s">
        <v>28</v>
      </c>
      <c r="G3202" s="4" t="s">
        <v>28</v>
      </c>
      <c r="H3202" s="204" t="s">
        <v>523</v>
      </c>
      <c r="I3202" s="204"/>
      <c r="J3202" s="204" t="s">
        <v>2276</v>
      </c>
      <c r="K3202" s="204" t="s">
        <v>2276</v>
      </c>
      <c r="L3202" s="204" t="s">
        <v>2276</v>
      </c>
      <c r="M3202" s="204" t="s">
        <v>2276</v>
      </c>
      <c r="N3202" s="204" t="s">
        <v>2276</v>
      </c>
      <c r="O3202" s="204" t="s">
        <v>2276</v>
      </c>
      <c r="P3202" s="204" t="s">
        <v>2276</v>
      </c>
      <c r="Q3202" s="204" t="s">
        <v>2276</v>
      </c>
      <c r="R3202" s="204" t="s">
        <v>2276</v>
      </c>
      <c r="S3202" s="204" t="s">
        <v>2276</v>
      </c>
      <c r="T3202" s="204" t="s">
        <v>2276</v>
      </c>
      <c r="U3202" s="204" t="s">
        <v>2276</v>
      </c>
      <c r="V3202" s="204" t="s">
        <v>2276</v>
      </c>
      <c r="W3202" s="204" t="s">
        <v>2276</v>
      </c>
      <c r="X3202" s="204" t="s">
        <v>2276</v>
      </c>
      <c r="Y3202" s="204" t="s">
        <v>2276</v>
      </c>
      <c r="Z3202" s="204" t="s">
        <v>34</v>
      </c>
      <c r="AA3202" s="204" t="s">
        <v>404</v>
      </c>
      <c r="AB3202" s="204" t="s">
        <v>64</v>
      </c>
      <c r="AC3202" s="204"/>
      <c r="AD3202" s="204"/>
    </row>
    <row r="3203" spans="1:30" ht="46.5" customHeight="1">
      <c r="A3203" s="19" t="s">
        <v>8608</v>
      </c>
      <c r="B3203" s="19" t="s">
        <v>8610</v>
      </c>
      <c r="C3203" s="204" t="s">
        <v>24</v>
      </c>
      <c r="D3203" s="204" t="s">
        <v>2659</v>
      </c>
      <c r="E3203" s="204" t="s">
        <v>2276</v>
      </c>
      <c r="F3203" s="4" t="s">
        <v>28</v>
      </c>
      <c r="G3203" s="204" t="s">
        <v>2276</v>
      </c>
      <c r="H3203" s="204" t="s">
        <v>523</v>
      </c>
      <c r="I3203" s="204"/>
      <c r="J3203" s="204" t="s">
        <v>2276</v>
      </c>
      <c r="K3203" s="204" t="s">
        <v>2276</v>
      </c>
      <c r="L3203" s="204" t="s">
        <v>2276</v>
      </c>
      <c r="M3203" s="204" t="s">
        <v>2276</v>
      </c>
      <c r="N3203" s="204" t="s">
        <v>2276</v>
      </c>
      <c r="O3203" s="204" t="s">
        <v>2276</v>
      </c>
      <c r="P3203" s="204" t="s">
        <v>2276</v>
      </c>
      <c r="Q3203" s="204" t="s">
        <v>2276</v>
      </c>
      <c r="R3203" s="204" t="s">
        <v>2276</v>
      </c>
      <c r="S3203" s="204" t="s">
        <v>2276</v>
      </c>
      <c r="T3203" s="204" t="s">
        <v>2276</v>
      </c>
      <c r="U3203" s="21">
        <v>20.8</v>
      </c>
      <c r="V3203" s="204" t="s">
        <v>2276</v>
      </c>
      <c r="W3203" s="204" t="s">
        <v>2276</v>
      </c>
      <c r="X3203" s="204" t="s">
        <v>2276</v>
      </c>
      <c r="Y3203" s="204" t="s">
        <v>2276</v>
      </c>
      <c r="Z3203" s="204" t="s">
        <v>86</v>
      </c>
      <c r="AA3203" s="204" t="s">
        <v>35</v>
      </c>
      <c r="AB3203" s="204" t="s">
        <v>2276</v>
      </c>
      <c r="AC3203" s="204"/>
      <c r="AD3203" s="204"/>
    </row>
    <row r="3204" spans="1:30" ht="46.5" customHeight="1">
      <c r="A3204" s="26" t="s">
        <v>8611</v>
      </c>
      <c r="B3204" s="26" t="s">
        <v>8623</v>
      </c>
      <c r="C3204" s="204" t="s">
        <v>24</v>
      </c>
      <c r="D3204" s="204" t="s">
        <v>2659</v>
      </c>
      <c r="E3204" s="204" t="s">
        <v>2276</v>
      </c>
      <c r="F3204" s="4" t="s">
        <v>28</v>
      </c>
      <c r="G3204" s="204" t="s">
        <v>2276</v>
      </c>
      <c r="H3204" s="204" t="s">
        <v>523</v>
      </c>
      <c r="I3204" s="204"/>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2276</v>
      </c>
      <c r="Y3204" s="204" t="s">
        <v>2276</v>
      </c>
      <c r="Z3204" s="204" t="s">
        <v>86</v>
      </c>
      <c r="AA3204" s="204" t="s">
        <v>68</v>
      </c>
      <c r="AB3204" s="204" t="s">
        <v>2276</v>
      </c>
      <c r="AC3204" s="204"/>
      <c r="AD3204" s="204"/>
    </row>
    <row r="3205" spans="1:30" ht="46.5" customHeight="1">
      <c r="A3205" s="26" t="s">
        <v>8612</v>
      </c>
      <c r="B3205" s="26" t="s">
        <v>8624</v>
      </c>
      <c r="C3205" s="204" t="s">
        <v>24</v>
      </c>
      <c r="D3205" s="204" t="s">
        <v>2659</v>
      </c>
      <c r="E3205" s="204" t="s">
        <v>2276</v>
      </c>
      <c r="F3205" s="4" t="s">
        <v>28</v>
      </c>
      <c r="G3205" s="204" t="s">
        <v>2276</v>
      </c>
      <c r="H3205" s="204" t="s">
        <v>523</v>
      </c>
      <c r="I3205" s="204"/>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86</v>
      </c>
      <c r="AA3205" s="204" t="s">
        <v>68</v>
      </c>
      <c r="AB3205" s="204" t="s">
        <v>2276</v>
      </c>
      <c r="AC3205" s="204"/>
      <c r="AD3205" s="204"/>
    </row>
    <row r="3206" spans="1:30" ht="46.5" customHeight="1">
      <c r="A3206" s="26" t="s">
        <v>8613</v>
      </c>
      <c r="B3206" s="26" t="s">
        <v>8625</v>
      </c>
      <c r="C3206" s="204" t="s">
        <v>24</v>
      </c>
      <c r="D3206" s="204" t="s">
        <v>2659</v>
      </c>
      <c r="E3206" s="204" t="s">
        <v>2276</v>
      </c>
      <c r="F3206" s="4" t="s">
        <v>28</v>
      </c>
      <c r="G3206" s="204" t="s">
        <v>2276</v>
      </c>
      <c r="H3206" s="204" t="s">
        <v>523</v>
      </c>
      <c r="I3206" s="204"/>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86</v>
      </c>
      <c r="AA3206" s="204" t="s">
        <v>68</v>
      </c>
      <c r="AB3206" s="204" t="s">
        <v>2276</v>
      </c>
      <c r="AC3206" s="204"/>
      <c r="AD3206" s="204"/>
    </row>
    <row r="3207" spans="1:30" ht="46.5" customHeight="1">
      <c r="A3207" s="26" t="s">
        <v>8614</v>
      </c>
      <c r="B3207" s="26" t="s">
        <v>8626</v>
      </c>
      <c r="C3207" s="204" t="s">
        <v>24</v>
      </c>
      <c r="D3207" s="204" t="s">
        <v>2659</v>
      </c>
      <c r="E3207" s="204" t="s">
        <v>2276</v>
      </c>
      <c r="F3207" s="4" t="s">
        <v>28</v>
      </c>
      <c r="G3207" s="204" t="s">
        <v>2276</v>
      </c>
      <c r="H3207" s="204" t="s">
        <v>523</v>
      </c>
      <c r="I3207" s="204"/>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86</v>
      </c>
      <c r="AA3207" s="204" t="s">
        <v>68</v>
      </c>
      <c r="AB3207" s="204" t="s">
        <v>2276</v>
      </c>
      <c r="AC3207" s="204"/>
      <c r="AD3207" s="204"/>
    </row>
    <row r="3208" spans="1:30" ht="46.5" customHeight="1">
      <c r="A3208" s="26" t="s">
        <v>8615</v>
      </c>
      <c r="B3208" s="26" t="s">
        <v>8627</v>
      </c>
      <c r="C3208" s="204" t="s">
        <v>24</v>
      </c>
      <c r="D3208" s="204" t="s">
        <v>2659</v>
      </c>
      <c r="E3208" s="204" t="s">
        <v>2276</v>
      </c>
      <c r="F3208" s="4" t="s">
        <v>28</v>
      </c>
      <c r="G3208" s="204" t="s">
        <v>2276</v>
      </c>
      <c r="H3208" s="204" t="s">
        <v>523</v>
      </c>
      <c r="I3208" s="204"/>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2276</v>
      </c>
      <c r="Y3208" s="204" t="s">
        <v>2276</v>
      </c>
      <c r="Z3208" s="204" t="s">
        <v>34</v>
      </c>
      <c r="AA3208" s="204" t="s">
        <v>34</v>
      </c>
      <c r="AB3208" s="204" t="s">
        <v>2276</v>
      </c>
      <c r="AC3208" s="204"/>
      <c r="AD3208" s="204"/>
    </row>
    <row r="3209" spans="1:30" ht="46.5" customHeight="1">
      <c r="A3209" s="26" t="s">
        <v>8616</v>
      </c>
      <c r="B3209" s="26" t="s">
        <v>8628</v>
      </c>
      <c r="C3209" s="204" t="s">
        <v>24</v>
      </c>
      <c r="D3209" s="204" t="s">
        <v>2659</v>
      </c>
      <c r="E3209" s="204" t="s">
        <v>2276</v>
      </c>
      <c r="F3209" s="4" t="s">
        <v>28</v>
      </c>
      <c r="G3209" s="204" t="s">
        <v>2276</v>
      </c>
      <c r="H3209" s="204" t="s">
        <v>523</v>
      </c>
      <c r="I3209" s="204"/>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2276</v>
      </c>
      <c r="Y3209" s="204" t="s">
        <v>2276</v>
      </c>
      <c r="Z3209" s="204" t="s">
        <v>34</v>
      </c>
      <c r="AA3209" s="204" t="s">
        <v>34</v>
      </c>
      <c r="AB3209" s="204" t="s">
        <v>2276</v>
      </c>
      <c r="AC3209" s="204"/>
      <c r="AD3209" s="204"/>
    </row>
    <row r="3210" spans="1:30" ht="40" customHeight="1">
      <c r="A3210" s="26" t="s">
        <v>8615</v>
      </c>
      <c r="B3210" s="26" t="s">
        <v>8629</v>
      </c>
      <c r="C3210" s="204" t="s">
        <v>24</v>
      </c>
      <c r="D3210" s="204" t="s">
        <v>2659</v>
      </c>
      <c r="E3210" s="204" t="s">
        <v>2276</v>
      </c>
      <c r="F3210" s="4" t="s">
        <v>28</v>
      </c>
      <c r="G3210" s="204" t="s">
        <v>2276</v>
      </c>
      <c r="H3210" s="204" t="s">
        <v>523</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2276</v>
      </c>
      <c r="Y3210" s="204" t="s">
        <v>2276</v>
      </c>
      <c r="Z3210" s="204" t="s">
        <v>68</v>
      </c>
      <c r="AA3210" s="204" t="s">
        <v>35</v>
      </c>
      <c r="AB3210" s="204" t="s">
        <v>2276</v>
      </c>
      <c r="AC3210" s="204"/>
      <c r="AD3210" s="204"/>
    </row>
    <row r="3211" spans="1:30" ht="42" customHeight="1">
      <c r="A3211" s="26" t="s">
        <v>8616</v>
      </c>
      <c r="B3211" s="26" t="s">
        <v>8630</v>
      </c>
      <c r="C3211" s="204" t="s">
        <v>24</v>
      </c>
      <c r="D3211" s="204" t="s">
        <v>2659</v>
      </c>
      <c r="E3211" s="204" t="s">
        <v>2276</v>
      </c>
      <c r="F3211" s="4" t="s">
        <v>28</v>
      </c>
      <c r="G3211" s="204" t="s">
        <v>2276</v>
      </c>
      <c r="H3211" s="204" t="s">
        <v>523</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2276</v>
      </c>
      <c r="Y3211" s="204" t="s">
        <v>2276</v>
      </c>
      <c r="Z3211" s="204" t="s">
        <v>68</v>
      </c>
      <c r="AA3211" s="204" t="s">
        <v>35</v>
      </c>
      <c r="AB3211" s="204" t="s">
        <v>2276</v>
      </c>
      <c r="AC3211" s="204"/>
      <c r="AD3211" s="204"/>
    </row>
    <row r="3212" spans="1:30" ht="29" customHeight="1">
      <c r="A3212" s="26" t="s">
        <v>8633</v>
      </c>
      <c r="B3212" s="26" t="s">
        <v>8638</v>
      </c>
      <c r="C3212" s="204" t="s">
        <v>24</v>
      </c>
      <c r="D3212" s="204" t="s">
        <v>2659</v>
      </c>
      <c r="E3212" s="204" t="s">
        <v>2276</v>
      </c>
      <c r="F3212" s="4" t="s">
        <v>28</v>
      </c>
      <c r="G3212" s="204" t="s">
        <v>2276</v>
      </c>
      <c r="H3212" s="204" t="s">
        <v>523</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2276</v>
      </c>
      <c r="Y3212" s="204" t="s">
        <v>2276</v>
      </c>
      <c r="Z3212" s="204" t="s">
        <v>2276</v>
      </c>
      <c r="AA3212" s="204" t="s">
        <v>2276</v>
      </c>
      <c r="AB3212" s="204" t="s">
        <v>2276</v>
      </c>
      <c r="AC3212" s="204"/>
      <c r="AD3212" s="204"/>
    </row>
    <row r="3213" spans="1:30" ht="29" customHeight="1">
      <c r="A3213" s="26" t="s">
        <v>8637</v>
      </c>
      <c r="B3213" s="26" t="s">
        <v>8639</v>
      </c>
      <c r="C3213" s="204" t="s">
        <v>24</v>
      </c>
      <c r="D3213" s="204" t="s">
        <v>2659</v>
      </c>
      <c r="E3213" s="204" t="s">
        <v>84</v>
      </c>
      <c r="F3213" s="4" t="s">
        <v>28</v>
      </c>
      <c r="G3213" s="204" t="s">
        <v>2276</v>
      </c>
      <c r="H3213" s="204" t="s">
        <v>523</v>
      </c>
      <c r="I3213" s="204"/>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2276</v>
      </c>
      <c r="Y3213" s="204" t="s">
        <v>2276</v>
      </c>
      <c r="Z3213" s="204" t="s">
        <v>2276</v>
      </c>
      <c r="AA3213" s="204" t="s">
        <v>2276</v>
      </c>
      <c r="AB3213" s="204" t="s">
        <v>2276</v>
      </c>
      <c r="AC3213" s="204"/>
      <c r="AD3213" s="204"/>
    </row>
    <row r="3214" spans="1:30" ht="29" customHeight="1">
      <c r="A3214" s="26" t="s">
        <v>8636</v>
      </c>
      <c r="B3214" s="26" t="s">
        <v>8640</v>
      </c>
      <c r="C3214" s="204" t="s">
        <v>24</v>
      </c>
      <c r="D3214" s="204" t="s">
        <v>2659</v>
      </c>
      <c r="E3214" s="204" t="s">
        <v>84</v>
      </c>
      <c r="F3214" s="4" t="s">
        <v>28</v>
      </c>
      <c r="G3214" s="204" t="s">
        <v>2276</v>
      </c>
      <c r="H3214" s="204" t="s">
        <v>523</v>
      </c>
      <c r="I3214" s="204"/>
      <c r="J3214" s="204" t="s">
        <v>2276</v>
      </c>
      <c r="K3214" s="204" t="s">
        <v>2276</v>
      </c>
      <c r="L3214" s="204" t="s">
        <v>2276</v>
      </c>
      <c r="M3214" s="204" t="s">
        <v>2276</v>
      </c>
      <c r="N3214" s="204" t="s">
        <v>2276</v>
      </c>
      <c r="O3214" s="204" t="s">
        <v>2276</v>
      </c>
      <c r="P3214" s="204" t="s">
        <v>2276</v>
      </c>
      <c r="Q3214" s="204" t="s">
        <v>2276</v>
      </c>
      <c r="R3214" s="204" t="s">
        <v>2276</v>
      </c>
      <c r="S3214" s="204" t="s">
        <v>2276</v>
      </c>
      <c r="T3214" s="204" t="s">
        <v>2276</v>
      </c>
      <c r="U3214" s="204" t="s">
        <v>2276</v>
      </c>
      <c r="V3214" s="204" t="s">
        <v>2276</v>
      </c>
      <c r="W3214" s="204" t="s">
        <v>2276</v>
      </c>
      <c r="X3214" s="204" t="s">
        <v>2276</v>
      </c>
      <c r="Y3214" s="204" t="s">
        <v>2276</v>
      </c>
      <c r="Z3214" s="204" t="s">
        <v>2276</v>
      </c>
      <c r="AA3214" s="204" t="s">
        <v>2276</v>
      </c>
      <c r="AB3214" s="204" t="s">
        <v>2276</v>
      </c>
      <c r="AC3214" s="204"/>
      <c r="AD3214" s="204"/>
    </row>
    <row r="3215" spans="1:30" ht="33.5" customHeight="1">
      <c r="A3215" s="26" t="s">
        <v>8644</v>
      </c>
      <c r="B3215" s="26" t="s">
        <v>8645</v>
      </c>
      <c r="C3215" s="204" t="s">
        <v>24</v>
      </c>
      <c r="D3215" s="204" t="s">
        <v>2659</v>
      </c>
      <c r="E3215" s="204" t="s">
        <v>2276</v>
      </c>
      <c r="F3215" s="4" t="s">
        <v>28</v>
      </c>
      <c r="G3215" s="204" t="s">
        <v>2276</v>
      </c>
      <c r="H3215" s="204" t="s">
        <v>523</v>
      </c>
      <c r="I3215" s="204"/>
      <c r="J3215" s="204" t="s">
        <v>2276</v>
      </c>
      <c r="K3215" s="204" t="s">
        <v>2276</v>
      </c>
      <c r="L3215" s="204" t="s">
        <v>2276</v>
      </c>
      <c r="M3215" s="204" t="s">
        <v>2276</v>
      </c>
      <c r="N3215" s="204" t="s">
        <v>2276</v>
      </c>
      <c r="O3215" s="204" t="s">
        <v>2276</v>
      </c>
      <c r="P3215" s="204" t="s">
        <v>2276</v>
      </c>
      <c r="Q3215" s="204" t="s">
        <v>2276</v>
      </c>
      <c r="R3215" s="204" t="s">
        <v>2276</v>
      </c>
      <c r="S3215" s="204" t="s">
        <v>2276</v>
      </c>
      <c r="T3215" s="21">
        <f>0.25*130000000</f>
        <v>32500000</v>
      </c>
      <c r="U3215" s="21">
        <f>20.5</f>
        <v>20.5</v>
      </c>
      <c r="V3215" s="204" t="s">
        <v>2276</v>
      </c>
      <c r="W3215" s="21">
        <f>$T3215/'Record info'!$K1346</f>
        <v>3.3864749400854435</v>
      </c>
      <c r="X3215" s="204" t="s">
        <v>2276</v>
      </c>
      <c r="Y3215" s="204" t="s">
        <v>2276</v>
      </c>
      <c r="Z3215" s="204" t="s">
        <v>2276</v>
      </c>
      <c r="AA3215" s="204" t="s">
        <v>2276</v>
      </c>
      <c r="AB3215" s="204" t="s">
        <v>2276</v>
      </c>
      <c r="AC3215" s="204"/>
      <c r="AD3215" s="204"/>
    </row>
    <row r="3216" spans="1:30" ht="52.5" customHeight="1">
      <c r="A3216" s="26" t="s">
        <v>8648</v>
      </c>
      <c r="B3216" s="26" t="s">
        <v>8651</v>
      </c>
      <c r="C3216" s="204" t="s">
        <v>24</v>
      </c>
      <c r="D3216" s="204" t="s">
        <v>2659</v>
      </c>
      <c r="E3216" s="4" t="s">
        <v>3854</v>
      </c>
      <c r="F3216" s="4" t="s">
        <v>28</v>
      </c>
      <c r="G3216" s="204" t="s">
        <v>2276</v>
      </c>
      <c r="H3216" s="204" t="s">
        <v>524</v>
      </c>
      <c r="I3216" s="204"/>
      <c r="J3216" s="21">
        <v>0</v>
      </c>
      <c r="K3216" s="21">
        <v>0</v>
      </c>
      <c r="L3216" s="21">
        <v>0</v>
      </c>
      <c r="M3216" s="21">
        <v>0</v>
      </c>
      <c r="N3216" s="21">
        <v>0</v>
      </c>
      <c r="O3216" s="21">
        <v>0</v>
      </c>
      <c r="P3216" s="21">
        <v>0</v>
      </c>
      <c r="Q3216" s="21">
        <v>0</v>
      </c>
      <c r="R3216" s="21">
        <v>0</v>
      </c>
      <c r="S3216" s="21">
        <v>0</v>
      </c>
      <c r="T3216" s="21">
        <v>0</v>
      </c>
      <c r="U3216" s="21">
        <v>0</v>
      </c>
      <c r="V3216" s="21">
        <v>0</v>
      </c>
      <c r="W3216" s="21">
        <v>0</v>
      </c>
      <c r="X3216" s="204" t="s">
        <v>2276</v>
      </c>
      <c r="Y3216" s="204" t="s">
        <v>2276</v>
      </c>
      <c r="Z3216" s="204" t="s">
        <v>2276</v>
      </c>
      <c r="AA3216" s="204" t="s">
        <v>2276</v>
      </c>
      <c r="AB3216" s="204" t="s">
        <v>2276</v>
      </c>
      <c r="AC3216" s="4" t="s">
        <v>8652</v>
      </c>
      <c r="AD3216" s="204"/>
    </row>
    <row r="3217" spans="1:30" ht="52.5" customHeight="1">
      <c r="A3217" s="26" t="s">
        <v>8648</v>
      </c>
      <c r="B3217" s="26" t="s">
        <v>8653</v>
      </c>
      <c r="C3217" s="204" t="s">
        <v>24</v>
      </c>
      <c r="D3217" s="204" t="s">
        <v>2659</v>
      </c>
      <c r="E3217" s="4" t="s">
        <v>3854</v>
      </c>
      <c r="F3217" s="4" t="s">
        <v>28</v>
      </c>
      <c r="G3217" s="204" t="s">
        <v>2276</v>
      </c>
      <c r="H3217" s="204" t="s">
        <v>524</v>
      </c>
      <c r="I3217" s="204"/>
      <c r="J3217" s="21">
        <v>0</v>
      </c>
      <c r="K3217" s="21">
        <v>0</v>
      </c>
      <c r="L3217" s="21">
        <v>0</v>
      </c>
      <c r="M3217" s="21">
        <v>0</v>
      </c>
      <c r="N3217" s="21">
        <v>0</v>
      </c>
      <c r="O3217" s="21">
        <v>0</v>
      </c>
      <c r="P3217" s="21">
        <v>0</v>
      </c>
      <c r="Q3217" s="21">
        <v>0</v>
      </c>
      <c r="R3217" s="21">
        <v>0</v>
      </c>
      <c r="S3217" s="21">
        <v>0</v>
      </c>
      <c r="T3217" s="21">
        <v>0</v>
      </c>
      <c r="U3217" s="21">
        <v>0</v>
      </c>
      <c r="V3217" s="21">
        <v>0</v>
      </c>
      <c r="W3217" s="21">
        <v>0</v>
      </c>
      <c r="X3217" s="204" t="s">
        <v>2276</v>
      </c>
      <c r="Y3217" s="204" t="s">
        <v>2276</v>
      </c>
      <c r="Z3217" s="204" t="s">
        <v>2276</v>
      </c>
      <c r="AA3217" s="204" t="s">
        <v>2276</v>
      </c>
      <c r="AB3217" s="204" t="s">
        <v>2276</v>
      </c>
      <c r="AC3217" s="4" t="s">
        <v>8652</v>
      </c>
      <c r="AD3217" s="204"/>
    </row>
    <row r="3218" spans="1:30" ht="41" customHeight="1">
      <c r="A3218" s="26" t="s">
        <v>8655</v>
      </c>
      <c r="B3218" s="26" t="s">
        <v>8659</v>
      </c>
      <c r="C3218" s="204" t="s">
        <v>24</v>
      </c>
      <c r="D3218" s="204" t="s">
        <v>2659</v>
      </c>
      <c r="E3218" s="4" t="s">
        <v>396</v>
      </c>
      <c r="F3218" s="4" t="s">
        <v>28</v>
      </c>
      <c r="G3218" s="204" t="s">
        <v>2276</v>
      </c>
      <c r="H3218" s="204" t="s">
        <v>523</v>
      </c>
      <c r="I3218" s="204"/>
      <c r="J3218" s="204" t="s">
        <v>2276</v>
      </c>
      <c r="K3218" s="204" t="s">
        <v>2276</v>
      </c>
      <c r="L3218" s="21">
        <v>1E-4</v>
      </c>
      <c r="M3218" s="204" t="s">
        <v>2276</v>
      </c>
      <c r="N3218" s="21">
        <v>1.4999999999999999E-2</v>
      </c>
      <c r="O3218" s="204" t="s">
        <v>2276</v>
      </c>
      <c r="P3218" s="204" t="s">
        <v>2276</v>
      </c>
      <c r="Q3218" s="204" t="s">
        <v>2276</v>
      </c>
      <c r="R3218" s="204" t="s">
        <v>2276</v>
      </c>
      <c r="S3218" s="204" t="s">
        <v>2276</v>
      </c>
      <c r="T3218" s="204" t="s">
        <v>2276</v>
      </c>
      <c r="U3218" s="204" t="s">
        <v>2276</v>
      </c>
      <c r="V3218" s="204" t="s">
        <v>2276</v>
      </c>
      <c r="W3218" s="204" t="s">
        <v>2276</v>
      </c>
      <c r="X3218" s="204" t="s">
        <v>2276</v>
      </c>
      <c r="Y3218" s="204" t="s">
        <v>2276</v>
      </c>
      <c r="Z3218" s="204" t="s">
        <v>34</v>
      </c>
      <c r="AA3218" s="204" t="s">
        <v>34</v>
      </c>
      <c r="AB3218" s="204" t="s">
        <v>2276</v>
      </c>
      <c r="AC3218" s="204"/>
      <c r="AD3218" s="204"/>
    </row>
    <row r="3219" spans="1:30" ht="38" customHeight="1">
      <c r="A3219" s="26" t="s">
        <v>8656</v>
      </c>
      <c r="B3219" s="26" t="s">
        <v>8660</v>
      </c>
      <c r="C3219" s="204" t="s">
        <v>24</v>
      </c>
      <c r="D3219" s="204" t="s">
        <v>2659</v>
      </c>
      <c r="E3219" s="4" t="s">
        <v>396</v>
      </c>
      <c r="F3219" s="4" t="s">
        <v>28</v>
      </c>
      <c r="G3219" s="204" t="s">
        <v>2276</v>
      </c>
      <c r="H3219" s="204" t="s">
        <v>523</v>
      </c>
      <c r="I3219" s="204"/>
      <c r="J3219" s="204" t="s">
        <v>2276</v>
      </c>
      <c r="K3219" s="204" t="s">
        <v>2276</v>
      </c>
      <c r="L3219" s="21">
        <v>1E-4</v>
      </c>
      <c r="M3219" s="204" t="s">
        <v>2276</v>
      </c>
      <c r="N3219" s="21">
        <v>1.4999999999999999E-2</v>
      </c>
      <c r="O3219" s="204" t="s">
        <v>2276</v>
      </c>
      <c r="P3219" s="204" t="s">
        <v>2276</v>
      </c>
      <c r="Q3219" s="204" t="s">
        <v>2276</v>
      </c>
      <c r="R3219" s="204" t="s">
        <v>2276</v>
      </c>
      <c r="S3219" s="204" t="s">
        <v>2276</v>
      </c>
      <c r="T3219" s="204" t="s">
        <v>2276</v>
      </c>
      <c r="U3219" s="204" t="s">
        <v>2276</v>
      </c>
      <c r="V3219" s="204" t="s">
        <v>2276</v>
      </c>
      <c r="W3219" s="204" t="s">
        <v>2276</v>
      </c>
      <c r="X3219" s="204" t="s">
        <v>2276</v>
      </c>
      <c r="Y3219" s="204" t="s">
        <v>2276</v>
      </c>
      <c r="Z3219" s="204" t="s">
        <v>34</v>
      </c>
      <c r="AA3219" s="204" t="s">
        <v>34</v>
      </c>
      <c r="AB3219" s="204" t="s">
        <v>2276</v>
      </c>
      <c r="AC3219" s="204"/>
      <c r="AD3219" s="204"/>
    </row>
    <row r="3220" spans="1:30" ht="33.5" customHeight="1">
      <c r="A3220" s="26" t="s">
        <v>8655</v>
      </c>
      <c r="B3220" s="26" t="s">
        <v>8661</v>
      </c>
      <c r="C3220" s="204" t="s">
        <v>24</v>
      </c>
      <c r="D3220" s="204" t="s">
        <v>2659</v>
      </c>
      <c r="E3220" s="4" t="s">
        <v>396</v>
      </c>
      <c r="F3220" s="4" t="s">
        <v>28</v>
      </c>
      <c r="G3220" s="204" t="s">
        <v>2276</v>
      </c>
      <c r="H3220" s="204" t="s">
        <v>523</v>
      </c>
      <c r="I3220" s="204"/>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2276</v>
      </c>
      <c r="Y3220" s="204" t="s">
        <v>2276</v>
      </c>
      <c r="Z3220" s="204" t="s">
        <v>68</v>
      </c>
      <c r="AA3220" s="204" t="s">
        <v>68</v>
      </c>
      <c r="AB3220" s="204" t="s">
        <v>2276</v>
      </c>
      <c r="AC3220" s="204"/>
      <c r="AD3220" s="204"/>
    </row>
    <row r="3221" spans="1:30" ht="51" customHeight="1">
      <c r="A3221" s="26" t="s">
        <v>8656</v>
      </c>
      <c r="B3221" s="26" t="s">
        <v>8662</v>
      </c>
      <c r="C3221" s="204" t="s">
        <v>24</v>
      </c>
      <c r="D3221" s="204" t="s">
        <v>2659</v>
      </c>
      <c r="E3221" s="4" t="s">
        <v>396</v>
      </c>
      <c r="F3221" s="4" t="s">
        <v>28</v>
      </c>
      <c r="G3221" s="204" t="s">
        <v>2276</v>
      </c>
      <c r="H3221" s="204" t="s">
        <v>523</v>
      </c>
      <c r="I3221" s="204"/>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2276</v>
      </c>
      <c r="Y3221" s="204" t="s">
        <v>2276</v>
      </c>
      <c r="Z3221" s="204" t="s">
        <v>68</v>
      </c>
      <c r="AA3221" s="204" t="s">
        <v>68</v>
      </c>
      <c r="AB3221" s="204" t="s">
        <v>2276</v>
      </c>
      <c r="AC3221" s="204"/>
      <c r="AD3221" s="204"/>
    </row>
    <row r="3222" spans="1:30" ht="51" customHeight="1">
      <c r="A3222" s="26" t="s">
        <v>8664</v>
      </c>
      <c r="B3222" s="26" t="s">
        <v>8666</v>
      </c>
      <c r="C3222" s="204" t="s">
        <v>24</v>
      </c>
      <c r="D3222" s="204" t="s">
        <v>2659</v>
      </c>
      <c r="E3222" s="204" t="s">
        <v>84</v>
      </c>
      <c r="F3222" s="4" t="s">
        <v>28</v>
      </c>
      <c r="G3222" s="204" t="s">
        <v>2276</v>
      </c>
      <c r="H3222" s="204" t="s">
        <v>523</v>
      </c>
      <c r="I3222" s="204"/>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2276</v>
      </c>
      <c r="Y3222" s="204" t="s">
        <v>2276</v>
      </c>
      <c r="Z3222" s="204" t="s">
        <v>425</v>
      </c>
      <c r="AA3222" s="204" t="s">
        <v>35</v>
      </c>
      <c r="AB3222" s="204" t="s">
        <v>2276</v>
      </c>
      <c r="AC3222" s="204"/>
      <c r="AD3222" s="204"/>
    </row>
    <row r="3223" spans="1:30" ht="31" customHeight="1">
      <c r="A3223" s="26" t="s">
        <v>8669</v>
      </c>
      <c r="B3223" s="26" t="s">
        <v>8677</v>
      </c>
      <c r="C3223" s="204" t="s">
        <v>24</v>
      </c>
      <c r="D3223" s="204" t="s">
        <v>2659</v>
      </c>
      <c r="E3223" s="204" t="s">
        <v>2276</v>
      </c>
      <c r="F3223" s="4" t="s">
        <v>28</v>
      </c>
      <c r="G3223" s="204" t="s">
        <v>2276</v>
      </c>
      <c r="H3223" s="204" t="s">
        <v>523</v>
      </c>
      <c r="I3223" s="204"/>
      <c r="J3223" s="204" t="s">
        <v>2276</v>
      </c>
      <c r="K3223" s="204" t="s">
        <v>2276</v>
      </c>
      <c r="L3223" s="204" t="s">
        <v>2276</v>
      </c>
      <c r="M3223" s="204" t="s">
        <v>2276</v>
      </c>
      <c r="N3223" s="204" t="s">
        <v>2276</v>
      </c>
      <c r="O3223" s="204" t="s">
        <v>2276</v>
      </c>
      <c r="P3223" s="204" t="s">
        <v>2276</v>
      </c>
      <c r="Q3223" s="204" t="s">
        <v>2276</v>
      </c>
      <c r="R3223" s="204" t="s">
        <v>2276</v>
      </c>
      <c r="S3223" s="21">
        <f>$U3223*'Record info'!$K1352</f>
        <v>583423.74999999988</v>
      </c>
      <c r="T3223" s="204" t="s">
        <v>2276</v>
      </c>
      <c r="U3223" s="21">
        <v>23</v>
      </c>
      <c r="V3223" s="204" t="s">
        <v>2276</v>
      </c>
      <c r="W3223" s="204" t="s">
        <v>2276</v>
      </c>
      <c r="X3223" s="204" t="s">
        <v>2276</v>
      </c>
      <c r="Y3223" s="204" t="s">
        <v>2276</v>
      </c>
      <c r="Z3223" s="204" t="s">
        <v>2276</v>
      </c>
      <c r="AA3223" s="204" t="s">
        <v>2276</v>
      </c>
      <c r="AB3223" s="204" t="s">
        <v>2276</v>
      </c>
      <c r="AC3223" s="204"/>
      <c r="AD3223" s="204"/>
    </row>
    <row r="3224" spans="1:30" ht="31" customHeight="1">
      <c r="A3224" s="26" t="s">
        <v>8670</v>
      </c>
      <c r="B3224" s="26" t="s">
        <v>8678</v>
      </c>
      <c r="C3224" s="204" t="s">
        <v>24</v>
      </c>
      <c r="D3224" s="204" t="s">
        <v>2659</v>
      </c>
      <c r="E3224" s="204" t="s">
        <v>2276</v>
      </c>
      <c r="F3224" s="4" t="s">
        <v>28</v>
      </c>
      <c r="G3224" s="204" t="s">
        <v>2276</v>
      </c>
      <c r="H3224" s="204" t="s">
        <v>523</v>
      </c>
      <c r="I3224" s="204"/>
      <c r="J3224" s="204" t="s">
        <v>2276</v>
      </c>
      <c r="K3224" s="204" t="s">
        <v>2276</v>
      </c>
      <c r="L3224" s="204" t="s">
        <v>2276</v>
      </c>
      <c r="M3224" s="204" t="s">
        <v>2276</v>
      </c>
      <c r="N3224" s="204" t="s">
        <v>2276</v>
      </c>
      <c r="O3224" s="204" t="s">
        <v>2276</v>
      </c>
      <c r="P3224" s="204" t="s">
        <v>2276</v>
      </c>
      <c r="Q3224" s="204" t="s">
        <v>2276</v>
      </c>
      <c r="R3224" s="204" t="s">
        <v>2276</v>
      </c>
      <c r="S3224" s="21">
        <f>$U3224*'Record info'!$K1353</f>
        <v>233162.50000000003</v>
      </c>
      <c r="T3224" s="204" t="s">
        <v>2276</v>
      </c>
      <c r="U3224" s="21">
        <v>23</v>
      </c>
      <c r="V3224" s="204" t="s">
        <v>2276</v>
      </c>
      <c r="W3224" s="204" t="s">
        <v>2276</v>
      </c>
      <c r="X3224" s="204" t="s">
        <v>2276</v>
      </c>
      <c r="Y3224" s="204" t="s">
        <v>2276</v>
      </c>
      <c r="Z3224" s="204" t="s">
        <v>2276</v>
      </c>
      <c r="AA3224" s="204" t="s">
        <v>2276</v>
      </c>
      <c r="AB3224" s="204" t="s">
        <v>2276</v>
      </c>
      <c r="AC3224" s="204"/>
      <c r="AD3224" s="204"/>
    </row>
    <row r="3225" spans="1:30" ht="31" customHeight="1">
      <c r="A3225" s="26" t="s">
        <v>8671</v>
      </c>
      <c r="B3225" s="26" t="s">
        <v>8679</v>
      </c>
      <c r="C3225" s="204" t="s">
        <v>24</v>
      </c>
      <c r="D3225" s="204" t="s">
        <v>2659</v>
      </c>
      <c r="E3225" s="204" t="s">
        <v>2276</v>
      </c>
      <c r="F3225" s="4" t="s">
        <v>28</v>
      </c>
      <c r="G3225" s="204" t="s">
        <v>2276</v>
      </c>
      <c r="H3225" s="204" t="s">
        <v>523</v>
      </c>
      <c r="I3225" s="204"/>
      <c r="J3225" s="204" t="s">
        <v>2276</v>
      </c>
      <c r="K3225" s="204" t="s">
        <v>2276</v>
      </c>
      <c r="L3225" s="204" t="s">
        <v>2276</v>
      </c>
      <c r="M3225" s="204" t="s">
        <v>2276</v>
      </c>
      <c r="N3225" s="204" t="s">
        <v>2276</v>
      </c>
      <c r="O3225" s="204" t="s">
        <v>2276</v>
      </c>
      <c r="P3225" s="204" t="s">
        <v>2276</v>
      </c>
      <c r="Q3225" s="204" t="s">
        <v>2276</v>
      </c>
      <c r="R3225" s="204" t="s">
        <v>2276</v>
      </c>
      <c r="S3225" s="21">
        <f>$U3225*'Record info'!$K1354</f>
        <v>1339519.9999999998</v>
      </c>
      <c r="T3225" s="204" t="s">
        <v>2276</v>
      </c>
      <c r="U3225" s="21">
        <v>23</v>
      </c>
      <c r="V3225" s="204" t="s">
        <v>2276</v>
      </c>
      <c r="W3225" s="204" t="s">
        <v>2276</v>
      </c>
      <c r="X3225" s="204" t="s">
        <v>2276</v>
      </c>
      <c r="Y3225" s="204" t="s">
        <v>2276</v>
      </c>
      <c r="Z3225" s="204" t="s">
        <v>2276</v>
      </c>
      <c r="AA3225" s="204" t="s">
        <v>2276</v>
      </c>
      <c r="AB3225" s="204" t="s">
        <v>2276</v>
      </c>
      <c r="AC3225" s="204"/>
      <c r="AD3225" s="204"/>
    </row>
    <row r="3226" spans="1:30" ht="36.5" customHeight="1">
      <c r="A3226" s="26" t="s">
        <v>8673</v>
      </c>
      <c r="B3226" s="26" t="s">
        <v>8681</v>
      </c>
      <c r="C3226" s="204" t="s">
        <v>24</v>
      </c>
      <c r="D3226" s="204" t="s">
        <v>2659</v>
      </c>
      <c r="E3226" s="204" t="s">
        <v>2276</v>
      </c>
      <c r="F3226" s="4" t="s">
        <v>28</v>
      </c>
      <c r="G3226" s="204" t="s">
        <v>2276</v>
      </c>
      <c r="H3226" s="204" t="s">
        <v>523</v>
      </c>
      <c r="I3226" s="204"/>
      <c r="J3226" s="204" t="s">
        <v>2276</v>
      </c>
      <c r="K3226" s="204" t="s">
        <v>2276</v>
      </c>
      <c r="L3226" s="204" t="s">
        <v>2276</v>
      </c>
      <c r="M3226" s="204" t="s">
        <v>2276</v>
      </c>
      <c r="N3226" s="204" t="s">
        <v>2276</v>
      </c>
      <c r="O3226" s="204" t="s">
        <v>2276</v>
      </c>
      <c r="P3226" s="204" t="s">
        <v>2276</v>
      </c>
      <c r="Q3226" s="204" t="s">
        <v>2276</v>
      </c>
      <c r="R3226" s="204" t="s">
        <v>2276</v>
      </c>
      <c r="S3226" s="21">
        <f>$U3226*'Record info'!$K1355</f>
        <v>1603382.3478963082</v>
      </c>
      <c r="T3226" s="204" t="s">
        <v>2276</v>
      </c>
      <c r="U3226" s="21">
        <v>48</v>
      </c>
      <c r="V3226" s="204" t="s">
        <v>2276</v>
      </c>
      <c r="W3226" s="204" t="s">
        <v>2276</v>
      </c>
      <c r="X3226" s="204" t="s">
        <v>2276</v>
      </c>
      <c r="Y3226" s="204" t="s">
        <v>2276</v>
      </c>
      <c r="Z3226" s="204" t="s">
        <v>2276</v>
      </c>
      <c r="AA3226" s="204" t="s">
        <v>2276</v>
      </c>
      <c r="AB3226" s="204" t="s">
        <v>2276</v>
      </c>
      <c r="AC3226" s="204"/>
      <c r="AD3226" s="204"/>
    </row>
    <row r="3227" spans="1:30" ht="41.5" customHeight="1">
      <c r="A3227" s="26" t="s">
        <v>8674</v>
      </c>
      <c r="B3227" s="26" t="s">
        <v>8682</v>
      </c>
      <c r="C3227" s="204" t="s">
        <v>24</v>
      </c>
      <c r="D3227" s="204" t="s">
        <v>2659</v>
      </c>
      <c r="E3227" s="204" t="s">
        <v>2276</v>
      </c>
      <c r="F3227" s="4" t="s">
        <v>28</v>
      </c>
      <c r="G3227" s="204" t="s">
        <v>2276</v>
      </c>
      <c r="H3227" s="204" t="s">
        <v>523</v>
      </c>
      <c r="I3227" s="204"/>
      <c r="J3227" s="204" t="s">
        <v>2276</v>
      </c>
      <c r="K3227" s="204" t="s">
        <v>2276</v>
      </c>
      <c r="L3227" s="204" t="s">
        <v>2276</v>
      </c>
      <c r="M3227" s="204" t="s">
        <v>2276</v>
      </c>
      <c r="N3227" s="204" t="s">
        <v>2276</v>
      </c>
      <c r="O3227" s="204" t="s">
        <v>2276</v>
      </c>
      <c r="P3227" s="204" t="s">
        <v>2276</v>
      </c>
      <c r="Q3227" s="204" t="s">
        <v>2276</v>
      </c>
      <c r="R3227" s="204" t="s">
        <v>2276</v>
      </c>
      <c r="S3227" s="21">
        <f>$U3227*'Record info'!$K1356</f>
        <v>1112595.5639809396</v>
      </c>
      <c r="T3227" s="204" t="s">
        <v>2276</v>
      </c>
      <c r="U3227" s="21">
        <v>95</v>
      </c>
      <c r="V3227" s="204" t="s">
        <v>2276</v>
      </c>
      <c r="W3227" s="204" t="s">
        <v>2276</v>
      </c>
      <c r="X3227" s="204" t="s">
        <v>2276</v>
      </c>
      <c r="Y3227" s="204" t="s">
        <v>2276</v>
      </c>
      <c r="Z3227" s="204" t="s">
        <v>2276</v>
      </c>
      <c r="AA3227" s="204" t="s">
        <v>2276</v>
      </c>
      <c r="AB3227" s="204" t="s">
        <v>2276</v>
      </c>
      <c r="AC3227" s="204"/>
      <c r="AD3227" s="204"/>
    </row>
    <row r="3228" spans="1:30" ht="63.5" customHeight="1">
      <c r="A3228" s="26" t="s">
        <v>8683</v>
      </c>
      <c r="B3228" s="26" t="s">
        <v>8684</v>
      </c>
      <c r="C3228" s="204" t="s">
        <v>2458</v>
      </c>
      <c r="D3228" s="204" t="s">
        <v>1105</v>
      </c>
      <c r="E3228" s="204" t="s">
        <v>1105</v>
      </c>
      <c r="F3228" s="204" t="s">
        <v>1105</v>
      </c>
      <c r="G3228" s="204" t="s">
        <v>55</v>
      </c>
      <c r="H3228" s="204" t="s">
        <v>523</v>
      </c>
      <c r="I3228" s="204"/>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189</v>
      </c>
      <c r="AA3228" s="204" t="s">
        <v>86</v>
      </c>
      <c r="AB3228" s="204" t="s">
        <v>2276</v>
      </c>
      <c r="AC3228" s="4" t="s">
        <v>8693</v>
      </c>
      <c r="AD3228" s="204"/>
    </row>
    <row r="3229" spans="1:30" ht="63.5" customHeight="1">
      <c r="A3229" s="26" t="s">
        <v>8683</v>
      </c>
      <c r="B3229" s="26" t="s">
        <v>8685</v>
      </c>
      <c r="C3229" s="204" t="s">
        <v>2458</v>
      </c>
      <c r="D3229" s="204" t="s">
        <v>1105</v>
      </c>
      <c r="E3229" s="204" t="s">
        <v>1105</v>
      </c>
      <c r="F3229" s="204" t="s">
        <v>1105</v>
      </c>
      <c r="G3229" s="204" t="s">
        <v>55</v>
      </c>
      <c r="H3229" s="204" t="s">
        <v>523</v>
      </c>
      <c r="I3229" s="204"/>
      <c r="J3229" s="204" t="s">
        <v>2276</v>
      </c>
      <c r="K3229" s="204" t="s">
        <v>2276</v>
      </c>
      <c r="L3229" s="204" t="s">
        <v>2276</v>
      </c>
      <c r="M3229" s="204" t="s">
        <v>2276</v>
      </c>
      <c r="N3229" s="204" t="s">
        <v>2276</v>
      </c>
      <c r="O3229" s="204" t="s">
        <v>2276</v>
      </c>
      <c r="P3229" s="204" t="s">
        <v>2276</v>
      </c>
      <c r="Q3229" s="204" t="s">
        <v>2276</v>
      </c>
      <c r="R3229" s="204" t="s">
        <v>2276</v>
      </c>
      <c r="S3229" s="204" t="s">
        <v>2276</v>
      </c>
      <c r="T3229" s="204" t="s">
        <v>2276</v>
      </c>
      <c r="U3229" s="204" t="s">
        <v>2276</v>
      </c>
      <c r="V3229" s="204" t="s">
        <v>2276</v>
      </c>
      <c r="W3229" s="204" t="s">
        <v>2276</v>
      </c>
      <c r="X3229" s="204" t="s">
        <v>2276</v>
      </c>
      <c r="Y3229" s="204" t="s">
        <v>2276</v>
      </c>
      <c r="Z3229" s="204" t="s">
        <v>405</v>
      </c>
      <c r="AA3229" s="204" t="s">
        <v>68</v>
      </c>
      <c r="AB3229" s="204" t="s">
        <v>2276</v>
      </c>
      <c r="AC3229" s="4" t="s">
        <v>8693</v>
      </c>
      <c r="AD3229" s="204"/>
    </row>
    <row r="3230" spans="1:30" ht="63.5" customHeight="1">
      <c r="A3230" s="26" t="s">
        <v>8683</v>
      </c>
      <c r="B3230" s="26" t="s">
        <v>8686</v>
      </c>
      <c r="C3230" s="204" t="s">
        <v>2458</v>
      </c>
      <c r="D3230" s="204" t="s">
        <v>2659</v>
      </c>
      <c r="E3230" s="204" t="s">
        <v>2276</v>
      </c>
      <c r="F3230" s="4" t="s">
        <v>28</v>
      </c>
      <c r="G3230" s="204" t="s">
        <v>55</v>
      </c>
      <c r="H3230" s="204" t="s">
        <v>523</v>
      </c>
      <c r="I3230" s="204"/>
      <c r="J3230" s="204" t="s">
        <v>2276</v>
      </c>
      <c r="K3230" s="204" t="s">
        <v>2276</v>
      </c>
      <c r="L3230" s="204" t="s">
        <v>2276</v>
      </c>
      <c r="M3230" s="204" t="s">
        <v>2276</v>
      </c>
      <c r="N3230" s="204" t="s">
        <v>2276</v>
      </c>
      <c r="O3230" s="204" t="s">
        <v>2276</v>
      </c>
      <c r="P3230" s="204" t="s">
        <v>2276</v>
      </c>
      <c r="Q3230" s="204" t="s">
        <v>2276</v>
      </c>
      <c r="R3230" s="204" t="s">
        <v>2276</v>
      </c>
      <c r="S3230" s="204" t="s">
        <v>2276</v>
      </c>
      <c r="T3230" s="204" t="s">
        <v>2276</v>
      </c>
      <c r="U3230" s="204" t="s">
        <v>2276</v>
      </c>
      <c r="V3230" s="204" t="s">
        <v>2276</v>
      </c>
      <c r="W3230" s="204" t="s">
        <v>2276</v>
      </c>
      <c r="X3230" s="204" t="s">
        <v>2276</v>
      </c>
      <c r="Y3230" s="204" t="s">
        <v>2276</v>
      </c>
      <c r="Z3230" s="204" t="s">
        <v>189</v>
      </c>
      <c r="AA3230" s="204" t="s">
        <v>86</v>
      </c>
      <c r="AB3230" s="204" t="s">
        <v>2276</v>
      </c>
      <c r="AC3230" s="4" t="s">
        <v>8693</v>
      </c>
      <c r="AD3230" s="204"/>
    </row>
    <row r="3231" spans="1:30" ht="63.5" customHeight="1">
      <c r="A3231" s="26" t="s">
        <v>8683</v>
      </c>
      <c r="B3231" s="26" t="s">
        <v>8687</v>
      </c>
      <c r="C3231" s="204" t="s">
        <v>2458</v>
      </c>
      <c r="D3231" s="204" t="s">
        <v>2659</v>
      </c>
      <c r="E3231" s="204" t="s">
        <v>2276</v>
      </c>
      <c r="F3231" s="4" t="s">
        <v>28</v>
      </c>
      <c r="G3231" s="204" t="s">
        <v>55</v>
      </c>
      <c r="H3231" s="204" t="s">
        <v>523</v>
      </c>
      <c r="I3231" s="204"/>
      <c r="J3231" s="204" t="s">
        <v>2276</v>
      </c>
      <c r="K3231" s="204" t="s">
        <v>2276</v>
      </c>
      <c r="L3231" s="204" t="s">
        <v>2276</v>
      </c>
      <c r="M3231" s="204" t="s">
        <v>2276</v>
      </c>
      <c r="N3231" s="204" t="s">
        <v>2276</v>
      </c>
      <c r="O3231" s="204" t="s">
        <v>2276</v>
      </c>
      <c r="P3231" s="204" t="s">
        <v>2276</v>
      </c>
      <c r="Q3231" s="204" t="s">
        <v>2276</v>
      </c>
      <c r="R3231" s="204" t="s">
        <v>2276</v>
      </c>
      <c r="S3231" s="204" t="s">
        <v>2276</v>
      </c>
      <c r="T3231" s="204" t="s">
        <v>2276</v>
      </c>
      <c r="U3231" s="204" t="s">
        <v>2276</v>
      </c>
      <c r="V3231" s="204" t="s">
        <v>2276</v>
      </c>
      <c r="W3231" s="204" t="s">
        <v>2276</v>
      </c>
      <c r="X3231" s="204" t="s">
        <v>2276</v>
      </c>
      <c r="Y3231" s="204" t="s">
        <v>2276</v>
      </c>
      <c r="Z3231" s="204" t="s">
        <v>405</v>
      </c>
      <c r="AA3231" s="204" t="s">
        <v>68</v>
      </c>
      <c r="AB3231" s="204" t="s">
        <v>2276</v>
      </c>
      <c r="AC3231" s="4" t="s">
        <v>8693</v>
      </c>
      <c r="AD3231" s="204"/>
    </row>
    <row r="3232" spans="1:30" ht="63.5" customHeight="1">
      <c r="A3232" s="26" t="s">
        <v>8683</v>
      </c>
      <c r="B3232" s="26" t="s">
        <v>8690</v>
      </c>
      <c r="C3232" s="204" t="s">
        <v>2458</v>
      </c>
      <c r="D3232" s="204" t="s">
        <v>25</v>
      </c>
      <c r="E3232" s="204" t="s">
        <v>45</v>
      </c>
      <c r="F3232" s="204" t="s">
        <v>55</v>
      </c>
      <c r="G3232" s="204" t="s">
        <v>55</v>
      </c>
      <c r="H3232" s="204" t="s">
        <v>523</v>
      </c>
      <c r="I3232" s="204"/>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2276</v>
      </c>
      <c r="Y3232" s="204" t="s">
        <v>2276</v>
      </c>
      <c r="Z3232" s="204" t="s">
        <v>189</v>
      </c>
      <c r="AA3232" s="204" t="s">
        <v>86</v>
      </c>
      <c r="AB3232" s="204" t="s">
        <v>2276</v>
      </c>
      <c r="AC3232" s="4" t="s">
        <v>8693</v>
      </c>
      <c r="AD3232" s="204"/>
    </row>
    <row r="3233" spans="1:30" ht="63.5" customHeight="1">
      <c r="A3233" s="26" t="s">
        <v>8683</v>
      </c>
      <c r="B3233" s="26" t="s">
        <v>8691</v>
      </c>
      <c r="C3233" s="204" t="s">
        <v>2458</v>
      </c>
      <c r="D3233" s="204" t="s">
        <v>25</v>
      </c>
      <c r="E3233" s="204" t="s">
        <v>45</v>
      </c>
      <c r="F3233" s="204" t="s">
        <v>55</v>
      </c>
      <c r="G3233" s="204" t="s">
        <v>55</v>
      </c>
      <c r="H3233" s="204" t="s">
        <v>523</v>
      </c>
      <c r="I3233" s="204"/>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405</v>
      </c>
      <c r="AA3233" s="204" t="s">
        <v>68</v>
      </c>
      <c r="AB3233" s="204" t="s">
        <v>2276</v>
      </c>
      <c r="AC3233" s="4" t="s">
        <v>8693</v>
      </c>
      <c r="AD3233" s="204"/>
    </row>
    <row r="3234" spans="1:30" ht="55" customHeight="1">
      <c r="A3234" s="26" t="s">
        <v>8683</v>
      </c>
      <c r="B3234" s="26" t="s">
        <v>8692</v>
      </c>
      <c r="C3234" s="204" t="s">
        <v>31</v>
      </c>
      <c r="D3234" s="204" t="s">
        <v>30</v>
      </c>
      <c r="E3234" s="204" t="s">
        <v>2653</v>
      </c>
      <c r="F3234" s="204" t="s">
        <v>2276</v>
      </c>
      <c r="G3234" s="204" t="s">
        <v>55</v>
      </c>
      <c r="H3234" s="204" t="s">
        <v>523</v>
      </c>
      <c r="I3234" s="204"/>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t="s">
        <v>2276</v>
      </c>
      <c r="AB3234" s="204" t="s">
        <v>2276</v>
      </c>
      <c r="AC3234" s="204"/>
      <c r="AD3234" s="204"/>
    </row>
    <row r="3235" spans="1:30" ht="47" customHeight="1">
      <c r="A3235" s="26" t="s">
        <v>8694</v>
      </c>
      <c r="B3235" s="235" t="s">
        <v>8696</v>
      </c>
      <c r="C3235" s="204" t="s">
        <v>2458</v>
      </c>
      <c r="D3235" s="204" t="s">
        <v>2276</v>
      </c>
      <c r="E3235" s="204" t="s">
        <v>2276</v>
      </c>
      <c r="F3235" s="204" t="s">
        <v>2276</v>
      </c>
      <c r="G3235" s="204" t="s">
        <v>55</v>
      </c>
      <c r="H3235" s="204" t="s">
        <v>523</v>
      </c>
      <c r="I3235" s="204"/>
      <c r="J3235" s="161">
        <f>(799+54)/30/'Record info'!K$1358</f>
        <v>1.1240782031616512E-4</v>
      </c>
      <c r="K3235" s="204" t="s">
        <v>2276</v>
      </c>
      <c r="L3235" s="204" t="s">
        <v>2276</v>
      </c>
      <c r="M3235" s="204" t="s">
        <v>2276</v>
      </c>
      <c r="N3235" s="204" t="s">
        <v>2276</v>
      </c>
      <c r="O3235" s="204" t="s">
        <v>2276</v>
      </c>
      <c r="P3235" s="21">
        <f>(2422232.7 + 921739.15) / (799 + 54)</f>
        <v>3920.2483587338807</v>
      </c>
      <c r="Q3235" s="204" t="s">
        <v>2276</v>
      </c>
      <c r="R3235" s="204" t="s">
        <v>2276</v>
      </c>
      <c r="S3235" s="204" t="s">
        <v>2276</v>
      </c>
      <c r="T3235" s="21">
        <f>(2422232.7 + 921739.15)/30</f>
        <v>111465.72833333333</v>
      </c>
      <c r="U3235" s="204" t="s">
        <v>2276</v>
      </c>
      <c r="V3235" s="204" t="s">
        <v>2276</v>
      </c>
      <c r="W3235" s="204" t="s">
        <v>2276</v>
      </c>
      <c r="X3235" s="21">
        <f>T3235/'Record info'!K$1358</f>
        <v>0.44066657310329921</v>
      </c>
      <c r="Y3235" s="204" t="s">
        <v>2276</v>
      </c>
      <c r="Z3235" s="204" t="s">
        <v>2276</v>
      </c>
      <c r="AA3235" s="204" t="s">
        <v>2276</v>
      </c>
      <c r="AB3235" s="204" t="s">
        <v>2276</v>
      </c>
      <c r="AC3235" s="4" t="s">
        <v>8704</v>
      </c>
      <c r="AD3235" s="204"/>
    </row>
    <row r="3236" spans="1:30" ht="47" customHeight="1">
      <c r="A3236" s="26" t="s">
        <v>8694</v>
      </c>
      <c r="B3236" s="235" t="s">
        <v>8697</v>
      </c>
      <c r="C3236" s="204" t="s">
        <v>2656</v>
      </c>
      <c r="D3236" s="204" t="s">
        <v>2276</v>
      </c>
      <c r="E3236" s="204" t="s">
        <v>2276</v>
      </c>
      <c r="F3236" s="204" t="s">
        <v>2276</v>
      </c>
      <c r="G3236" s="204" t="s">
        <v>55</v>
      </c>
      <c r="H3236" s="204" t="s">
        <v>523</v>
      </c>
      <c r="I3236" s="204"/>
      <c r="J3236" s="161">
        <f>(221)/30/'Record info'!K$1358</f>
        <v>2.9123245357412063E-5</v>
      </c>
      <c r="K3236" s="204" t="s">
        <v>2276</v>
      </c>
      <c r="L3236" s="204" t="s">
        <v>2276</v>
      </c>
      <c r="M3236" s="204" t="s">
        <v>2276</v>
      </c>
      <c r="N3236" s="204" t="s">
        <v>2276</v>
      </c>
      <c r="O3236" s="204" t="s">
        <v>2276</v>
      </c>
      <c r="P3236" s="21">
        <f>1405536.2/221</f>
        <v>6359.8923076923074</v>
      </c>
      <c r="Q3236" s="204" t="s">
        <v>2276</v>
      </c>
      <c r="R3236" s="204" t="s">
        <v>2276</v>
      </c>
      <c r="S3236" s="204" t="s">
        <v>2276</v>
      </c>
      <c r="T3236" s="21">
        <f>1405536.2/30</f>
        <v>46851.206666666665</v>
      </c>
      <c r="U3236" s="204" t="s">
        <v>2276</v>
      </c>
      <c r="V3236" s="204" t="s">
        <v>2276</v>
      </c>
      <c r="W3236" s="204" t="s">
        <v>2276</v>
      </c>
      <c r="X3236" s="21">
        <f>T3236/'Record info'!K$1358</f>
        <v>0.18522070412364069</v>
      </c>
      <c r="Y3236" s="204" t="s">
        <v>2276</v>
      </c>
      <c r="Z3236" s="204" t="s">
        <v>2276</v>
      </c>
      <c r="AA3236" s="204" t="s">
        <v>2276</v>
      </c>
      <c r="AB3236" s="204" t="s">
        <v>2276</v>
      </c>
      <c r="AC3236" s="4" t="s">
        <v>8704</v>
      </c>
      <c r="AD3236" s="204"/>
    </row>
    <row r="3237" spans="1:30" ht="47" customHeight="1">
      <c r="A3237" s="26" t="s">
        <v>8694</v>
      </c>
      <c r="B3237" s="235" t="s">
        <v>8698</v>
      </c>
      <c r="C3237" s="204" t="s">
        <v>31</v>
      </c>
      <c r="D3237" s="204" t="s">
        <v>2276</v>
      </c>
      <c r="E3237" s="204" t="s">
        <v>2653</v>
      </c>
      <c r="F3237" s="204" t="s">
        <v>2276</v>
      </c>
      <c r="G3237" s="204" t="s">
        <v>55</v>
      </c>
      <c r="H3237" s="204" t="s">
        <v>523</v>
      </c>
      <c r="I3237" s="204"/>
      <c r="J3237" s="161">
        <f>(471+363)/30/'Record info'!K$1358</f>
        <v>1.0990401189177222E-4</v>
      </c>
      <c r="K3237" s="204" t="s">
        <v>2276</v>
      </c>
      <c r="L3237" s="204" t="s">
        <v>2276</v>
      </c>
      <c r="M3237" s="204" t="s">
        <v>2276</v>
      </c>
      <c r="N3237" s="204" t="s">
        <v>2276</v>
      </c>
      <c r="O3237" s="204" t="s">
        <v>2276</v>
      </c>
      <c r="P3237" s="21">
        <f>(1702032.7 + 1955319.1) / (471 + 363)</f>
        <v>4385.3139088729013</v>
      </c>
      <c r="Q3237" s="204" t="s">
        <v>2276</v>
      </c>
      <c r="R3237" s="204" t="s">
        <v>2276</v>
      </c>
      <c r="S3237" s="204" t="s">
        <v>2276</v>
      </c>
      <c r="T3237" s="21">
        <f>(1702032.7 + 1955319.1)/30</f>
        <v>121911.72666666665</v>
      </c>
      <c r="U3237" s="204" t="s">
        <v>2276</v>
      </c>
      <c r="V3237" s="204" t="s">
        <v>2276</v>
      </c>
      <c r="W3237" s="204" t="s">
        <v>2276</v>
      </c>
      <c r="X3237" s="21">
        <f>T3237/'Record info'!K$1358</f>
        <v>0.48196359198992145</v>
      </c>
      <c r="Y3237" s="204" t="s">
        <v>2276</v>
      </c>
      <c r="Z3237" s="204" t="s">
        <v>2276</v>
      </c>
      <c r="AA3237" s="204" t="s">
        <v>2276</v>
      </c>
      <c r="AB3237" s="204" t="s">
        <v>2276</v>
      </c>
      <c r="AC3237" s="4" t="s">
        <v>8704</v>
      </c>
      <c r="AD3237" s="204"/>
    </row>
    <row r="3238" spans="1:30" ht="47" customHeight="1">
      <c r="A3238" s="26" t="s">
        <v>8694</v>
      </c>
      <c r="B3238" s="235" t="s">
        <v>8699</v>
      </c>
      <c r="C3238" s="204" t="s">
        <v>2458</v>
      </c>
      <c r="D3238" s="204" t="s">
        <v>2659</v>
      </c>
      <c r="E3238" s="204" t="s">
        <v>2276</v>
      </c>
      <c r="F3238" s="4" t="s">
        <v>28</v>
      </c>
      <c r="G3238" s="204" t="s">
        <v>55</v>
      </c>
      <c r="H3238" s="204" t="s">
        <v>523</v>
      </c>
      <c r="I3238" s="204"/>
      <c r="J3238" s="161">
        <f>(277/2)/30/'Record info'!K$1358</f>
        <v>1.825144561991661E-5</v>
      </c>
      <c r="K3238" s="204" t="s">
        <v>2276</v>
      </c>
      <c r="L3238" s="204" t="s">
        <v>2276</v>
      </c>
      <c r="M3238" s="204" t="s">
        <v>2276</v>
      </c>
      <c r="N3238" s="204" t="s">
        <v>2276</v>
      </c>
      <c r="O3238" s="204" t="s">
        <v>2276</v>
      </c>
      <c r="P3238" s="21">
        <f>1198237.1/2/(277/2)</f>
        <v>4325.7657039711194</v>
      </c>
      <c r="Q3238" s="204" t="s">
        <v>2276</v>
      </c>
      <c r="R3238" s="204" t="s">
        <v>2276</v>
      </c>
      <c r="S3238" s="204" t="s">
        <v>2276</v>
      </c>
      <c r="T3238" s="21">
        <f>1198237.1/2/30</f>
        <v>19970.618333333336</v>
      </c>
      <c r="U3238" s="204" t="s">
        <v>2276</v>
      </c>
      <c r="V3238" s="204" t="s">
        <v>2276</v>
      </c>
      <c r="W3238" s="204" t="s">
        <v>2276</v>
      </c>
      <c r="X3238" s="21">
        <f>T3238/'Record info'!K$1358</f>
        <v>7.8951477510529181E-2</v>
      </c>
      <c r="Y3238" s="204" t="s">
        <v>2276</v>
      </c>
      <c r="Z3238" s="204" t="s">
        <v>38</v>
      </c>
      <c r="AA3238" s="204" t="s">
        <v>86</v>
      </c>
      <c r="AB3238" s="204" t="s">
        <v>64</v>
      </c>
      <c r="AC3238" s="4" t="s">
        <v>8704</v>
      </c>
      <c r="AD3238" s="204"/>
    </row>
    <row r="3239" spans="1:30" ht="47" customHeight="1">
      <c r="A3239" s="26" t="s">
        <v>8694</v>
      </c>
      <c r="B3239" s="235" t="s">
        <v>8700</v>
      </c>
      <c r="C3239" s="204" t="s">
        <v>2458</v>
      </c>
      <c r="D3239" s="204" t="s">
        <v>25</v>
      </c>
      <c r="E3239" s="204" t="s">
        <v>45</v>
      </c>
      <c r="F3239" s="4" t="s">
        <v>29</v>
      </c>
      <c r="G3239" s="204" t="s">
        <v>55</v>
      </c>
      <c r="H3239" s="204" t="s">
        <v>523</v>
      </c>
      <c r="I3239" s="204"/>
      <c r="J3239" s="161">
        <f>(277/2)/30/'Record info'!K$1358</f>
        <v>1.825144561991661E-5</v>
      </c>
      <c r="K3239" s="204" t="s">
        <v>2276</v>
      </c>
      <c r="L3239" s="204" t="s">
        <v>2276</v>
      </c>
      <c r="M3239" s="204" t="s">
        <v>2276</v>
      </c>
      <c r="N3239" s="204" t="s">
        <v>2276</v>
      </c>
      <c r="O3239" s="204" t="s">
        <v>2276</v>
      </c>
      <c r="P3239" s="21">
        <f>1198237.1/2/(277/2)</f>
        <v>4325.7657039711194</v>
      </c>
      <c r="Q3239" s="204" t="s">
        <v>2276</v>
      </c>
      <c r="R3239" s="204" t="s">
        <v>2276</v>
      </c>
      <c r="S3239" s="204" t="s">
        <v>2276</v>
      </c>
      <c r="T3239" s="21">
        <f>1198237.1/2/30</f>
        <v>19970.618333333336</v>
      </c>
      <c r="U3239" s="204" t="s">
        <v>2276</v>
      </c>
      <c r="V3239" s="204" t="s">
        <v>2276</v>
      </c>
      <c r="W3239" s="204" t="s">
        <v>2276</v>
      </c>
      <c r="X3239" s="21">
        <f>T3239/'Record info'!K$1358</f>
        <v>7.8951477510529181E-2</v>
      </c>
      <c r="Y3239" s="204" t="s">
        <v>2276</v>
      </c>
      <c r="Z3239" s="204" t="s">
        <v>38</v>
      </c>
      <c r="AA3239" s="204" t="s">
        <v>86</v>
      </c>
      <c r="AB3239" s="204" t="s">
        <v>64</v>
      </c>
      <c r="AC3239" s="4" t="s">
        <v>8704</v>
      </c>
      <c r="AD3239" s="204"/>
    </row>
    <row r="3240" spans="1:30" ht="47" customHeight="1">
      <c r="A3240" s="26" t="s">
        <v>8694</v>
      </c>
      <c r="B3240" s="235" t="s">
        <v>8701</v>
      </c>
      <c r="C3240" s="204" t="s">
        <v>24</v>
      </c>
      <c r="D3240" s="204" t="s">
        <v>2346</v>
      </c>
      <c r="E3240" s="204" t="s">
        <v>2276</v>
      </c>
      <c r="F3240" s="4" t="s">
        <v>2276</v>
      </c>
      <c r="G3240" s="204" t="s">
        <v>55</v>
      </c>
      <c r="H3240" s="204" t="s">
        <v>523</v>
      </c>
      <c r="I3240" s="204"/>
      <c r="J3240" s="161">
        <f>(173)/30/'Record info'!K$1358</f>
        <v>2.2797834601051073E-5</v>
      </c>
      <c r="K3240" s="204" t="s">
        <v>2276</v>
      </c>
      <c r="L3240" s="204" t="s">
        <v>2276</v>
      </c>
      <c r="M3240" s="204" t="s">
        <v>2276</v>
      </c>
      <c r="N3240" s="204" t="s">
        <v>2276</v>
      </c>
      <c r="O3240" s="204" t="s">
        <v>2276</v>
      </c>
      <c r="P3240" s="21">
        <f>671793.5/173</f>
        <v>3883.1994219653179</v>
      </c>
      <c r="Q3240" s="204" t="s">
        <v>2276</v>
      </c>
      <c r="R3240" s="204" t="s">
        <v>2276</v>
      </c>
      <c r="S3240" s="204" t="s">
        <v>2276</v>
      </c>
      <c r="T3240" s="21">
        <f>671793.5/30</f>
        <v>22393.116666666665</v>
      </c>
      <c r="U3240" s="204" t="s">
        <v>2276</v>
      </c>
      <c r="V3240" s="204" t="s">
        <v>2276</v>
      </c>
      <c r="W3240" s="204" t="s">
        <v>2276</v>
      </c>
      <c r="X3240" s="21">
        <f>T3240/'Record info'!K$1358</f>
        <v>8.8528538144862445E-2</v>
      </c>
      <c r="Y3240" s="204" t="s">
        <v>2276</v>
      </c>
      <c r="Z3240" s="204" t="s">
        <v>2276</v>
      </c>
      <c r="AA3240" s="204" t="s">
        <v>2276</v>
      </c>
      <c r="AB3240" s="204" t="s">
        <v>2276</v>
      </c>
      <c r="AC3240" s="4" t="s">
        <v>8704</v>
      </c>
      <c r="AD3240" s="204"/>
    </row>
    <row r="3241" spans="1:30" ht="47" customHeight="1">
      <c r="A3241" s="26" t="s">
        <v>8694</v>
      </c>
      <c r="B3241" s="235" t="s">
        <v>8702</v>
      </c>
      <c r="C3241" s="204" t="s">
        <v>2458</v>
      </c>
      <c r="D3241" s="204" t="s">
        <v>2994</v>
      </c>
      <c r="E3241" s="204" t="s">
        <v>2276</v>
      </c>
      <c r="F3241" s="4" t="s">
        <v>2276</v>
      </c>
      <c r="G3241" s="204" t="s">
        <v>55</v>
      </c>
      <c r="H3241" s="204" t="s">
        <v>523</v>
      </c>
      <c r="I3241" s="204"/>
      <c r="J3241" s="161">
        <f>(99)/30/'Record info'!K$1358</f>
        <v>1.3046159684994543E-5</v>
      </c>
      <c r="K3241" s="204" t="s">
        <v>2276</v>
      </c>
      <c r="L3241" s="204" t="s">
        <v>2276</v>
      </c>
      <c r="M3241" s="204" t="s">
        <v>2276</v>
      </c>
      <c r="N3241" s="204" t="s">
        <v>2276</v>
      </c>
      <c r="O3241" s="204" t="s">
        <v>2276</v>
      </c>
      <c r="P3241" s="21">
        <f>151324.76/99</f>
        <v>1528.5329292929293</v>
      </c>
      <c r="Q3241" s="204" t="s">
        <v>2276</v>
      </c>
      <c r="R3241" s="204" t="s">
        <v>2276</v>
      </c>
      <c r="S3241" s="204" t="s">
        <v>2276</v>
      </c>
      <c r="T3241" s="21">
        <f>151324.76/30</f>
        <v>5044.1586666666672</v>
      </c>
      <c r="U3241" s="204" t="s">
        <v>2276</v>
      </c>
      <c r="V3241" s="204" t="s">
        <v>2276</v>
      </c>
      <c r="W3241" s="204" t="s">
        <v>2276</v>
      </c>
      <c r="X3241" s="21">
        <f>T3241/'Record info'!K$1358</f>
        <v>1.9941484679328034E-2</v>
      </c>
      <c r="Y3241" s="204" t="s">
        <v>2276</v>
      </c>
      <c r="Z3241" s="204" t="s">
        <v>2276</v>
      </c>
      <c r="AA3241" s="204" t="s">
        <v>2276</v>
      </c>
      <c r="AB3241" s="204" t="s">
        <v>2276</v>
      </c>
      <c r="AC3241" s="4" t="s">
        <v>8704</v>
      </c>
      <c r="AD3241" s="204"/>
    </row>
    <row r="3242" spans="1:30" ht="47" customHeight="1">
      <c r="A3242" s="26" t="s">
        <v>8694</v>
      </c>
      <c r="B3242" s="235" t="s">
        <v>8703</v>
      </c>
      <c r="C3242" s="204" t="s">
        <v>2458</v>
      </c>
      <c r="D3242" s="204" t="s">
        <v>406</v>
      </c>
      <c r="E3242" s="204" t="s">
        <v>2276</v>
      </c>
      <c r="F3242" s="4" t="s">
        <v>2276</v>
      </c>
      <c r="G3242" s="204" t="s">
        <v>55</v>
      </c>
      <c r="H3242" s="204" t="s">
        <v>523</v>
      </c>
      <c r="I3242" s="204"/>
      <c r="J3242" s="161">
        <f>(154)/30/'Record info'!K$1358</f>
        <v>2.0294026176658181E-5</v>
      </c>
      <c r="K3242" s="204" t="s">
        <v>2276</v>
      </c>
      <c r="L3242" s="204" t="s">
        <v>2276</v>
      </c>
      <c r="M3242" s="204" t="s">
        <v>2276</v>
      </c>
      <c r="N3242" s="204" t="s">
        <v>2276</v>
      </c>
      <c r="O3242" s="204" t="s">
        <v>2276</v>
      </c>
      <c r="P3242" s="21">
        <f>22974.26/154</f>
        <v>149.18350649350648</v>
      </c>
      <c r="Q3242" s="204" t="s">
        <v>2276</v>
      </c>
      <c r="R3242" s="204" t="s">
        <v>2276</v>
      </c>
      <c r="S3242" s="204" t="s">
        <v>2276</v>
      </c>
      <c r="T3242" s="21">
        <f>22974.26/30</f>
        <v>765.80866666666657</v>
      </c>
      <c r="U3242" s="204" t="s">
        <v>2276</v>
      </c>
      <c r="V3242" s="204" t="s">
        <v>2276</v>
      </c>
      <c r="W3242" s="204" t="s">
        <v>2276</v>
      </c>
      <c r="X3242" s="21">
        <f>T3242/'Record info'!K$1358</f>
        <v>3.0275339859048762E-3</v>
      </c>
      <c r="Y3242" s="204" t="s">
        <v>2276</v>
      </c>
      <c r="Z3242" s="204" t="s">
        <v>2276</v>
      </c>
      <c r="AA3242" s="204" t="s">
        <v>2276</v>
      </c>
      <c r="AB3242" s="204" t="s">
        <v>2276</v>
      </c>
      <c r="AC3242" s="4" t="s">
        <v>8704</v>
      </c>
      <c r="AD3242" s="204"/>
    </row>
    <row r="3243" spans="1:30" ht="43.5" customHeight="1">
      <c r="A3243" s="26" t="s">
        <v>8707</v>
      </c>
      <c r="B3243" s="26" t="s">
        <v>8709</v>
      </c>
      <c r="C3243" s="204" t="s">
        <v>24</v>
      </c>
      <c r="D3243" s="204" t="s">
        <v>2659</v>
      </c>
      <c r="E3243" s="4" t="s">
        <v>396</v>
      </c>
      <c r="F3243" s="4" t="s">
        <v>28</v>
      </c>
      <c r="G3243" s="4" t="s">
        <v>28</v>
      </c>
      <c r="H3243" s="204" t="s">
        <v>523</v>
      </c>
      <c r="I3243" s="204"/>
      <c r="J3243" s="21">
        <f>100*35/(35*0.9)</f>
        <v>111.11111111111111</v>
      </c>
      <c r="K3243" s="204" t="s">
        <v>2276</v>
      </c>
      <c r="L3243" s="204" t="s">
        <v>2276</v>
      </c>
      <c r="M3243" s="204" t="s">
        <v>2276</v>
      </c>
      <c r="N3243" s="204" t="s">
        <v>2276</v>
      </c>
      <c r="O3243" s="21">
        <v>0.9</v>
      </c>
      <c r="P3243" s="204" t="s">
        <v>2276</v>
      </c>
      <c r="Q3243" s="204" t="s">
        <v>2276</v>
      </c>
      <c r="R3243" s="204" t="s">
        <v>2276</v>
      </c>
      <c r="S3243" s="21">
        <f>35*0.9</f>
        <v>31.5</v>
      </c>
      <c r="T3243" s="204" t="s">
        <v>2276</v>
      </c>
      <c r="U3243" s="21">
        <v>100</v>
      </c>
      <c r="V3243" s="204" t="s">
        <v>2276</v>
      </c>
      <c r="W3243" s="21">
        <v>100</v>
      </c>
      <c r="X3243" s="204" t="s">
        <v>2276</v>
      </c>
      <c r="Y3243" s="21">
        <v>1</v>
      </c>
      <c r="Z3243" s="204" t="s">
        <v>188</v>
      </c>
      <c r="AA3243" s="204" t="s">
        <v>188</v>
      </c>
      <c r="AB3243" s="204" t="s">
        <v>2276</v>
      </c>
      <c r="AC3243" s="204" t="s">
        <v>8713</v>
      </c>
      <c r="AD3243" s="204"/>
    </row>
    <row r="3244" spans="1:30" ht="43.5" customHeight="1">
      <c r="A3244" s="26" t="s">
        <v>8707</v>
      </c>
      <c r="B3244" s="26" t="s">
        <v>8710</v>
      </c>
      <c r="C3244" s="204" t="s">
        <v>24</v>
      </c>
      <c r="D3244" s="204" t="s">
        <v>2659</v>
      </c>
      <c r="E3244" s="4" t="s">
        <v>396</v>
      </c>
      <c r="F3244" s="4" t="s">
        <v>28</v>
      </c>
      <c r="G3244" s="4" t="s">
        <v>28</v>
      </c>
      <c r="H3244" s="204" t="s">
        <v>523</v>
      </c>
      <c r="I3244" s="204"/>
      <c r="J3244" s="21">
        <f>100*35*0.22/(35*0.9)</f>
        <v>24.444444444444443</v>
      </c>
      <c r="K3244" s="204" t="s">
        <v>2276</v>
      </c>
      <c r="L3244" s="204" t="s">
        <v>2276</v>
      </c>
      <c r="M3244" s="204" t="s">
        <v>2276</v>
      </c>
      <c r="N3244" s="204" t="s">
        <v>2276</v>
      </c>
      <c r="O3244" s="21">
        <v>0.9</v>
      </c>
      <c r="P3244" s="204" t="s">
        <v>2276</v>
      </c>
      <c r="Q3244" s="204" t="s">
        <v>2276</v>
      </c>
      <c r="R3244" s="204" t="s">
        <v>2276</v>
      </c>
      <c r="S3244" s="21">
        <f>35*0.9*0.22</f>
        <v>6.93</v>
      </c>
      <c r="T3244" s="204" t="s">
        <v>2276</v>
      </c>
      <c r="U3244" s="21">
        <v>22</v>
      </c>
      <c r="V3244" s="204" t="s">
        <v>2276</v>
      </c>
      <c r="W3244" s="21">
        <v>22</v>
      </c>
      <c r="X3244" s="204" t="s">
        <v>2276</v>
      </c>
      <c r="Y3244" s="204" t="s">
        <v>2276</v>
      </c>
      <c r="Z3244" s="204" t="s">
        <v>86</v>
      </c>
      <c r="AA3244" s="204" t="s">
        <v>86</v>
      </c>
      <c r="AB3244" s="204" t="s">
        <v>2276</v>
      </c>
      <c r="AC3244" s="204" t="s">
        <v>8713</v>
      </c>
      <c r="AD3244" s="204"/>
    </row>
    <row r="3245" spans="1:30" ht="43.5" customHeight="1">
      <c r="A3245" s="26" t="s">
        <v>8707</v>
      </c>
      <c r="B3245" s="26" t="s">
        <v>8711</v>
      </c>
      <c r="C3245" s="204" t="s">
        <v>24</v>
      </c>
      <c r="D3245" s="204" t="s">
        <v>2659</v>
      </c>
      <c r="E3245" s="4" t="s">
        <v>396</v>
      </c>
      <c r="F3245" s="4" t="s">
        <v>28</v>
      </c>
      <c r="G3245" s="4" t="s">
        <v>28</v>
      </c>
      <c r="H3245" s="204" t="s">
        <v>523</v>
      </c>
      <c r="I3245" s="204"/>
      <c r="J3245" s="21">
        <f>100*35*0.05/(35*0.9)</f>
        <v>5.5555555555555554</v>
      </c>
      <c r="K3245" s="204" t="s">
        <v>2276</v>
      </c>
      <c r="L3245" s="204" t="s">
        <v>2276</v>
      </c>
      <c r="M3245" s="204" t="s">
        <v>2276</v>
      </c>
      <c r="N3245" s="204" t="s">
        <v>2276</v>
      </c>
      <c r="O3245" s="21">
        <v>0.9</v>
      </c>
      <c r="P3245" s="204" t="s">
        <v>2276</v>
      </c>
      <c r="Q3245" s="204" t="s">
        <v>2276</v>
      </c>
      <c r="R3245" s="204" t="s">
        <v>2276</v>
      </c>
      <c r="S3245" s="21">
        <f>3.5*0.9*0.01</f>
        <v>3.15E-2</v>
      </c>
      <c r="T3245" s="204" t="s">
        <v>2276</v>
      </c>
      <c r="U3245" s="21">
        <v>1</v>
      </c>
      <c r="V3245" s="204" t="s">
        <v>2276</v>
      </c>
      <c r="W3245" s="21">
        <v>1</v>
      </c>
      <c r="X3245" s="204" t="s">
        <v>2276</v>
      </c>
      <c r="Y3245" s="204" t="s">
        <v>2276</v>
      </c>
      <c r="Z3245" s="204" t="s">
        <v>425</v>
      </c>
      <c r="AA3245" s="204" t="s">
        <v>425</v>
      </c>
      <c r="AB3245" s="204" t="s">
        <v>2276</v>
      </c>
      <c r="AC3245" s="204" t="s">
        <v>8713</v>
      </c>
      <c r="AD3245" s="204"/>
    </row>
    <row r="3246" spans="1:30" ht="49" customHeight="1">
      <c r="A3246" s="26" t="s">
        <v>8717</v>
      </c>
      <c r="B3246" s="26" t="s">
        <v>8718</v>
      </c>
      <c r="C3246" s="204" t="s">
        <v>24</v>
      </c>
      <c r="D3246" s="204" t="s">
        <v>2659</v>
      </c>
      <c r="E3246" s="4" t="s">
        <v>396</v>
      </c>
      <c r="F3246" s="4" t="s">
        <v>28</v>
      </c>
      <c r="G3246" s="4" t="s">
        <v>28</v>
      </c>
      <c r="H3246" s="204" t="s">
        <v>523</v>
      </c>
      <c r="I3246" s="204"/>
      <c r="J3246" s="204" t="s">
        <v>2276</v>
      </c>
      <c r="K3246" s="21">
        <f>0.5*150/(100^2)</f>
        <v>7.4999999999999997E-3</v>
      </c>
      <c r="L3246" s="204" t="s">
        <v>2276</v>
      </c>
      <c r="M3246" s="21">
        <f>2280/(100^2)</f>
        <v>0.22800000000000001</v>
      </c>
      <c r="N3246" s="204" t="s">
        <v>2276</v>
      </c>
      <c r="O3246" s="21">
        <f>0.5*790/(100^2)</f>
        <v>3.95E-2</v>
      </c>
      <c r="P3246" s="204" t="s">
        <v>2276</v>
      </c>
      <c r="Q3246" s="204" t="s">
        <v>2276</v>
      </c>
      <c r="R3246" s="204" t="s">
        <v>2276</v>
      </c>
      <c r="S3246" s="204" t="s">
        <v>2276</v>
      </c>
      <c r="T3246" s="204" t="s">
        <v>2276</v>
      </c>
      <c r="U3246" s="204" t="s">
        <v>2276</v>
      </c>
      <c r="V3246" s="204" t="s">
        <v>2276</v>
      </c>
      <c r="W3246" s="204" t="s">
        <v>2276</v>
      </c>
      <c r="X3246" s="204" t="s">
        <v>2276</v>
      </c>
      <c r="Y3246" s="204" t="s">
        <v>2276</v>
      </c>
      <c r="Z3246" s="204" t="s">
        <v>34</v>
      </c>
      <c r="AA3246" s="204" t="s">
        <v>34</v>
      </c>
      <c r="AB3246" s="204" t="s">
        <v>2276</v>
      </c>
      <c r="AC3246" s="4" t="s">
        <v>8727</v>
      </c>
      <c r="AD3246" s="204" t="s">
        <v>8729</v>
      </c>
    </row>
    <row r="3247" spans="1:30" ht="48" customHeight="1">
      <c r="A3247" s="26" t="s">
        <v>8717</v>
      </c>
      <c r="B3247" s="26" t="s">
        <v>8719</v>
      </c>
      <c r="C3247" s="204" t="s">
        <v>24</v>
      </c>
      <c r="D3247" s="204" t="s">
        <v>2659</v>
      </c>
      <c r="E3247" s="4" t="s">
        <v>397</v>
      </c>
      <c r="F3247" s="4" t="s">
        <v>28</v>
      </c>
      <c r="G3247" s="4" t="s">
        <v>28</v>
      </c>
      <c r="H3247" s="204" t="s">
        <v>523</v>
      </c>
      <c r="I3247" s="204"/>
      <c r="J3247" s="204" t="s">
        <v>2276</v>
      </c>
      <c r="K3247" s="21">
        <f>0.1*150/(100^2)</f>
        <v>1.5E-3</v>
      </c>
      <c r="L3247" s="204" t="s">
        <v>2276</v>
      </c>
      <c r="M3247" s="21">
        <f>0.1*2280/(100^2)</f>
        <v>2.2800000000000001E-2</v>
      </c>
      <c r="N3247" s="204" t="s">
        <v>2276</v>
      </c>
      <c r="O3247" s="21">
        <f>0.1*790/(100^2)</f>
        <v>7.9000000000000008E-3</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34</v>
      </c>
      <c r="AA3247" s="204" t="s">
        <v>34</v>
      </c>
      <c r="AB3247" s="204" t="s">
        <v>2276</v>
      </c>
      <c r="AC3247" s="4" t="s">
        <v>8728</v>
      </c>
      <c r="AD3247" s="204" t="s">
        <v>8729</v>
      </c>
    </row>
    <row r="3248" spans="1:30" ht="46" customHeight="1">
      <c r="A3248" s="26" t="s">
        <v>8717</v>
      </c>
      <c r="B3248" s="26" t="s">
        <v>8720</v>
      </c>
      <c r="C3248" s="204" t="s">
        <v>24</v>
      </c>
      <c r="D3248" s="204" t="s">
        <v>2659</v>
      </c>
      <c r="E3248" s="4" t="s">
        <v>396</v>
      </c>
      <c r="F3248" s="4" t="s">
        <v>28</v>
      </c>
      <c r="G3248" s="4" t="s">
        <v>28</v>
      </c>
      <c r="H3248" s="204" t="s">
        <v>523</v>
      </c>
      <c r="I3248" s="204"/>
      <c r="J3248" s="21" t="s">
        <v>2276</v>
      </c>
      <c r="K3248" s="21">
        <v>7.4999999999999997E-3</v>
      </c>
      <c r="L3248" s="21" t="s">
        <v>2276</v>
      </c>
      <c r="M3248" s="21">
        <v>0.22800000000000001</v>
      </c>
      <c r="N3248" s="21" t="s">
        <v>2276</v>
      </c>
      <c r="O3248" s="21">
        <v>3.95E-2</v>
      </c>
      <c r="P3248" s="21" t="s">
        <v>2276</v>
      </c>
      <c r="Q3248" s="21" t="s">
        <v>2276</v>
      </c>
      <c r="R3248" s="21" t="s">
        <v>2276</v>
      </c>
      <c r="S3248" s="21" t="s">
        <v>2276</v>
      </c>
      <c r="T3248" s="21" t="s">
        <v>2276</v>
      </c>
      <c r="U3248" s="204" t="s">
        <v>2276</v>
      </c>
      <c r="V3248" s="204" t="s">
        <v>2276</v>
      </c>
      <c r="W3248" s="204" t="s">
        <v>2276</v>
      </c>
      <c r="X3248" s="204" t="s">
        <v>2276</v>
      </c>
      <c r="Y3248" s="204" t="s">
        <v>2276</v>
      </c>
      <c r="Z3248" s="204" t="s">
        <v>425</v>
      </c>
      <c r="AA3248" s="204" t="s">
        <v>68</v>
      </c>
      <c r="AB3248" s="204" t="s">
        <v>76</v>
      </c>
      <c r="AC3248" s="4" t="s">
        <v>8727</v>
      </c>
      <c r="AD3248" s="204" t="s">
        <v>8729</v>
      </c>
    </row>
    <row r="3249" spans="1:30" ht="43.5" customHeight="1">
      <c r="A3249" s="26" t="s">
        <v>8717</v>
      </c>
      <c r="B3249" s="26" t="s">
        <v>8721</v>
      </c>
      <c r="C3249" s="204" t="s">
        <v>24</v>
      </c>
      <c r="D3249" s="204" t="s">
        <v>2659</v>
      </c>
      <c r="E3249" s="4" t="s">
        <v>397</v>
      </c>
      <c r="F3249" s="4" t="s">
        <v>28</v>
      </c>
      <c r="G3249" s="4" t="s">
        <v>28</v>
      </c>
      <c r="H3249" s="204" t="s">
        <v>523</v>
      </c>
      <c r="I3249" s="38"/>
      <c r="J3249" s="21" t="s">
        <v>2276</v>
      </c>
      <c r="K3249" s="21">
        <v>1.5E-3</v>
      </c>
      <c r="L3249" s="21" t="s">
        <v>2276</v>
      </c>
      <c r="M3249" s="21">
        <v>2.2800000000000001E-2</v>
      </c>
      <c r="N3249" s="21" t="s">
        <v>2276</v>
      </c>
      <c r="O3249" s="21">
        <v>7.9000000000000008E-3</v>
      </c>
      <c r="P3249" s="21" t="s">
        <v>2276</v>
      </c>
      <c r="Q3249" s="21" t="s">
        <v>2276</v>
      </c>
      <c r="R3249" s="21" t="s">
        <v>2276</v>
      </c>
      <c r="S3249" s="21" t="s">
        <v>2276</v>
      </c>
      <c r="T3249" s="21" t="s">
        <v>2276</v>
      </c>
      <c r="U3249" s="204" t="s">
        <v>2276</v>
      </c>
      <c r="V3249" s="204" t="s">
        <v>2276</v>
      </c>
      <c r="W3249" s="204" t="s">
        <v>2276</v>
      </c>
      <c r="X3249" s="204" t="s">
        <v>2276</v>
      </c>
      <c r="Y3249" s="204" t="s">
        <v>2276</v>
      </c>
      <c r="Z3249" s="204" t="s">
        <v>425</v>
      </c>
      <c r="AA3249" s="204" t="s">
        <v>68</v>
      </c>
      <c r="AB3249" s="204" t="s">
        <v>76</v>
      </c>
      <c r="AC3249" s="4" t="s">
        <v>8728</v>
      </c>
      <c r="AD3249" s="204" t="s">
        <v>8729</v>
      </c>
    </row>
    <row r="3250" spans="1:30" ht="43.5" customHeight="1">
      <c r="A3250" s="26" t="s">
        <v>8717</v>
      </c>
      <c r="B3250" s="26" t="s">
        <v>8722</v>
      </c>
      <c r="C3250" s="204" t="s">
        <v>24</v>
      </c>
      <c r="D3250" s="204" t="s">
        <v>2659</v>
      </c>
      <c r="E3250" s="4" t="s">
        <v>1105</v>
      </c>
      <c r="F3250" s="4" t="s">
        <v>28</v>
      </c>
      <c r="G3250" s="4" t="s">
        <v>28</v>
      </c>
      <c r="H3250" s="204" t="s">
        <v>523</v>
      </c>
      <c r="I3250" s="204"/>
      <c r="J3250" s="21" t="s">
        <v>2276</v>
      </c>
      <c r="K3250" s="21">
        <f>AVERAGE(K3248:K3249)</f>
        <v>4.4999999999999997E-3</v>
      </c>
      <c r="L3250" s="21" t="s">
        <v>2276</v>
      </c>
      <c r="M3250" s="21">
        <f>AVERAGE(M3248:M3249)</f>
        <v>0.12540000000000001</v>
      </c>
      <c r="N3250" s="21" t="s">
        <v>2276</v>
      </c>
      <c r="O3250" s="21">
        <f>AVERAGE(O3248:O3249)</f>
        <v>2.3699999999999999E-2</v>
      </c>
      <c r="P3250" s="21" t="s">
        <v>2276</v>
      </c>
      <c r="Q3250" s="21" t="s">
        <v>2276</v>
      </c>
      <c r="R3250" s="21" t="s">
        <v>2276</v>
      </c>
      <c r="S3250" s="21" t="s">
        <v>2276</v>
      </c>
      <c r="T3250" s="21" t="s">
        <v>2276</v>
      </c>
      <c r="U3250" s="204" t="s">
        <v>2276</v>
      </c>
      <c r="V3250" s="204" t="s">
        <v>2276</v>
      </c>
      <c r="W3250" s="204" t="s">
        <v>2276</v>
      </c>
      <c r="X3250" s="204" t="s">
        <v>2276</v>
      </c>
      <c r="Y3250" s="204" t="s">
        <v>2276</v>
      </c>
      <c r="Z3250" s="204" t="s">
        <v>34</v>
      </c>
      <c r="AA3250" s="204" t="s">
        <v>34</v>
      </c>
      <c r="AB3250" s="204" t="s">
        <v>2276</v>
      </c>
      <c r="AC3250" s="204"/>
      <c r="AD3250" s="204"/>
    </row>
    <row r="3251" spans="1:30" ht="43.5" customHeight="1">
      <c r="A3251" s="26" t="s">
        <v>8717</v>
      </c>
      <c r="B3251" s="26" t="s">
        <v>8723</v>
      </c>
      <c r="C3251" s="204" t="s">
        <v>24</v>
      </c>
      <c r="D3251" s="204" t="s">
        <v>2659</v>
      </c>
      <c r="E3251" s="4" t="s">
        <v>1105</v>
      </c>
      <c r="F3251" s="4" t="s">
        <v>28</v>
      </c>
      <c r="G3251" s="4" t="s">
        <v>28</v>
      </c>
      <c r="H3251" s="204" t="s">
        <v>523</v>
      </c>
      <c r="I3251" s="204"/>
      <c r="J3251" s="21" t="s">
        <v>2276</v>
      </c>
      <c r="K3251" s="21">
        <v>4.4999999999999997E-3</v>
      </c>
      <c r="L3251" s="21" t="s">
        <v>2276</v>
      </c>
      <c r="M3251" s="21">
        <v>0.12540000000000001</v>
      </c>
      <c r="N3251" s="21" t="s">
        <v>2276</v>
      </c>
      <c r="O3251" s="21">
        <v>2.3699999999999999E-2</v>
      </c>
      <c r="P3251" s="21" t="s">
        <v>2276</v>
      </c>
      <c r="Q3251" s="21" t="s">
        <v>2276</v>
      </c>
      <c r="R3251" s="21" t="s">
        <v>2276</v>
      </c>
      <c r="S3251" s="21" t="s">
        <v>2276</v>
      </c>
      <c r="T3251" s="21" t="s">
        <v>2276</v>
      </c>
      <c r="U3251" s="204" t="s">
        <v>2276</v>
      </c>
      <c r="V3251" s="204" t="s">
        <v>2276</v>
      </c>
      <c r="W3251" s="204" t="s">
        <v>2276</v>
      </c>
      <c r="X3251" s="204" t="s">
        <v>2276</v>
      </c>
      <c r="Y3251" s="204" t="s">
        <v>2276</v>
      </c>
      <c r="Z3251" s="204" t="s">
        <v>425</v>
      </c>
      <c r="AA3251" s="204" t="s">
        <v>68</v>
      </c>
      <c r="AB3251" s="204" t="s">
        <v>76</v>
      </c>
      <c r="AC3251" s="204"/>
      <c r="AD3251" s="204"/>
    </row>
    <row r="3252" spans="1:30" ht="41" customHeight="1">
      <c r="A3252" s="26" t="s">
        <v>8731</v>
      </c>
      <c r="B3252" s="26" t="s">
        <v>8733</v>
      </c>
      <c r="C3252" s="204" t="s">
        <v>24</v>
      </c>
      <c r="D3252" s="204" t="s">
        <v>2659</v>
      </c>
      <c r="E3252" s="204" t="s">
        <v>84</v>
      </c>
      <c r="F3252" s="4" t="s">
        <v>28</v>
      </c>
      <c r="G3252" s="4" t="s">
        <v>28</v>
      </c>
      <c r="H3252" s="204" t="s">
        <v>523</v>
      </c>
      <c r="I3252" s="204"/>
      <c r="J3252" s="21">
        <f>15069*('Land use'!P1361/SUM('Land use'!O1361:P1361))/'Record info'!K1361</f>
        <v>9.0014863760510849E-2</v>
      </c>
      <c r="K3252" s="21" t="s">
        <v>2276</v>
      </c>
      <c r="L3252" s="21">
        <f>1*0.404686</f>
        <v>0.40468599999999999</v>
      </c>
      <c r="M3252" s="21" t="s">
        <v>2276</v>
      </c>
      <c r="N3252" s="21" t="s">
        <v>2276</v>
      </c>
      <c r="O3252" s="21" t="s">
        <v>2276</v>
      </c>
      <c r="P3252" s="21" t="s">
        <v>2276</v>
      </c>
      <c r="Q3252" s="21" t="s">
        <v>2276</v>
      </c>
      <c r="R3252" s="21" t="s">
        <v>2276</v>
      </c>
      <c r="S3252" s="21" t="s">
        <v>2276</v>
      </c>
      <c r="T3252" s="21" t="s">
        <v>2276</v>
      </c>
      <c r="U3252" s="21" t="s">
        <v>2276</v>
      </c>
      <c r="V3252" s="21" t="s">
        <v>2276</v>
      </c>
      <c r="W3252" s="21" t="s">
        <v>2276</v>
      </c>
      <c r="X3252" s="21" t="s">
        <v>2276</v>
      </c>
      <c r="Y3252" s="21" t="s">
        <v>2276</v>
      </c>
      <c r="Z3252" s="204" t="s">
        <v>189</v>
      </c>
      <c r="AA3252" s="204" t="s">
        <v>34</v>
      </c>
      <c r="AB3252" s="204" t="s">
        <v>2655</v>
      </c>
      <c r="AC3252" s="19" t="s">
        <v>8744</v>
      </c>
      <c r="AD3252" s="19" t="s">
        <v>8745</v>
      </c>
    </row>
    <row r="3253" spans="1:30" ht="39" customHeight="1">
      <c r="A3253" s="26" t="s">
        <v>8731</v>
      </c>
      <c r="B3253" s="26" t="s">
        <v>8734</v>
      </c>
      <c r="C3253" s="204" t="s">
        <v>24</v>
      </c>
      <c r="D3253" s="204" t="s">
        <v>25</v>
      </c>
      <c r="E3253" s="204" t="s">
        <v>45</v>
      </c>
      <c r="F3253" s="4" t="s">
        <v>55</v>
      </c>
      <c r="G3253" s="4" t="s">
        <v>55</v>
      </c>
      <c r="H3253" s="204" t="s">
        <v>523</v>
      </c>
      <c r="I3253" s="204"/>
      <c r="J3253" s="21">
        <f>15069*('Land use'!O1361/SUM('Land use'!O1361:P1361))/'Record info'!K1361</f>
        <v>7.8936406154515599E-3</v>
      </c>
      <c r="K3253" s="21" t="s">
        <v>2276</v>
      </c>
      <c r="L3253" s="21">
        <f>1*0.404686</f>
        <v>0.40468599999999999</v>
      </c>
      <c r="M3253" s="21" t="s">
        <v>2276</v>
      </c>
      <c r="N3253" s="21" t="s">
        <v>2276</v>
      </c>
      <c r="O3253" s="21" t="s">
        <v>2276</v>
      </c>
      <c r="P3253" s="21" t="s">
        <v>2276</v>
      </c>
      <c r="Q3253" s="21" t="s">
        <v>2276</v>
      </c>
      <c r="R3253" s="21" t="s">
        <v>2276</v>
      </c>
      <c r="S3253" s="21" t="s">
        <v>2276</v>
      </c>
      <c r="T3253" s="21" t="s">
        <v>2276</v>
      </c>
      <c r="U3253" s="21" t="s">
        <v>2276</v>
      </c>
      <c r="V3253" s="21" t="s">
        <v>2276</v>
      </c>
      <c r="W3253" s="21" t="s">
        <v>2276</v>
      </c>
      <c r="X3253" s="21" t="s">
        <v>2276</v>
      </c>
      <c r="Y3253" s="21" t="s">
        <v>2276</v>
      </c>
      <c r="Z3253" s="204" t="s">
        <v>189</v>
      </c>
      <c r="AA3253" s="204" t="s">
        <v>34</v>
      </c>
      <c r="AB3253" s="204" t="s">
        <v>2655</v>
      </c>
      <c r="AC3253" s="19" t="s">
        <v>8744</v>
      </c>
      <c r="AD3253" s="19" t="s">
        <v>8745</v>
      </c>
    </row>
    <row r="3254" spans="1:30" ht="66.5" customHeight="1">
      <c r="A3254" s="26" t="s">
        <v>8736</v>
      </c>
      <c r="B3254" s="26" t="s">
        <v>8738</v>
      </c>
      <c r="C3254" s="204" t="s">
        <v>24</v>
      </c>
      <c r="D3254" s="204" t="s">
        <v>2276</v>
      </c>
      <c r="E3254" s="4" t="s">
        <v>1105</v>
      </c>
      <c r="F3254" s="4" t="s">
        <v>2662</v>
      </c>
      <c r="G3254" s="4" t="s">
        <v>2662</v>
      </c>
      <c r="H3254" s="204" t="s">
        <v>523</v>
      </c>
      <c r="I3254" s="204"/>
      <c r="J3254" s="21" t="s">
        <v>2276</v>
      </c>
      <c r="K3254" s="21" t="s">
        <v>2276</v>
      </c>
      <c r="L3254" s="21" t="s">
        <v>2276</v>
      </c>
      <c r="M3254" s="21" t="s">
        <v>2276</v>
      </c>
      <c r="N3254" s="21" t="s">
        <v>2276</v>
      </c>
      <c r="O3254" s="21" t="s">
        <v>2276</v>
      </c>
      <c r="P3254" s="21" t="s">
        <v>2276</v>
      </c>
      <c r="Q3254" s="21" t="s">
        <v>2276</v>
      </c>
      <c r="R3254" s="21" t="s">
        <v>2276</v>
      </c>
      <c r="S3254" s="21" t="s">
        <v>2276</v>
      </c>
      <c r="T3254" s="21">
        <f>461600/0.404686</f>
        <v>1140637.4324785143</v>
      </c>
      <c r="U3254" s="21" t="s">
        <v>2276</v>
      </c>
      <c r="V3254" s="21" t="s">
        <v>2276</v>
      </c>
      <c r="W3254" s="21" t="s">
        <v>2276</v>
      </c>
      <c r="X3254" s="21">
        <f>T3254/'Record info'!K1362</f>
        <v>5.3525923626396725</v>
      </c>
      <c r="Y3254" s="21" t="s">
        <v>2276</v>
      </c>
      <c r="Z3254" s="21" t="s">
        <v>2276</v>
      </c>
      <c r="AA3254" s="21" t="s">
        <v>2276</v>
      </c>
      <c r="AB3254" s="21" t="s">
        <v>2276</v>
      </c>
      <c r="AC3254" s="4" t="s">
        <v>8746</v>
      </c>
      <c r="AD3254" s="204"/>
    </row>
    <row r="3255" spans="1:30" ht="66.5" customHeight="1">
      <c r="A3255" s="26" t="s">
        <v>8737</v>
      </c>
      <c r="B3255" s="26" t="s">
        <v>8740</v>
      </c>
      <c r="C3255" s="204" t="s">
        <v>24</v>
      </c>
      <c r="D3255" s="204" t="s">
        <v>2276</v>
      </c>
      <c r="E3255" s="4" t="s">
        <v>1105</v>
      </c>
      <c r="F3255" s="4" t="s">
        <v>2662</v>
      </c>
      <c r="G3255" s="4" t="s">
        <v>2662</v>
      </c>
      <c r="H3255" s="204" t="s">
        <v>523</v>
      </c>
      <c r="I3255" s="204"/>
      <c r="J3255" s="21" t="s">
        <v>2276</v>
      </c>
      <c r="K3255" s="21" t="s">
        <v>2276</v>
      </c>
      <c r="L3255" s="21" t="s">
        <v>2276</v>
      </c>
      <c r="M3255" s="21" t="s">
        <v>2276</v>
      </c>
      <c r="N3255" s="21" t="s">
        <v>2276</v>
      </c>
      <c r="O3255" s="21" t="s">
        <v>2276</v>
      </c>
      <c r="P3255" s="21" t="s">
        <v>2276</v>
      </c>
      <c r="Q3255" s="21" t="s">
        <v>2276</v>
      </c>
      <c r="R3255" s="21" t="s">
        <v>2276</v>
      </c>
      <c r="S3255" s="21" t="s">
        <v>2276</v>
      </c>
      <c r="T3255" s="21">
        <f>299600/0.404686</f>
        <v>740327.068393767</v>
      </c>
      <c r="U3255" s="21" t="s">
        <v>2276</v>
      </c>
      <c r="V3255" s="21" t="s">
        <v>2276</v>
      </c>
      <c r="W3255" s="21" t="s">
        <v>2276</v>
      </c>
      <c r="X3255" s="21">
        <f>T3255/'Record info'!K1363</f>
        <v>4.0893688494272826</v>
      </c>
      <c r="Y3255" s="21" t="s">
        <v>2276</v>
      </c>
      <c r="Z3255" s="21" t="s">
        <v>2276</v>
      </c>
      <c r="AA3255" s="21" t="s">
        <v>2276</v>
      </c>
      <c r="AB3255" s="21" t="s">
        <v>2276</v>
      </c>
      <c r="AC3255" s="4" t="s">
        <v>8746</v>
      </c>
      <c r="AD3255" s="204"/>
    </row>
    <row r="3256" spans="1:30" ht="66.5" customHeight="1">
      <c r="A3256" s="26" t="s">
        <v>8736</v>
      </c>
      <c r="B3256" s="26" t="s">
        <v>8739</v>
      </c>
      <c r="C3256" s="204" t="s">
        <v>24</v>
      </c>
      <c r="D3256" s="204" t="s">
        <v>2804</v>
      </c>
      <c r="E3256" s="204" t="s">
        <v>45</v>
      </c>
      <c r="F3256" s="4" t="s">
        <v>2662</v>
      </c>
      <c r="G3256" s="4" t="s">
        <v>2662</v>
      </c>
      <c r="H3256" s="204" t="s">
        <v>523</v>
      </c>
      <c r="I3256" s="204"/>
      <c r="J3256" s="21" t="s">
        <v>2276</v>
      </c>
      <c r="K3256" s="21" t="s">
        <v>2276</v>
      </c>
      <c r="L3256" s="21" t="s">
        <v>2276</v>
      </c>
      <c r="M3256" s="21" t="s">
        <v>2276</v>
      </c>
      <c r="N3256" s="21" t="s">
        <v>2276</v>
      </c>
      <c r="O3256" s="21" t="s">
        <v>2276</v>
      </c>
      <c r="P3256" s="21" t="s">
        <v>2276</v>
      </c>
      <c r="Q3256" s="21" t="s">
        <v>2276</v>
      </c>
      <c r="R3256" s="21" t="s">
        <v>2276</v>
      </c>
      <c r="S3256" s="21" t="s">
        <v>2276</v>
      </c>
      <c r="T3256" s="21" t="s">
        <v>2276</v>
      </c>
      <c r="U3256" s="21" t="s">
        <v>2276</v>
      </c>
      <c r="V3256" s="21" t="s">
        <v>2276</v>
      </c>
      <c r="W3256" s="21" t="s">
        <v>2276</v>
      </c>
      <c r="X3256" s="21" t="s">
        <v>2276</v>
      </c>
      <c r="Y3256" s="21" t="s">
        <v>2276</v>
      </c>
      <c r="Z3256" s="21" t="s">
        <v>2276</v>
      </c>
      <c r="AA3256" s="21" t="s">
        <v>2276</v>
      </c>
      <c r="AB3256" s="21" t="s">
        <v>2276</v>
      </c>
      <c r="AC3256" s="4" t="s">
        <v>8746</v>
      </c>
      <c r="AD3256" s="204"/>
    </row>
    <row r="3257" spans="1:30" ht="66.5" customHeight="1">
      <c r="A3257" s="26" t="s">
        <v>8737</v>
      </c>
      <c r="B3257" s="26" t="s">
        <v>8741</v>
      </c>
      <c r="C3257" s="204" t="s">
        <v>24</v>
      </c>
      <c r="D3257" s="204" t="s">
        <v>2804</v>
      </c>
      <c r="E3257" s="204" t="s">
        <v>45</v>
      </c>
      <c r="F3257" s="4" t="s">
        <v>2662</v>
      </c>
      <c r="G3257" s="4" t="s">
        <v>2662</v>
      </c>
      <c r="H3257" s="204" t="s">
        <v>523</v>
      </c>
      <c r="I3257" s="204"/>
      <c r="J3257" s="21" t="s">
        <v>2276</v>
      </c>
      <c r="K3257" s="21" t="s">
        <v>2276</v>
      </c>
      <c r="L3257" s="21" t="s">
        <v>2276</v>
      </c>
      <c r="M3257" s="21" t="s">
        <v>2276</v>
      </c>
      <c r="N3257" s="21" t="s">
        <v>2276</v>
      </c>
      <c r="O3257" s="21" t="s">
        <v>2276</v>
      </c>
      <c r="P3257" s="21" t="s">
        <v>2276</v>
      </c>
      <c r="Q3257" s="21" t="s">
        <v>2276</v>
      </c>
      <c r="R3257" s="21" t="s">
        <v>2276</v>
      </c>
      <c r="S3257" s="21" t="s">
        <v>2276</v>
      </c>
      <c r="T3257" s="21" t="s">
        <v>2276</v>
      </c>
      <c r="U3257" s="21" t="s">
        <v>2276</v>
      </c>
      <c r="V3257" s="21" t="s">
        <v>2276</v>
      </c>
      <c r="W3257" s="21" t="s">
        <v>2276</v>
      </c>
      <c r="X3257" s="21" t="s">
        <v>2276</v>
      </c>
      <c r="Y3257" s="21" t="s">
        <v>2276</v>
      </c>
      <c r="Z3257" s="21" t="s">
        <v>2276</v>
      </c>
      <c r="AA3257" s="21" t="s">
        <v>2276</v>
      </c>
      <c r="AB3257" s="21" t="s">
        <v>2276</v>
      </c>
      <c r="AC3257" s="4" t="s">
        <v>8746</v>
      </c>
      <c r="AD3257" s="204"/>
    </row>
    <row r="3258" spans="1:30" ht="66.5" customHeight="1">
      <c r="A3258" s="26" t="s">
        <v>8736</v>
      </c>
      <c r="B3258" s="26" t="s">
        <v>8742</v>
      </c>
      <c r="C3258" s="204" t="s">
        <v>24</v>
      </c>
      <c r="D3258" s="204" t="s">
        <v>144</v>
      </c>
      <c r="E3258" s="204" t="s">
        <v>137</v>
      </c>
      <c r="F3258" s="4" t="s">
        <v>2662</v>
      </c>
      <c r="G3258" s="4" t="s">
        <v>2662</v>
      </c>
      <c r="H3258" s="204" t="s">
        <v>523</v>
      </c>
      <c r="I3258" s="204"/>
      <c r="J3258" s="21" t="s">
        <v>2276</v>
      </c>
      <c r="K3258" s="21" t="s">
        <v>2276</v>
      </c>
      <c r="L3258" s="21" t="s">
        <v>2276</v>
      </c>
      <c r="M3258" s="21" t="s">
        <v>2276</v>
      </c>
      <c r="N3258" s="21" t="s">
        <v>2276</v>
      </c>
      <c r="O3258" s="21" t="s">
        <v>2276</v>
      </c>
      <c r="P3258" s="21" t="s">
        <v>2276</v>
      </c>
      <c r="Q3258" s="21" t="s">
        <v>2276</v>
      </c>
      <c r="R3258" s="21" t="s">
        <v>2276</v>
      </c>
      <c r="S3258" s="21" t="s">
        <v>2276</v>
      </c>
      <c r="T3258" s="21" t="s">
        <v>2276</v>
      </c>
      <c r="U3258" s="21" t="s">
        <v>2276</v>
      </c>
      <c r="V3258" s="21" t="s">
        <v>2276</v>
      </c>
      <c r="W3258" s="21" t="s">
        <v>2276</v>
      </c>
      <c r="X3258" s="21" t="s">
        <v>2276</v>
      </c>
      <c r="Y3258" s="21" t="s">
        <v>2276</v>
      </c>
      <c r="Z3258" s="21" t="s">
        <v>2276</v>
      </c>
      <c r="AA3258" s="21" t="s">
        <v>2276</v>
      </c>
      <c r="AB3258" s="21" t="s">
        <v>2276</v>
      </c>
      <c r="AC3258" s="4" t="s">
        <v>8746</v>
      </c>
      <c r="AD3258" s="204"/>
    </row>
    <row r="3259" spans="1:30" ht="66.5" customHeight="1">
      <c r="A3259" s="26" t="s">
        <v>8737</v>
      </c>
      <c r="B3259" s="26" t="s">
        <v>8743</v>
      </c>
      <c r="C3259" s="204" t="s">
        <v>24</v>
      </c>
      <c r="D3259" s="204" t="s">
        <v>144</v>
      </c>
      <c r="E3259" s="204" t="s">
        <v>137</v>
      </c>
      <c r="F3259" s="4" t="s">
        <v>2662</v>
      </c>
      <c r="G3259" s="4" t="s">
        <v>2662</v>
      </c>
      <c r="H3259" s="204" t="s">
        <v>523</v>
      </c>
      <c r="I3259" s="204"/>
      <c r="J3259" s="21" t="s">
        <v>2276</v>
      </c>
      <c r="K3259" s="21" t="s">
        <v>2276</v>
      </c>
      <c r="L3259" s="21" t="s">
        <v>2276</v>
      </c>
      <c r="M3259" s="21" t="s">
        <v>2276</v>
      </c>
      <c r="N3259" s="21" t="s">
        <v>2276</v>
      </c>
      <c r="O3259" s="21" t="s">
        <v>2276</v>
      </c>
      <c r="P3259" s="21" t="s">
        <v>2276</v>
      </c>
      <c r="Q3259" s="21" t="s">
        <v>2276</v>
      </c>
      <c r="R3259" s="21" t="s">
        <v>2276</v>
      </c>
      <c r="S3259" s="21" t="s">
        <v>2276</v>
      </c>
      <c r="T3259" s="21" t="s">
        <v>2276</v>
      </c>
      <c r="U3259" s="21" t="s">
        <v>2276</v>
      </c>
      <c r="V3259" s="21" t="s">
        <v>2276</v>
      </c>
      <c r="W3259" s="21" t="s">
        <v>2276</v>
      </c>
      <c r="X3259" s="21" t="s">
        <v>2276</v>
      </c>
      <c r="Y3259" s="21" t="s">
        <v>2276</v>
      </c>
      <c r="Z3259" s="21" t="s">
        <v>2276</v>
      </c>
      <c r="AA3259" s="21" t="s">
        <v>2276</v>
      </c>
      <c r="AB3259" s="21" t="s">
        <v>2276</v>
      </c>
      <c r="AC3259" s="4" t="s">
        <v>8746</v>
      </c>
      <c r="AD3259" s="204"/>
    </row>
    <row r="3260" spans="1:30" ht="48" customHeight="1">
      <c r="A3260" s="26" t="s">
        <v>8748</v>
      </c>
      <c r="B3260" s="26" t="s">
        <v>8751</v>
      </c>
      <c r="C3260" s="204" t="s">
        <v>24</v>
      </c>
      <c r="D3260" s="204" t="s">
        <v>25</v>
      </c>
      <c r="E3260" s="204" t="s">
        <v>45</v>
      </c>
      <c r="F3260" s="4" t="s">
        <v>2662</v>
      </c>
      <c r="G3260" s="4" t="s">
        <v>2662</v>
      </c>
      <c r="H3260" s="204" t="s">
        <v>523</v>
      </c>
      <c r="I3260" s="204"/>
      <c r="J3260" s="21" t="s">
        <v>2276</v>
      </c>
      <c r="K3260" s="21" t="s">
        <v>2276</v>
      </c>
      <c r="L3260" s="21" t="s">
        <v>2276</v>
      </c>
      <c r="M3260" s="21" t="s">
        <v>2276</v>
      </c>
      <c r="N3260" s="21" t="s">
        <v>2276</v>
      </c>
      <c r="O3260" s="21" t="s">
        <v>2276</v>
      </c>
      <c r="P3260" s="21" t="s">
        <v>2276</v>
      </c>
      <c r="Q3260" s="21" t="s">
        <v>2276</v>
      </c>
      <c r="R3260" s="21" t="s">
        <v>2276</v>
      </c>
      <c r="S3260" s="21" t="s">
        <v>2276</v>
      </c>
      <c r="T3260" s="21">
        <v>673400</v>
      </c>
      <c r="U3260" s="21" t="s">
        <v>2276</v>
      </c>
      <c r="V3260" s="21" t="s">
        <v>2276</v>
      </c>
      <c r="W3260" s="21" t="s">
        <v>2276</v>
      </c>
      <c r="X3260" s="21">
        <f>T3260/'Record info'!K$1364</f>
        <v>13.522088353413654</v>
      </c>
      <c r="Y3260" s="21" t="s">
        <v>2276</v>
      </c>
      <c r="Z3260" s="204" t="s">
        <v>189</v>
      </c>
      <c r="AA3260" s="204" t="s">
        <v>86</v>
      </c>
      <c r="AB3260" s="21" t="s">
        <v>2276</v>
      </c>
      <c r="AC3260" s="204" t="s">
        <v>8770</v>
      </c>
      <c r="AD3260" s="204"/>
    </row>
    <row r="3261" spans="1:30" ht="54.5" customHeight="1">
      <c r="A3261" s="26" t="s">
        <v>8748</v>
      </c>
      <c r="B3261" s="26" t="s">
        <v>8752</v>
      </c>
      <c r="C3261" s="204" t="s">
        <v>24</v>
      </c>
      <c r="D3261" s="204" t="s">
        <v>25</v>
      </c>
      <c r="E3261" s="204" t="s">
        <v>45</v>
      </c>
      <c r="F3261" s="4" t="s">
        <v>2662</v>
      </c>
      <c r="G3261" s="4" t="s">
        <v>2662</v>
      </c>
      <c r="H3261" s="204" t="s">
        <v>523</v>
      </c>
      <c r="I3261" s="204"/>
      <c r="J3261" s="21" t="s">
        <v>2276</v>
      </c>
      <c r="K3261" s="21" t="s">
        <v>2276</v>
      </c>
      <c r="L3261" s="21" t="s">
        <v>2276</v>
      </c>
      <c r="M3261" s="21" t="s">
        <v>2276</v>
      </c>
      <c r="N3261" s="21" t="s">
        <v>2276</v>
      </c>
      <c r="O3261" s="21" t="s">
        <v>2276</v>
      </c>
      <c r="P3261" s="21" t="s">
        <v>2276</v>
      </c>
      <c r="Q3261" s="21" t="s">
        <v>2276</v>
      </c>
      <c r="R3261" s="21" t="s">
        <v>2276</v>
      </c>
      <c r="S3261" s="21" t="s">
        <v>2276</v>
      </c>
      <c r="T3261" s="21">
        <v>60000</v>
      </c>
      <c r="U3261" s="21" t="s">
        <v>2276</v>
      </c>
      <c r="V3261" s="21" t="s">
        <v>2276</v>
      </c>
      <c r="W3261" s="21" t="s">
        <v>2276</v>
      </c>
      <c r="X3261" s="21">
        <f>T3261/'Record info'!K$1364</f>
        <v>1.2048192771084338</v>
      </c>
      <c r="Y3261" s="21" t="s">
        <v>2276</v>
      </c>
      <c r="Z3261" s="204" t="s">
        <v>405</v>
      </c>
      <c r="AA3261" s="204" t="s">
        <v>35</v>
      </c>
      <c r="AB3261" s="21" t="s">
        <v>2276</v>
      </c>
      <c r="AC3261" s="204" t="s">
        <v>8770</v>
      </c>
      <c r="AD3261" s="204"/>
    </row>
    <row r="3262" spans="1:30" ht="33.5" customHeight="1">
      <c r="A3262" s="26" t="s">
        <v>8748</v>
      </c>
      <c r="B3262" s="26" t="s">
        <v>8753</v>
      </c>
      <c r="C3262" s="204" t="s">
        <v>24</v>
      </c>
      <c r="D3262" s="204" t="s">
        <v>2659</v>
      </c>
      <c r="E3262" s="204" t="s">
        <v>84</v>
      </c>
      <c r="F3262" s="4" t="s">
        <v>28</v>
      </c>
      <c r="G3262" s="4" t="s">
        <v>28</v>
      </c>
      <c r="H3262" s="204" t="s">
        <v>523</v>
      </c>
      <c r="I3262" s="204"/>
      <c r="J3262" s="21" t="s">
        <v>2276</v>
      </c>
      <c r="K3262" s="21" t="s">
        <v>2276</v>
      </c>
      <c r="L3262" s="21" t="s">
        <v>2276</v>
      </c>
      <c r="M3262" s="21" t="s">
        <v>2276</v>
      </c>
      <c r="N3262" s="21" t="s">
        <v>2276</v>
      </c>
      <c r="O3262" s="21" t="s">
        <v>2276</v>
      </c>
      <c r="P3262" s="21" t="s">
        <v>2276</v>
      </c>
      <c r="Q3262" s="21" t="s">
        <v>2276</v>
      </c>
      <c r="R3262" s="21" t="s">
        <v>2276</v>
      </c>
      <c r="S3262" s="21" t="s">
        <v>2276</v>
      </c>
      <c r="T3262" s="21" t="s">
        <v>2276</v>
      </c>
      <c r="U3262" s="21" t="s">
        <v>2276</v>
      </c>
      <c r="V3262" s="21" t="s">
        <v>2276</v>
      </c>
      <c r="W3262" s="21" t="s">
        <v>2276</v>
      </c>
      <c r="X3262" s="21" t="s">
        <v>2276</v>
      </c>
      <c r="Y3262" s="21" t="s">
        <v>2276</v>
      </c>
      <c r="Z3262" s="204" t="s">
        <v>189</v>
      </c>
      <c r="AA3262" s="204" t="s">
        <v>86</v>
      </c>
      <c r="AB3262" s="21" t="s">
        <v>2276</v>
      </c>
      <c r="AC3262" s="204"/>
      <c r="AD3262" s="204"/>
    </row>
    <row r="3263" spans="1:30" ht="33.5" customHeight="1">
      <c r="A3263" s="26" t="s">
        <v>8748</v>
      </c>
      <c r="B3263" s="26" t="s">
        <v>8754</v>
      </c>
      <c r="C3263" s="204" t="s">
        <v>24</v>
      </c>
      <c r="D3263" s="204" t="s">
        <v>2659</v>
      </c>
      <c r="E3263" s="204" t="s">
        <v>84</v>
      </c>
      <c r="F3263" s="4" t="s">
        <v>28</v>
      </c>
      <c r="G3263" s="4" t="s">
        <v>28</v>
      </c>
      <c r="H3263" s="204" t="s">
        <v>523</v>
      </c>
      <c r="I3263" s="204"/>
      <c r="J3263" s="21" t="s">
        <v>2276</v>
      </c>
      <c r="K3263" s="21" t="s">
        <v>2276</v>
      </c>
      <c r="L3263" s="21" t="s">
        <v>2276</v>
      </c>
      <c r="M3263" s="21" t="s">
        <v>2276</v>
      </c>
      <c r="N3263" s="21" t="s">
        <v>2276</v>
      </c>
      <c r="O3263" s="21" t="s">
        <v>2276</v>
      </c>
      <c r="P3263" s="21" t="s">
        <v>2276</v>
      </c>
      <c r="Q3263" s="21" t="s">
        <v>2276</v>
      </c>
      <c r="R3263" s="21" t="s">
        <v>2276</v>
      </c>
      <c r="S3263" s="21" t="s">
        <v>2276</v>
      </c>
      <c r="T3263" s="21" t="s">
        <v>2276</v>
      </c>
      <c r="U3263" s="21" t="s">
        <v>2276</v>
      </c>
      <c r="V3263" s="21" t="s">
        <v>2276</v>
      </c>
      <c r="W3263" s="21" t="s">
        <v>2276</v>
      </c>
      <c r="X3263" s="21" t="s">
        <v>2276</v>
      </c>
      <c r="Y3263" s="21" t="s">
        <v>2276</v>
      </c>
      <c r="Z3263" s="204" t="s">
        <v>405</v>
      </c>
      <c r="AA3263" s="204" t="s">
        <v>35</v>
      </c>
      <c r="AB3263" s="21" t="s">
        <v>2276</v>
      </c>
      <c r="AC3263" s="204"/>
      <c r="AD3263" s="204"/>
    </row>
    <row r="3264" spans="1:30" ht="31" customHeight="1">
      <c r="A3264" s="26" t="s">
        <v>8755</v>
      </c>
      <c r="B3264" s="26" t="s">
        <v>8759</v>
      </c>
      <c r="C3264" s="204" t="s">
        <v>24</v>
      </c>
      <c r="D3264" s="204" t="s">
        <v>25</v>
      </c>
      <c r="E3264" s="204" t="s">
        <v>45</v>
      </c>
      <c r="F3264" s="4" t="s">
        <v>55</v>
      </c>
      <c r="G3264" s="4" t="s">
        <v>55</v>
      </c>
      <c r="H3264" s="204" t="s">
        <v>523</v>
      </c>
      <c r="I3264" s="204"/>
      <c r="J3264" s="21" t="s">
        <v>2276</v>
      </c>
      <c r="K3264" s="21" t="s">
        <v>2276</v>
      </c>
      <c r="L3264" s="21" t="s">
        <v>2276</v>
      </c>
      <c r="M3264" s="21" t="s">
        <v>2276</v>
      </c>
      <c r="N3264" s="21" t="s">
        <v>2276</v>
      </c>
      <c r="O3264" s="21" t="s">
        <v>2276</v>
      </c>
      <c r="P3264" s="21" t="s">
        <v>2276</v>
      </c>
      <c r="Q3264" s="21" t="s">
        <v>2276</v>
      </c>
      <c r="R3264" s="21" t="s">
        <v>2276</v>
      </c>
      <c r="S3264" s="21" t="s">
        <v>2276</v>
      </c>
      <c r="T3264" s="21" t="s">
        <v>2276</v>
      </c>
      <c r="U3264" s="21" t="s">
        <v>2276</v>
      </c>
      <c r="V3264" s="21" t="s">
        <v>2276</v>
      </c>
      <c r="W3264" s="21" t="s">
        <v>2276</v>
      </c>
      <c r="X3264" s="21" t="s">
        <v>2276</v>
      </c>
      <c r="Y3264" s="21" t="s">
        <v>2276</v>
      </c>
      <c r="Z3264" s="204" t="s">
        <v>189</v>
      </c>
      <c r="AA3264" s="204" t="s">
        <v>86</v>
      </c>
      <c r="AB3264" s="21" t="s">
        <v>2276</v>
      </c>
      <c r="AC3264" s="74" t="s">
        <v>8763</v>
      </c>
      <c r="AD3264" s="204"/>
    </row>
    <row r="3265" spans="1:30" ht="31" customHeight="1">
      <c r="A3265" s="26" t="s">
        <v>8755</v>
      </c>
      <c r="B3265" s="26" t="s">
        <v>8760</v>
      </c>
      <c r="C3265" s="204" t="s">
        <v>24</v>
      </c>
      <c r="D3265" s="204" t="s">
        <v>25</v>
      </c>
      <c r="E3265" s="204" t="s">
        <v>45</v>
      </c>
      <c r="F3265" s="4" t="s">
        <v>55</v>
      </c>
      <c r="G3265" s="4" t="s">
        <v>55</v>
      </c>
      <c r="H3265" s="204" t="s">
        <v>523</v>
      </c>
      <c r="I3265" s="204"/>
      <c r="J3265" s="21" t="s">
        <v>2276</v>
      </c>
      <c r="K3265" s="21" t="s">
        <v>2276</v>
      </c>
      <c r="L3265" s="21" t="s">
        <v>2276</v>
      </c>
      <c r="M3265" s="21" t="s">
        <v>2276</v>
      </c>
      <c r="N3265" s="21" t="s">
        <v>2276</v>
      </c>
      <c r="O3265" s="21" t="s">
        <v>2276</v>
      </c>
      <c r="P3265" s="21" t="s">
        <v>2276</v>
      </c>
      <c r="Q3265" s="21" t="s">
        <v>2276</v>
      </c>
      <c r="R3265" s="21" t="s">
        <v>2276</v>
      </c>
      <c r="S3265" s="21" t="s">
        <v>2276</v>
      </c>
      <c r="T3265" s="21" t="s">
        <v>2276</v>
      </c>
      <c r="U3265" s="21" t="s">
        <v>2276</v>
      </c>
      <c r="V3265" s="21" t="s">
        <v>2276</v>
      </c>
      <c r="W3265" s="21" t="s">
        <v>2276</v>
      </c>
      <c r="X3265" s="21" t="s">
        <v>2276</v>
      </c>
      <c r="Y3265" s="21" t="s">
        <v>2276</v>
      </c>
      <c r="Z3265" s="204" t="s">
        <v>405</v>
      </c>
      <c r="AA3265" s="204" t="s">
        <v>35</v>
      </c>
      <c r="AB3265" s="21" t="s">
        <v>2276</v>
      </c>
      <c r="AC3265" s="74" t="s">
        <v>8763</v>
      </c>
      <c r="AD3265" s="204"/>
    </row>
    <row r="3266" spans="1:30" ht="31" customHeight="1">
      <c r="A3266" s="26" t="s">
        <v>8755</v>
      </c>
      <c r="B3266" s="26" t="s">
        <v>8761</v>
      </c>
      <c r="C3266" s="204" t="s">
        <v>24</v>
      </c>
      <c r="D3266" s="204" t="s">
        <v>2659</v>
      </c>
      <c r="E3266" s="204" t="s">
        <v>84</v>
      </c>
      <c r="F3266" s="4" t="s">
        <v>28</v>
      </c>
      <c r="G3266" s="4" t="s">
        <v>28</v>
      </c>
      <c r="H3266" s="204" t="s">
        <v>523</v>
      </c>
      <c r="I3266" s="204"/>
      <c r="J3266" s="21" t="s">
        <v>2276</v>
      </c>
      <c r="K3266" s="21" t="s">
        <v>2276</v>
      </c>
      <c r="L3266" s="21" t="s">
        <v>2276</v>
      </c>
      <c r="M3266" s="21" t="s">
        <v>2276</v>
      </c>
      <c r="N3266" s="21" t="s">
        <v>2276</v>
      </c>
      <c r="O3266" s="21" t="s">
        <v>2276</v>
      </c>
      <c r="P3266" s="21" t="s">
        <v>2276</v>
      </c>
      <c r="Q3266" s="21" t="s">
        <v>2276</v>
      </c>
      <c r="R3266" s="21" t="s">
        <v>2276</v>
      </c>
      <c r="S3266" s="21" t="s">
        <v>2276</v>
      </c>
      <c r="T3266" s="21" t="s">
        <v>2276</v>
      </c>
      <c r="U3266" s="21" t="s">
        <v>2276</v>
      </c>
      <c r="V3266" s="21" t="s">
        <v>2276</v>
      </c>
      <c r="W3266" s="21" t="s">
        <v>2276</v>
      </c>
      <c r="X3266" s="21" t="s">
        <v>2276</v>
      </c>
      <c r="Y3266" s="21" t="s">
        <v>2276</v>
      </c>
      <c r="Z3266" s="204" t="s">
        <v>189</v>
      </c>
      <c r="AA3266" s="204" t="s">
        <v>86</v>
      </c>
      <c r="AB3266" s="21" t="s">
        <v>2276</v>
      </c>
      <c r="AC3266" s="74" t="s">
        <v>8763</v>
      </c>
      <c r="AD3266" s="204"/>
    </row>
    <row r="3267" spans="1:30" ht="31" customHeight="1">
      <c r="A3267" s="26" t="s">
        <v>8755</v>
      </c>
      <c r="B3267" s="26" t="s">
        <v>8762</v>
      </c>
      <c r="C3267" s="204" t="s">
        <v>24</v>
      </c>
      <c r="D3267" s="204" t="s">
        <v>2659</v>
      </c>
      <c r="E3267" s="204" t="s">
        <v>84</v>
      </c>
      <c r="F3267" s="4" t="s">
        <v>28</v>
      </c>
      <c r="G3267" s="4" t="s">
        <v>28</v>
      </c>
      <c r="H3267" s="204" t="s">
        <v>523</v>
      </c>
      <c r="I3267" s="204"/>
      <c r="J3267" s="21" t="s">
        <v>2276</v>
      </c>
      <c r="K3267" s="21" t="s">
        <v>2276</v>
      </c>
      <c r="L3267" s="21" t="s">
        <v>2276</v>
      </c>
      <c r="M3267" s="21" t="s">
        <v>2276</v>
      </c>
      <c r="N3267" s="21" t="s">
        <v>2276</v>
      </c>
      <c r="O3267" s="21" t="s">
        <v>2276</v>
      </c>
      <c r="P3267" s="21" t="s">
        <v>2276</v>
      </c>
      <c r="Q3267" s="21" t="s">
        <v>2276</v>
      </c>
      <c r="R3267" s="21" t="s">
        <v>2276</v>
      </c>
      <c r="S3267" s="21" t="s">
        <v>2276</v>
      </c>
      <c r="T3267" s="21" t="s">
        <v>2276</v>
      </c>
      <c r="U3267" s="21" t="s">
        <v>2276</v>
      </c>
      <c r="V3267" s="21" t="s">
        <v>2276</v>
      </c>
      <c r="W3267" s="21" t="s">
        <v>2276</v>
      </c>
      <c r="X3267" s="21" t="s">
        <v>2276</v>
      </c>
      <c r="Y3267" s="21" t="s">
        <v>2276</v>
      </c>
      <c r="Z3267" s="204" t="s">
        <v>405</v>
      </c>
      <c r="AA3267" s="204" t="s">
        <v>35</v>
      </c>
      <c r="AB3267" s="21" t="s">
        <v>2276</v>
      </c>
      <c r="AC3267" s="74" t="s">
        <v>8763</v>
      </c>
      <c r="AD3267" s="204"/>
    </row>
    <row r="3268" spans="1:30" ht="34.5" customHeight="1">
      <c r="A3268" s="26" t="s">
        <v>8756</v>
      </c>
      <c r="B3268" s="26" t="s">
        <v>8764</v>
      </c>
      <c r="C3268" s="204" t="s">
        <v>24</v>
      </c>
      <c r="D3268" s="204" t="s">
        <v>25</v>
      </c>
      <c r="E3268" s="204" t="s">
        <v>45</v>
      </c>
      <c r="F3268" s="4" t="s">
        <v>55</v>
      </c>
      <c r="G3268" s="4" t="s">
        <v>55</v>
      </c>
      <c r="H3268" s="204" t="s">
        <v>523</v>
      </c>
      <c r="I3268" s="204"/>
      <c r="J3268" s="21" t="s">
        <v>2276</v>
      </c>
      <c r="K3268" s="21" t="s">
        <v>2276</v>
      </c>
      <c r="L3268" s="21" t="s">
        <v>2276</v>
      </c>
      <c r="M3268" s="21" t="s">
        <v>2276</v>
      </c>
      <c r="N3268" s="21" t="s">
        <v>2276</v>
      </c>
      <c r="O3268" s="21" t="s">
        <v>2276</v>
      </c>
      <c r="P3268" s="21" t="s">
        <v>2276</v>
      </c>
      <c r="Q3268" s="21" t="s">
        <v>2276</v>
      </c>
      <c r="R3268" s="21" t="s">
        <v>2276</v>
      </c>
      <c r="S3268" s="21" t="s">
        <v>2276</v>
      </c>
      <c r="T3268" s="21" t="s">
        <v>2276</v>
      </c>
      <c r="U3268" s="21" t="s">
        <v>2276</v>
      </c>
      <c r="V3268" s="21" t="s">
        <v>2276</v>
      </c>
      <c r="W3268" s="21" t="s">
        <v>2276</v>
      </c>
      <c r="X3268" s="21" t="s">
        <v>2276</v>
      </c>
      <c r="Y3268" s="21" t="s">
        <v>2276</v>
      </c>
      <c r="Z3268" s="204" t="s">
        <v>189</v>
      </c>
      <c r="AA3268" s="204" t="s">
        <v>86</v>
      </c>
      <c r="AB3268" s="21" t="s">
        <v>2276</v>
      </c>
      <c r="AC3268" s="74" t="s">
        <v>8763</v>
      </c>
      <c r="AD3268" s="204"/>
    </row>
    <row r="3269" spans="1:30" ht="34.5" customHeight="1">
      <c r="A3269" s="26" t="s">
        <v>8756</v>
      </c>
      <c r="B3269" s="26" t="s">
        <v>8765</v>
      </c>
      <c r="C3269" s="204" t="s">
        <v>24</v>
      </c>
      <c r="D3269" s="204" t="s">
        <v>25</v>
      </c>
      <c r="E3269" s="204" t="s">
        <v>45</v>
      </c>
      <c r="F3269" s="4" t="s">
        <v>55</v>
      </c>
      <c r="G3269" s="4" t="s">
        <v>55</v>
      </c>
      <c r="H3269" s="204" t="s">
        <v>523</v>
      </c>
      <c r="I3269" s="204"/>
      <c r="J3269" s="21" t="s">
        <v>2276</v>
      </c>
      <c r="K3269" s="21" t="s">
        <v>2276</v>
      </c>
      <c r="L3269" s="21" t="s">
        <v>2276</v>
      </c>
      <c r="M3269" s="21" t="s">
        <v>2276</v>
      </c>
      <c r="N3269" s="21" t="s">
        <v>2276</v>
      </c>
      <c r="O3269" s="21" t="s">
        <v>2276</v>
      </c>
      <c r="P3269" s="21" t="s">
        <v>2276</v>
      </c>
      <c r="Q3269" s="21" t="s">
        <v>2276</v>
      </c>
      <c r="R3269" s="21" t="s">
        <v>2276</v>
      </c>
      <c r="S3269" s="21" t="s">
        <v>2276</v>
      </c>
      <c r="T3269" s="21" t="s">
        <v>2276</v>
      </c>
      <c r="U3269" s="21" t="s">
        <v>2276</v>
      </c>
      <c r="V3269" s="21" t="s">
        <v>2276</v>
      </c>
      <c r="W3269" s="21" t="s">
        <v>2276</v>
      </c>
      <c r="X3269" s="21" t="s">
        <v>2276</v>
      </c>
      <c r="Y3269" s="21" t="s">
        <v>2276</v>
      </c>
      <c r="Z3269" s="204" t="s">
        <v>405</v>
      </c>
      <c r="AA3269" s="204" t="s">
        <v>35</v>
      </c>
      <c r="AB3269" s="21" t="s">
        <v>2276</v>
      </c>
      <c r="AC3269" s="74" t="s">
        <v>8763</v>
      </c>
      <c r="AD3269" s="204"/>
    </row>
    <row r="3270" spans="1:30" ht="34.5" customHeight="1">
      <c r="A3270" s="26" t="s">
        <v>8756</v>
      </c>
      <c r="B3270" s="26" t="s">
        <v>8766</v>
      </c>
      <c r="C3270" s="204" t="s">
        <v>24</v>
      </c>
      <c r="D3270" s="204" t="s">
        <v>2659</v>
      </c>
      <c r="E3270" s="204" t="s">
        <v>84</v>
      </c>
      <c r="F3270" s="4" t="s">
        <v>28</v>
      </c>
      <c r="G3270" s="4" t="s">
        <v>28</v>
      </c>
      <c r="H3270" s="204" t="s">
        <v>523</v>
      </c>
      <c r="I3270" s="204"/>
      <c r="J3270" s="21" t="s">
        <v>2276</v>
      </c>
      <c r="K3270" s="21" t="s">
        <v>2276</v>
      </c>
      <c r="L3270" s="21" t="s">
        <v>2276</v>
      </c>
      <c r="M3270" s="21" t="s">
        <v>2276</v>
      </c>
      <c r="N3270" s="21" t="s">
        <v>2276</v>
      </c>
      <c r="O3270" s="21" t="s">
        <v>2276</v>
      </c>
      <c r="P3270" s="21" t="s">
        <v>2276</v>
      </c>
      <c r="Q3270" s="21" t="s">
        <v>2276</v>
      </c>
      <c r="R3270" s="21" t="s">
        <v>2276</v>
      </c>
      <c r="S3270" s="21" t="s">
        <v>2276</v>
      </c>
      <c r="T3270" s="21" t="s">
        <v>2276</v>
      </c>
      <c r="U3270" s="21" t="s">
        <v>2276</v>
      </c>
      <c r="V3270" s="21" t="s">
        <v>2276</v>
      </c>
      <c r="W3270" s="21" t="s">
        <v>2276</v>
      </c>
      <c r="X3270" s="21" t="s">
        <v>2276</v>
      </c>
      <c r="Y3270" s="21" t="s">
        <v>2276</v>
      </c>
      <c r="Z3270" s="204" t="s">
        <v>189</v>
      </c>
      <c r="AA3270" s="204" t="s">
        <v>86</v>
      </c>
      <c r="AB3270" s="21" t="s">
        <v>2276</v>
      </c>
      <c r="AC3270" s="74" t="s">
        <v>8763</v>
      </c>
      <c r="AD3270" s="204"/>
    </row>
    <row r="3271" spans="1:30" ht="34.5" customHeight="1">
      <c r="A3271" s="26" t="s">
        <v>8756</v>
      </c>
      <c r="B3271" s="26" t="s">
        <v>8767</v>
      </c>
      <c r="C3271" s="204" t="s">
        <v>24</v>
      </c>
      <c r="D3271" s="204" t="s">
        <v>2659</v>
      </c>
      <c r="E3271" s="204" t="s">
        <v>84</v>
      </c>
      <c r="F3271" s="4" t="s">
        <v>28</v>
      </c>
      <c r="G3271" s="4" t="s">
        <v>28</v>
      </c>
      <c r="H3271" s="204" t="s">
        <v>523</v>
      </c>
      <c r="I3271" s="204"/>
      <c r="J3271" s="21" t="s">
        <v>2276</v>
      </c>
      <c r="K3271" s="21" t="s">
        <v>2276</v>
      </c>
      <c r="L3271" s="21" t="s">
        <v>2276</v>
      </c>
      <c r="M3271" s="21" t="s">
        <v>2276</v>
      </c>
      <c r="N3271" s="21" t="s">
        <v>2276</v>
      </c>
      <c r="O3271" s="21" t="s">
        <v>2276</v>
      </c>
      <c r="P3271" s="21" t="s">
        <v>2276</v>
      </c>
      <c r="Q3271" s="21" t="s">
        <v>2276</v>
      </c>
      <c r="R3271" s="21" t="s">
        <v>2276</v>
      </c>
      <c r="S3271" s="21" t="s">
        <v>2276</v>
      </c>
      <c r="T3271" s="21" t="s">
        <v>2276</v>
      </c>
      <c r="U3271" s="21" t="s">
        <v>2276</v>
      </c>
      <c r="V3271" s="21" t="s">
        <v>2276</v>
      </c>
      <c r="W3271" s="21" t="s">
        <v>2276</v>
      </c>
      <c r="X3271" s="21" t="s">
        <v>2276</v>
      </c>
      <c r="Y3271" s="21" t="s">
        <v>2276</v>
      </c>
      <c r="Z3271" s="204" t="s">
        <v>405</v>
      </c>
      <c r="AA3271" s="204" t="s">
        <v>35</v>
      </c>
      <c r="AB3271" s="21" t="s">
        <v>2276</v>
      </c>
      <c r="AC3271" s="74" t="s">
        <v>8763</v>
      </c>
      <c r="AD3271" s="204"/>
    </row>
    <row r="3272" spans="1:30" ht="44.5" customHeight="1">
      <c r="A3272" s="5" t="s">
        <v>8772</v>
      </c>
      <c r="B3272" s="5" t="s">
        <v>8804</v>
      </c>
      <c r="C3272" s="204" t="s">
        <v>24</v>
      </c>
      <c r="D3272" s="204" t="s">
        <v>2659</v>
      </c>
      <c r="E3272" s="4" t="s">
        <v>396</v>
      </c>
      <c r="F3272" s="4" t="s">
        <v>28</v>
      </c>
      <c r="G3272" s="4" t="s">
        <v>28</v>
      </c>
      <c r="H3272" s="204" t="s">
        <v>523</v>
      </c>
      <c r="I3272" s="204"/>
      <c r="J3272" s="21" t="s">
        <v>2276</v>
      </c>
      <c r="K3272" s="21" t="s">
        <v>2276</v>
      </c>
      <c r="L3272" s="21" t="s">
        <v>2276</v>
      </c>
      <c r="M3272" s="21" t="s">
        <v>2276</v>
      </c>
      <c r="N3272" s="21" t="s">
        <v>2276</v>
      </c>
      <c r="O3272" s="21" t="s">
        <v>2276</v>
      </c>
      <c r="P3272" s="21" t="s">
        <v>2276</v>
      </c>
      <c r="Q3272" s="21" t="s">
        <v>2276</v>
      </c>
      <c r="R3272" s="21" t="s">
        <v>2276</v>
      </c>
      <c r="S3272" s="21" t="s">
        <v>2276</v>
      </c>
      <c r="T3272" s="21">
        <v>710</v>
      </c>
      <c r="U3272" s="21" t="s">
        <v>2276</v>
      </c>
      <c r="V3272" s="21">
        <v>60</v>
      </c>
      <c r="W3272" s="21" t="s">
        <v>2276</v>
      </c>
      <c r="X3272" s="21" t="s">
        <v>2276</v>
      </c>
      <c r="Y3272" s="21" t="s">
        <v>2276</v>
      </c>
      <c r="Z3272" s="204" t="s">
        <v>425</v>
      </c>
      <c r="AA3272" s="204" t="s">
        <v>68</v>
      </c>
      <c r="AB3272" s="21" t="s">
        <v>2276</v>
      </c>
      <c r="AC3272" s="204"/>
      <c r="AD3272" s="204"/>
    </row>
    <row r="3273" spans="1:30" ht="44.5" customHeight="1">
      <c r="A3273" s="11" t="s">
        <v>8773</v>
      </c>
      <c r="B3273" s="11" t="s">
        <v>8773</v>
      </c>
      <c r="C3273" s="204" t="s">
        <v>24</v>
      </c>
      <c r="D3273" s="204" t="s">
        <v>2659</v>
      </c>
      <c r="E3273" s="4" t="s">
        <v>396</v>
      </c>
      <c r="F3273" s="4" t="s">
        <v>28</v>
      </c>
      <c r="G3273" s="4" t="s">
        <v>28</v>
      </c>
      <c r="H3273" s="204" t="s">
        <v>523</v>
      </c>
      <c r="I3273" s="204"/>
      <c r="J3273" s="21" t="s">
        <v>2276</v>
      </c>
      <c r="K3273" s="21" t="s">
        <v>2276</v>
      </c>
      <c r="L3273" s="21" t="s">
        <v>2276</v>
      </c>
      <c r="M3273" s="21" t="s">
        <v>2276</v>
      </c>
      <c r="N3273" s="21" t="s">
        <v>2276</v>
      </c>
      <c r="O3273" s="21" t="s">
        <v>2276</v>
      </c>
      <c r="P3273" s="21" t="s">
        <v>2276</v>
      </c>
      <c r="Q3273" s="21" t="s">
        <v>2276</v>
      </c>
      <c r="R3273" s="21" t="s">
        <v>2276</v>
      </c>
      <c r="S3273" s="21" t="s">
        <v>2276</v>
      </c>
      <c r="T3273" s="21">
        <v>49930.5</v>
      </c>
      <c r="U3273" s="21" t="s">
        <v>2276</v>
      </c>
      <c r="V3273" s="21">
        <v>60</v>
      </c>
      <c r="W3273" s="21" t="s">
        <v>2276</v>
      </c>
      <c r="X3273" s="21" t="s">
        <v>2276</v>
      </c>
      <c r="Y3273" s="21" t="s">
        <v>2276</v>
      </c>
      <c r="Z3273" s="204" t="s">
        <v>425</v>
      </c>
      <c r="AA3273" s="204" t="s">
        <v>68</v>
      </c>
      <c r="AB3273" s="21" t="s">
        <v>2276</v>
      </c>
      <c r="AC3273" s="204"/>
      <c r="AD3273" s="204"/>
    </row>
    <row r="3274" spans="1:30" ht="44.5" customHeight="1">
      <c r="A3274" s="11" t="s">
        <v>8774</v>
      </c>
      <c r="B3274" s="11" t="s">
        <v>8774</v>
      </c>
      <c r="C3274" s="204" t="s">
        <v>24</v>
      </c>
      <c r="D3274" s="204" t="s">
        <v>2659</v>
      </c>
      <c r="E3274" s="4" t="s">
        <v>396</v>
      </c>
      <c r="F3274" s="4" t="s">
        <v>28</v>
      </c>
      <c r="G3274" s="4" t="s">
        <v>28</v>
      </c>
      <c r="H3274" s="204" t="s">
        <v>523</v>
      </c>
      <c r="I3274" s="204"/>
      <c r="J3274" s="21" t="s">
        <v>2276</v>
      </c>
      <c r="K3274" s="21" t="s">
        <v>2276</v>
      </c>
      <c r="L3274" s="21" t="s">
        <v>2276</v>
      </c>
      <c r="M3274" s="21" t="s">
        <v>2276</v>
      </c>
      <c r="N3274" s="21" t="s">
        <v>2276</v>
      </c>
      <c r="O3274" s="21" t="s">
        <v>2276</v>
      </c>
      <c r="P3274" s="21" t="s">
        <v>2276</v>
      </c>
      <c r="Q3274" s="21" t="s">
        <v>2276</v>
      </c>
      <c r="R3274" s="21" t="s">
        <v>2276</v>
      </c>
      <c r="S3274" s="21" t="s">
        <v>2276</v>
      </c>
      <c r="T3274" s="21">
        <v>33345</v>
      </c>
      <c r="U3274" s="21" t="s">
        <v>2276</v>
      </c>
      <c r="V3274" s="21">
        <v>60</v>
      </c>
      <c r="W3274" s="21" t="s">
        <v>2276</v>
      </c>
      <c r="X3274" s="21" t="s">
        <v>2276</v>
      </c>
      <c r="Y3274" s="21" t="s">
        <v>2276</v>
      </c>
      <c r="Z3274" s="204" t="s">
        <v>425</v>
      </c>
      <c r="AA3274" s="204" t="s">
        <v>68</v>
      </c>
      <c r="AB3274" s="21" t="s">
        <v>2276</v>
      </c>
      <c r="AC3274" s="204"/>
      <c r="AD3274" s="204"/>
    </row>
    <row r="3275" spans="1:30" ht="44.5" customHeight="1">
      <c r="A3275" s="11" t="s">
        <v>8775</v>
      </c>
      <c r="B3275" s="11" t="s">
        <v>8775</v>
      </c>
      <c r="C3275" s="204" t="s">
        <v>24</v>
      </c>
      <c r="D3275" s="204" t="s">
        <v>2659</v>
      </c>
      <c r="E3275" s="4" t="s">
        <v>396</v>
      </c>
      <c r="F3275" s="4" t="s">
        <v>28</v>
      </c>
      <c r="G3275" s="4" t="s">
        <v>28</v>
      </c>
      <c r="H3275" s="204" t="s">
        <v>523</v>
      </c>
      <c r="I3275" s="204"/>
      <c r="J3275" s="21" t="s">
        <v>2276</v>
      </c>
      <c r="K3275" s="21" t="s">
        <v>2276</v>
      </c>
      <c r="L3275" s="21" t="s">
        <v>2276</v>
      </c>
      <c r="M3275" s="21" t="s">
        <v>2276</v>
      </c>
      <c r="N3275" s="21" t="s">
        <v>2276</v>
      </c>
      <c r="O3275" s="21" t="s">
        <v>2276</v>
      </c>
      <c r="P3275" s="21" t="s">
        <v>2276</v>
      </c>
      <c r="Q3275" s="21" t="s">
        <v>2276</v>
      </c>
      <c r="R3275" s="21" t="s">
        <v>2276</v>
      </c>
      <c r="S3275" s="21" t="s">
        <v>2276</v>
      </c>
      <c r="T3275" s="21">
        <v>78493</v>
      </c>
      <c r="U3275" s="21" t="s">
        <v>2276</v>
      </c>
      <c r="V3275" s="21">
        <v>60</v>
      </c>
      <c r="W3275" s="21" t="s">
        <v>2276</v>
      </c>
      <c r="X3275" s="21" t="s">
        <v>2276</v>
      </c>
      <c r="Y3275" s="21" t="s">
        <v>2276</v>
      </c>
      <c r="Z3275" s="204" t="s">
        <v>425</v>
      </c>
      <c r="AA3275" s="204" t="s">
        <v>68</v>
      </c>
      <c r="AB3275" s="21" t="s">
        <v>2276</v>
      </c>
      <c r="AC3275" s="204"/>
      <c r="AD3275" s="204"/>
    </row>
    <row r="3276" spans="1:30" ht="44.5" customHeight="1">
      <c r="A3276" s="11" t="s">
        <v>8776</v>
      </c>
      <c r="B3276" s="11" t="s">
        <v>8776</v>
      </c>
      <c r="C3276" s="204" t="s">
        <v>24</v>
      </c>
      <c r="D3276" s="204" t="s">
        <v>2659</v>
      </c>
      <c r="E3276" s="4" t="s">
        <v>396</v>
      </c>
      <c r="F3276" s="4" t="s">
        <v>28</v>
      </c>
      <c r="G3276" s="4" t="s">
        <v>28</v>
      </c>
      <c r="H3276" s="204" t="s">
        <v>523</v>
      </c>
      <c r="I3276" s="204"/>
      <c r="J3276" s="21" t="s">
        <v>2276</v>
      </c>
      <c r="K3276" s="21" t="s">
        <v>2276</v>
      </c>
      <c r="L3276" s="21" t="s">
        <v>2276</v>
      </c>
      <c r="M3276" s="21" t="s">
        <v>2276</v>
      </c>
      <c r="N3276" s="21" t="s">
        <v>2276</v>
      </c>
      <c r="O3276" s="21" t="s">
        <v>2276</v>
      </c>
      <c r="P3276" s="21" t="s">
        <v>2276</v>
      </c>
      <c r="Q3276" s="21" t="s">
        <v>2276</v>
      </c>
      <c r="R3276" s="21" t="s">
        <v>2276</v>
      </c>
      <c r="S3276" s="21" t="s">
        <v>2276</v>
      </c>
      <c r="T3276" s="21">
        <v>97383.25</v>
      </c>
      <c r="U3276" s="21" t="s">
        <v>2276</v>
      </c>
      <c r="V3276" s="21">
        <v>60</v>
      </c>
      <c r="W3276" s="21" t="s">
        <v>2276</v>
      </c>
      <c r="X3276" s="21" t="s">
        <v>2276</v>
      </c>
      <c r="Y3276" s="21" t="s">
        <v>2276</v>
      </c>
      <c r="Z3276" s="204" t="s">
        <v>425</v>
      </c>
      <c r="AA3276" s="204" t="s">
        <v>68</v>
      </c>
      <c r="AB3276" s="21" t="s">
        <v>2276</v>
      </c>
      <c r="AC3276" s="204"/>
      <c r="AD3276" s="204"/>
    </row>
    <row r="3277" spans="1:30" ht="44.5" customHeight="1">
      <c r="A3277" s="11" t="s">
        <v>8777</v>
      </c>
      <c r="B3277" s="11" t="s">
        <v>8777</v>
      </c>
      <c r="C3277" s="204" t="s">
        <v>24</v>
      </c>
      <c r="D3277" s="204" t="s">
        <v>2659</v>
      </c>
      <c r="E3277" s="4" t="s">
        <v>396</v>
      </c>
      <c r="F3277" s="4" t="s">
        <v>28</v>
      </c>
      <c r="G3277" s="4" t="s">
        <v>28</v>
      </c>
      <c r="H3277" s="204" t="s">
        <v>523</v>
      </c>
      <c r="I3277" s="204"/>
      <c r="J3277" s="21" t="s">
        <v>2276</v>
      </c>
      <c r="K3277" s="21" t="s">
        <v>2276</v>
      </c>
      <c r="L3277" s="21" t="s">
        <v>2276</v>
      </c>
      <c r="M3277" s="21" t="s">
        <v>2276</v>
      </c>
      <c r="N3277" s="21" t="s">
        <v>2276</v>
      </c>
      <c r="O3277" s="21" t="s">
        <v>2276</v>
      </c>
      <c r="P3277" s="21" t="s">
        <v>2276</v>
      </c>
      <c r="Q3277" s="21" t="s">
        <v>2276</v>
      </c>
      <c r="R3277" s="21" t="s">
        <v>2276</v>
      </c>
      <c r="S3277" s="21" t="s">
        <v>2276</v>
      </c>
      <c r="T3277" s="21">
        <v>16522.75</v>
      </c>
      <c r="U3277" s="21" t="s">
        <v>2276</v>
      </c>
      <c r="V3277" s="21">
        <v>60</v>
      </c>
      <c r="W3277" s="21" t="s">
        <v>2276</v>
      </c>
      <c r="X3277" s="21" t="s">
        <v>2276</v>
      </c>
      <c r="Y3277" s="21" t="s">
        <v>2276</v>
      </c>
      <c r="Z3277" s="204" t="s">
        <v>425</v>
      </c>
      <c r="AA3277" s="204" t="s">
        <v>68</v>
      </c>
      <c r="AB3277" s="21" t="s">
        <v>2276</v>
      </c>
      <c r="AC3277" s="204"/>
      <c r="AD3277" s="204"/>
    </row>
    <row r="3278" spans="1:30" ht="44.5" customHeight="1">
      <c r="A3278" s="11" t="s">
        <v>8778</v>
      </c>
      <c r="B3278" s="11" t="s">
        <v>8778</v>
      </c>
      <c r="C3278" s="204" t="s">
        <v>24</v>
      </c>
      <c r="D3278" s="204" t="s">
        <v>2659</v>
      </c>
      <c r="E3278" s="4" t="s">
        <v>396</v>
      </c>
      <c r="F3278" s="4" t="s">
        <v>28</v>
      </c>
      <c r="G3278" s="4" t="s">
        <v>28</v>
      </c>
      <c r="H3278" s="204" t="s">
        <v>523</v>
      </c>
      <c r="I3278" s="204"/>
      <c r="J3278" s="21" t="s">
        <v>2276</v>
      </c>
      <c r="K3278" s="21" t="s">
        <v>2276</v>
      </c>
      <c r="L3278" s="21" t="s">
        <v>2276</v>
      </c>
      <c r="M3278" s="21" t="s">
        <v>2276</v>
      </c>
      <c r="N3278" s="21" t="s">
        <v>2276</v>
      </c>
      <c r="O3278" s="21" t="s">
        <v>2276</v>
      </c>
      <c r="P3278" s="21" t="s">
        <v>2276</v>
      </c>
      <c r="Q3278" s="21" t="s">
        <v>2276</v>
      </c>
      <c r="R3278" s="21" t="s">
        <v>2276</v>
      </c>
      <c r="S3278" s="21" t="s">
        <v>2276</v>
      </c>
      <c r="T3278" s="21">
        <v>63629.5</v>
      </c>
      <c r="U3278" s="21" t="s">
        <v>2276</v>
      </c>
      <c r="V3278" s="21">
        <v>60</v>
      </c>
      <c r="W3278" s="21" t="s">
        <v>2276</v>
      </c>
      <c r="X3278" s="21" t="s">
        <v>2276</v>
      </c>
      <c r="Y3278" s="21" t="s">
        <v>2276</v>
      </c>
      <c r="Z3278" s="204" t="s">
        <v>425</v>
      </c>
      <c r="AA3278" s="204" t="s">
        <v>68</v>
      </c>
      <c r="AB3278" s="21" t="s">
        <v>2276</v>
      </c>
      <c r="AC3278" s="204"/>
      <c r="AD3278" s="204"/>
    </row>
    <row r="3279" spans="1:30" ht="44.5" customHeight="1">
      <c r="A3279" s="11" t="s">
        <v>8779</v>
      </c>
      <c r="B3279" s="11" t="s">
        <v>8779</v>
      </c>
      <c r="C3279" s="204" t="s">
        <v>24</v>
      </c>
      <c r="D3279" s="204" t="s">
        <v>2659</v>
      </c>
      <c r="E3279" s="4" t="s">
        <v>396</v>
      </c>
      <c r="F3279" s="4" t="s">
        <v>28</v>
      </c>
      <c r="G3279" s="4" t="s">
        <v>28</v>
      </c>
      <c r="H3279" s="204" t="s">
        <v>523</v>
      </c>
      <c r="I3279" s="204"/>
      <c r="J3279" s="21" t="s">
        <v>2276</v>
      </c>
      <c r="K3279" s="21" t="s">
        <v>2276</v>
      </c>
      <c r="L3279" s="21" t="s">
        <v>2276</v>
      </c>
      <c r="M3279" s="21" t="s">
        <v>2276</v>
      </c>
      <c r="N3279" s="21" t="s">
        <v>2276</v>
      </c>
      <c r="O3279" s="21" t="s">
        <v>2276</v>
      </c>
      <c r="P3279" s="21" t="s">
        <v>2276</v>
      </c>
      <c r="Q3279" s="21" t="s">
        <v>2276</v>
      </c>
      <c r="R3279" s="21" t="s">
        <v>2276</v>
      </c>
      <c r="S3279" s="21" t="s">
        <v>2276</v>
      </c>
      <c r="T3279" s="21">
        <v>1084.75</v>
      </c>
      <c r="U3279" s="21" t="s">
        <v>2276</v>
      </c>
      <c r="V3279" s="21">
        <v>60</v>
      </c>
      <c r="W3279" s="21" t="s">
        <v>2276</v>
      </c>
      <c r="X3279" s="21" t="s">
        <v>2276</v>
      </c>
      <c r="Y3279" s="21" t="s">
        <v>2276</v>
      </c>
      <c r="Z3279" s="204" t="s">
        <v>425</v>
      </c>
      <c r="AA3279" s="204" t="s">
        <v>68</v>
      </c>
      <c r="AB3279" s="21" t="s">
        <v>2276</v>
      </c>
      <c r="AC3279" s="204"/>
      <c r="AD3279" s="204"/>
    </row>
    <row r="3280" spans="1:30" ht="44.5" customHeight="1">
      <c r="A3280" s="11" t="s">
        <v>8780</v>
      </c>
      <c r="B3280" s="11" t="s">
        <v>8780</v>
      </c>
      <c r="C3280" s="204" t="s">
        <v>24</v>
      </c>
      <c r="D3280" s="204" t="s">
        <v>2659</v>
      </c>
      <c r="E3280" s="4" t="s">
        <v>396</v>
      </c>
      <c r="F3280" s="4" t="s">
        <v>28</v>
      </c>
      <c r="G3280" s="4" t="s">
        <v>28</v>
      </c>
      <c r="H3280" s="204" t="s">
        <v>523</v>
      </c>
      <c r="I3280" s="204"/>
      <c r="J3280" s="21" t="s">
        <v>2276</v>
      </c>
      <c r="K3280" s="21" t="s">
        <v>2276</v>
      </c>
      <c r="L3280" s="21" t="s">
        <v>2276</v>
      </c>
      <c r="M3280" s="21" t="s">
        <v>2276</v>
      </c>
      <c r="N3280" s="21" t="s">
        <v>2276</v>
      </c>
      <c r="O3280" s="21" t="s">
        <v>2276</v>
      </c>
      <c r="P3280" s="21" t="s">
        <v>2276</v>
      </c>
      <c r="Q3280" s="21" t="s">
        <v>2276</v>
      </c>
      <c r="R3280" s="21" t="s">
        <v>2276</v>
      </c>
      <c r="S3280" s="21" t="s">
        <v>2276</v>
      </c>
      <c r="T3280" s="21">
        <v>4972.5</v>
      </c>
      <c r="U3280" s="21" t="s">
        <v>2276</v>
      </c>
      <c r="V3280" s="21">
        <v>60</v>
      </c>
      <c r="W3280" s="21" t="s">
        <v>2276</v>
      </c>
      <c r="X3280" s="21" t="s">
        <v>2276</v>
      </c>
      <c r="Y3280" s="21" t="s">
        <v>2276</v>
      </c>
      <c r="Z3280" s="204" t="s">
        <v>425</v>
      </c>
      <c r="AA3280" s="204" t="s">
        <v>68</v>
      </c>
      <c r="AB3280" s="21" t="s">
        <v>2276</v>
      </c>
      <c r="AC3280" s="204"/>
      <c r="AD3280" s="204"/>
    </row>
    <row r="3281" spans="1:30" ht="44.5" customHeight="1">
      <c r="A3281" s="11" t="s">
        <v>8781</v>
      </c>
      <c r="B3281" s="11" t="s">
        <v>8781</v>
      </c>
      <c r="C3281" s="204" t="s">
        <v>24</v>
      </c>
      <c r="D3281" s="204" t="s">
        <v>2659</v>
      </c>
      <c r="E3281" s="4" t="s">
        <v>396</v>
      </c>
      <c r="F3281" s="4" t="s">
        <v>28</v>
      </c>
      <c r="G3281" s="4" t="s">
        <v>28</v>
      </c>
      <c r="H3281" s="204" t="s">
        <v>524</v>
      </c>
      <c r="I3281" s="204"/>
      <c r="J3281" s="21">
        <v>0</v>
      </c>
      <c r="K3281" s="21">
        <v>0</v>
      </c>
      <c r="L3281" s="21">
        <v>0</v>
      </c>
      <c r="M3281" s="21">
        <v>0</v>
      </c>
      <c r="N3281" s="21">
        <v>0</v>
      </c>
      <c r="O3281" s="21">
        <v>0</v>
      </c>
      <c r="P3281" s="21">
        <v>0</v>
      </c>
      <c r="Q3281" s="21">
        <v>0</v>
      </c>
      <c r="R3281" s="21">
        <v>0</v>
      </c>
      <c r="S3281" s="21">
        <v>0</v>
      </c>
      <c r="T3281" s="21">
        <v>0</v>
      </c>
      <c r="U3281" s="21">
        <v>0</v>
      </c>
      <c r="V3281" s="21">
        <v>0</v>
      </c>
      <c r="W3281" s="21">
        <v>0</v>
      </c>
      <c r="X3281" s="21">
        <v>0</v>
      </c>
      <c r="Y3281" s="21" t="s">
        <v>2276</v>
      </c>
      <c r="Z3281" s="204" t="s">
        <v>425</v>
      </c>
      <c r="AA3281" s="204" t="s">
        <v>68</v>
      </c>
      <c r="AB3281" s="21" t="s">
        <v>2276</v>
      </c>
      <c r="AC3281" s="204"/>
      <c r="AD3281" s="204"/>
    </row>
    <row r="3282" spans="1:30" ht="44.5" customHeight="1">
      <c r="A3282" s="11" t="s">
        <v>8782</v>
      </c>
      <c r="B3282" s="11" t="s">
        <v>8782</v>
      </c>
      <c r="C3282" s="204" t="s">
        <v>24</v>
      </c>
      <c r="D3282" s="204" t="s">
        <v>2659</v>
      </c>
      <c r="E3282" s="4" t="s">
        <v>396</v>
      </c>
      <c r="F3282" s="4" t="s">
        <v>28</v>
      </c>
      <c r="G3282" s="4" t="s">
        <v>28</v>
      </c>
      <c r="H3282" s="204" t="s">
        <v>523</v>
      </c>
      <c r="I3282" s="204"/>
      <c r="J3282" s="21" t="s">
        <v>2276</v>
      </c>
      <c r="K3282" s="21" t="s">
        <v>2276</v>
      </c>
      <c r="L3282" s="21" t="s">
        <v>2276</v>
      </c>
      <c r="M3282" s="21" t="s">
        <v>2276</v>
      </c>
      <c r="N3282" s="21" t="s">
        <v>2276</v>
      </c>
      <c r="O3282" s="21" t="s">
        <v>2276</v>
      </c>
      <c r="P3282" s="21" t="s">
        <v>2276</v>
      </c>
      <c r="Q3282" s="21" t="s">
        <v>2276</v>
      </c>
      <c r="R3282" s="21" t="s">
        <v>2276</v>
      </c>
      <c r="S3282" s="21" t="s">
        <v>2276</v>
      </c>
      <c r="T3282" s="21">
        <v>3681.75</v>
      </c>
      <c r="U3282" s="21" t="s">
        <v>2276</v>
      </c>
      <c r="V3282" s="21">
        <v>60</v>
      </c>
      <c r="W3282" s="21" t="s">
        <v>2276</v>
      </c>
      <c r="X3282" s="21" t="s">
        <v>2276</v>
      </c>
      <c r="Y3282" s="21" t="s">
        <v>2276</v>
      </c>
      <c r="Z3282" s="204" t="s">
        <v>425</v>
      </c>
      <c r="AA3282" s="204" t="s">
        <v>68</v>
      </c>
      <c r="AB3282" s="21" t="s">
        <v>2276</v>
      </c>
      <c r="AC3282" s="204"/>
      <c r="AD3282" s="204"/>
    </row>
    <row r="3283" spans="1:30" ht="44.5" customHeight="1">
      <c r="A3283" s="11" t="s">
        <v>8783</v>
      </c>
      <c r="B3283" s="11" t="s">
        <v>8783</v>
      </c>
      <c r="C3283" s="204" t="s">
        <v>24</v>
      </c>
      <c r="D3283" s="204" t="s">
        <v>2659</v>
      </c>
      <c r="E3283" s="4" t="s">
        <v>396</v>
      </c>
      <c r="F3283" s="4" t="s">
        <v>28</v>
      </c>
      <c r="G3283" s="4" t="s">
        <v>28</v>
      </c>
      <c r="H3283" s="204" t="s">
        <v>524</v>
      </c>
      <c r="I3283" s="204"/>
      <c r="J3283" s="21">
        <v>0</v>
      </c>
      <c r="K3283" s="21">
        <v>0</v>
      </c>
      <c r="L3283" s="21">
        <v>0</v>
      </c>
      <c r="M3283" s="21">
        <v>0</v>
      </c>
      <c r="N3283" s="21">
        <v>0</v>
      </c>
      <c r="O3283" s="21">
        <v>0</v>
      </c>
      <c r="P3283" s="21">
        <v>0</v>
      </c>
      <c r="Q3283" s="21">
        <v>0</v>
      </c>
      <c r="R3283" s="21">
        <v>0</v>
      </c>
      <c r="S3283" s="21">
        <v>0</v>
      </c>
      <c r="T3283" s="21">
        <v>0</v>
      </c>
      <c r="U3283" s="21">
        <v>0</v>
      </c>
      <c r="V3283" s="21">
        <v>0</v>
      </c>
      <c r="W3283" s="21">
        <v>0</v>
      </c>
      <c r="X3283" s="21">
        <v>0</v>
      </c>
      <c r="Y3283" s="21" t="s">
        <v>2276</v>
      </c>
      <c r="Z3283" s="204" t="s">
        <v>425</v>
      </c>
      <c r="AA3283" s="204" t="s">
        <v>68</v>
      </c>
      <c r="AB3283" s="21" t="s">
        <v>2276</v>
      </c>
      <c r="AC3283" s="204"/>
      <c r="AD3283" s="204"/>
    </row>
    <row r="3284" spans="1:30" ht="44.5" customHeight="1">
      <c r="A3284" s="11" t="s">
        <v>8784</v>
      </c>
      <c r="B3284" s="11" t="s">
        <v>8784</v>
      </c>
      <c r="C3284" s="204" t="s">
        <v>24</v>
      </c>
      <c r="D3284" s="204" t="s">
        <v>2659</v>
      </c>
      <c r="E3284" s="4" t="s">
        <v>396</v>
      </c>
      <c r="F3284" s="4" t="s">
        <v>28</v>
      </c>
      <c r="G3284" s="4" t="s">
        <v>28</v>
      </c>
      <c r="H3284" s="204" t="s">
        <v>523</v>
      </c>
      <c r="I3284" s="204"/>
      <c r="J3284" s="21" t="s">
        <v>2276</v>
      </c>
      <c r="K3284" s="21" t="s">
        <v>2276</v>
      </c>
      <c r="L3284" s="21" t="s">
        <v>2276</v>
      </c>
      <c r="M3284" s="21" t="s">
        <v>2276</v>
      </c>
      <c r="N3284" s="21" t="s">
        <v>2276</v>
      </c>
      <c r="O3284" s="21" t="s">
        <v>2276</v>
      </c>
      <c r="P3284" s="21" t="s">
        <v>2276</v>
      </c>
      <c r="Q3284" s="21" t="s">
        <v>2276</v>
      </c>
      <c r="R3284" s="21" t="s">
        <v>2276</v>
      </c>
      <c r="S3284" s="21" t="s">
        <v>2276</v>
      </c>
      <c r="T3284" s="21">
        <v>167.5</v>
      </c>
      <c r="U3284" s="21" t="s">
        <v>2276</v>
      </c>
      <c r="V3284" s="21">
        <v>60</v>
      </c>
      <c r="W3284" s="21" t="s">
        <v>2276</v>
      </c>
      <c r="X3284" s="21" t="s">
        <v>2276</v>
      </c>
      <c r="Y3284" s="21" t="s">
        <v>2276</v>
      </c>
      <c r="Z3284" s="204" t="s">
        <v>425</v>
      </c>
      <c r="AA3284" s="204" t="s">
        <v>68</v>
      </c>
      <c r="AB3284" s="21" t="s">
        <v>2276</v>
      </c>
      <c r="AC3284" s="204"/>
      <c r="AD3284" s="204"/>
    </row>
    <row r="3285" spans="1:30" ht="44.5" customHeight="1">
      <c r="A3285" s="11" t="s">
        <v>8785</v>
      </c>
      <c r="B3285" s="11" t="s">
        <v>8785</v>
      </c>
      <c r="C3285" s="204" t="s">
        <v>24</v>
      </c>
      <c r="D3285" s="204" t="s">
        <v>2659</v>
      </c>
      <c r="E3285" s="4" t="s">
        <v>396</v>
      </c>
      <c r="F3285" s="4" t="s">
        <v>28</v>
      </c>
      <c r="G3285" s="4" t="s">
        <v>28</v>
      </c>
      <c r="H3285" s="204" t="s">
        <v>523</v>
      </c>
      <c r="I3285" s="204"/>
      <c r="J3285" s="21" t="s">
        <v>2276</v>
      </c>
      <c r="K3285" s="21" t="s">
        <v>2276</v>
      </c>
      <c r="L3285" s="21" t="s">
        <v>2276</v>
      </c>
      <c r="M3285" s="21" t="s">
        <v>2276</v>
      </c>
      <c r="N3285" s="21" t="s">
        <v>2276</v>
      </c>
      <c r="O3285" s="21" t="s">
        <v>2276</v>
      </c>
      <c r="P3285" s="21" t="s">
        <v>2276</v>
      </c>
      <c r="Q3285" s="21" t="s">
        <v>2276</v>
      </c>
      <c r="R3285" s="21" t="s">
        <v>2276</v>
      </c>
      <c r="S3285" s="21" t="s">
        <v>2276</v>
      </c>
      <c r="T3285" s="21">
        <v>1890.75</v>
      </c>
      <c r="U3285" s="21" t="s">
        <v>2276</v>
      </c>
      <c r="V3285" s="21">
        <v>60</v>
      </c>
      <c r="W3285" s="21" t="s">
        <v>2276</v>
      </c>
      <c r="X3285" s="21" t="s">
        <v>2276</v>
      </c>
      <c r="Y3285" s="21" t="s">
        <v>2276</v>
      </c>
      <c r="Z3285" s="204" t="s">
        <v>425</v>
      </c>
      <c r="AA3285" s="204" t="s">
        <v>68</v>
      </c>
      <c r="AB3285" s="21" t="s">
        <v>2276</v>
      </c>
      <c r="AC3285" s="204"/>
      <c r="AD3285" s="204"/>
    </row>
    <row r="3286" spans="1:30" ht="44.5" customHeight="1">
      <c r="A3286" s="11" t="s">
        <v>8799</v>
      </c>
      <c r="B3286" s="11" t="s">
        <v>8799</v>
      </c>
      <c r="C3286" s="204" t="s">
        <v>24</v>
      </c>
      <c r="D3286" s="204" t="s">
        <v>2659</v>
      </c>
      <c r="E3286" s="4" t="s">
        <v>396</v>
      </c>
      <c r="F3286" s="4" t="s">
        <v>28</v>
      </c>
      <c r="G3286" s="4" t="s">
        <v>28</v>
      </c>
      <c r="H3286" s="204" t="s">
        <v>523</v>
      </c>
      <c r="I3286" s="204"/>
      <c r="J3286" s="21" t="s">
        <v>2276</v>
      </c>
      <c r="K3286" s="21" t="s">
        <v>2276</v>
      </c>
      <c r="L3286" s="21" t="s">
        <v>2276</v>
      </c>
      <c r="M3286" s="21" t="s">
        <v>2276</v>
      </c>
      <c r="N3286" s="21" t="s">
        <v>2276</v>
      </c>
      <c r="O3286" s="21" t="s">
        <v>2276</v>
      </c>
      <c r="P3286" s="21" t="s">
        <v>2276</v>
      </c>
      <c r="Q3286" s="21" t="s">
        <v>2276</v>
      </c>
      <c r="R3286" s="21" t="s">
        <v>2276</v>
      </c>
      <c r="S3286" s="21" t="s">
        <v>2276</v>
      </c>
      <c r="T3286" s="21">
        <v>13</v>
      </c>
      <c r="U3286" s="21" t="s">
        <v>2276</v>
      </c>
      <c r="V3286" s="21">
        <v>60</v>
      </c>
      <c r="W3286" s="21" t="s">
        <v>2276</v>
      </c>
      <c r="X3286" s="21" t="s">
        <v>2276</v>
      </c>
      <c r="Y3286" s="21" t="s">
        <v>2276</v>
      </c>
      <c r="Z3286" s="204" t="s">
        <v>425</v>
      </c>
      <c r="AA3286" s="204" t="s">
        <v>68</v>
      </c>
      <c r="AB3286" s="21" t="s">
        <v>2276</v>
      </c>
      <c r="AC3286" s="204"/>
      <c r="AD3286" s="204"/>
    </row>
    <row r="3287" spans="1:30" ht="33.5" customHeight="1">
      <c r="A3287" s="11" t="s">
        <v>8806</v>
      </c>
      <c r="B3287" s="11" t="s">
        <v>8817</v>
      </c>
      <c r="C3287" s="204" t="s">
        <v>24</v>
      </c>
      <c r="D3287" s="204" t="s">
        <v>2659</v>
      </c>
      <c r="E3287" s="204" t="s">
        <v>2276</v>
      </c>
      <c r="F3287" s="4" t="s">
        <v>28</v>
      </c>
      <c r="G3287" s="204" t="s">
        <v>2276</v>
      </c>
      <c r="H3287" s="204" t="s">
        <v>523</v>
      </c>
      <c r="I3287" s="204"/>
      <c r="J3287" s="21" t="s">
        <v>2276</v>
      </c>
      <c r="K3287" s="21" t="s">
        <v>2276</v>
      </c>
      <c r="L3287" s="21" t="s">
        <v>2276</v>
      </c>
      <c r="M3287" s="21" t="s">
        <v>2276</v>
      </c>
      <c r="N3287" s="21" t="s">
        <v>2276</v>
      </c>
      <c r="O3287" s="21" t="s">
        <v>2276</v>
      </c>
      <c r="P3287" s="21" t="s">
        <v>2276</v>
      </c>
      <c r="Q3287" s="21" t="s">
        <v>2276</v>
      </c>
      <c r="R3287" s="21" t="s">
        <v>2276</v>
      </c>
      <c r="S3287" s="21" t="s">
        <v>2276</v>
      </c>
      <c r="T3287" s="21" t="s">
        <v>2276</v>
      </c>
      <c r="U3287" s="21" t="s">
        <v>2276</v>
      </c>
      <c r="V3287" s="21" t="s">
        <v>2276</v>
      </c>
      <c r="W3287" s="21" t="s">
        <v>2276</v>
      </c>
      <c r="X3287" s="21" t="s">
        <v>2276</v>
      </c>
      <c r="Y3287" s="21" t="s">
        <v>2276</v>
      </c>
      <c r="Z3287" s="204" t="s">
        <v>189</v>
      </c>
      <c r="AA3287" s="204" t="s">
        <v>38</v>
      </c>
      <c r="AB3287" s="204" t="s">
        <v>2655</v>
      </c>
      <c r="AC3287" s="204"/>
      <c r="AD3287" s="204"/>
    </row>
    <row r="3288" spans="1:30" ht="33.5" customHeight="1">
      <c r="A3288" s="11" t="s">
        <v>8811</v>
      </c>
      <c r="B3288" s="11" t="s">
        <v>8818</v>
      </c>
      <c r="C3288" s="204" t="s">
        <v>24</v>
      </c>
      <c r="D3288" s="204" t="s">
        <v>2659</v>
      </c>
      <c r="E3288" s="204" t="s">
        <v>2276</v>
      </c>
      <c r="F3288" s="4" t="s">
        <v>28</v>
      </c>
      <c r="G3288" s="204" t="s">
        <v>2276</v>
      </c>
      <c r="H3288" s="204" t="s">
        <v>523</v>
      </c>
      <c r="I3288" s="204"/>
      <c r="J3288" s="21" t="s">
        <v>2276</v>
      </c>
      <c r="K3288" s="21" t="s">
        <v>2276</v>
      </c>
      <c r="L3288" s="21" t="s">
        <v>2276</v>
      </c>
      <c r="M3288" s="21" t="s">
        <v>2276</v>
      </c>
      <c r="N3288" s="21" t="s">
        <v>2276</v>
      </c>
      <c r="O3288" s="21" t="s">
        <v>2276</v>
      </c>
      <c r="P3288" s="21" t="s">
        <v>2276</v>
      </c>
      <c r="Q3288" s="21" t="s">
        <v>2276</v>
      </c>
      <c r="R3288" s="21" t="s">
        <v>2276</v>
      </c>
      <c r="S3288" s="21" t="s">
        <v>2276</v>
      </c>
      <c r="T3288" s="21" t="s">
        <v>2276</v>
      </c>
      <c r="U3288" s="21" t="s">
        <v>2276</v>
      </c>
      <c r="V3288" s="21" t="s">
        <v>2276</v>
      </c>
      <c r="W3288" s="21" t="s">
        <v>2276</v>
      </c>
      <c r="X3288" s="21" t="s">
        <v>2276</v>
      </c>
      <c r="Y3288" s="21" t="s">
        <v>2276</v>
      </c>
      <c r="Z3288" s="204" t="s">
        <v>189</v>
      </c>
      <c r="AA3288" s="204" t="s">
        <v>38</v>
      </c>
      <c r="AB3288" s="204" t="s">
        <v>2655</v>
      </c>
      <c r="AC3288" s="204"/>
      <c r="AD3288" s="204"/>
    </row>
    <row r="3289" spans="1:30" ht="33.5" customHeight="1">
      <c r="A3289" s="11" t="s">
        <v>8813</v>
      </c>
      <c r="B3289" s="11" t="s">
        <v>8819</v>
      </c>
      <c r="C3289" s="204" t="s">
        <v>24</v>
      </c>
      <c r="D3289" s="204" t="s">
        <v>2659</v>
      </c>
      <c r="E3289" s="204" t="s">
        <v>2276</v>
      </c>
      <c r="F3289" s="4" t="s">
        <v>28</v>
      </c>
      <c r="G3289" s="204" t="s">
        <v>2276</v>
      </c>
      <c r="H3289" s="204" t="s">
        <v>523</v>
      </c>
      <c r="I3289" s="204"/>
      <c r="J3289" s="21" t="s">
        <v>2276</v>
      </c>
      <c r="K3289" s="21" t="s">
        <v>2276</v>
      </c>
      <c r="L3289" s="21" t="s">
        <v>2276</v>
      </c>
      <c r="M3289" s="21" t="s">
        <v>2276</v>
      </c>
      <c r="N3289" s="21" t="s">
        <v>2276</v>
      </c>
      <c r="O3289" s="21" t="s">
        <v>2276</v>
      </c>
      <c r="P3289" s="21" t="s">
        <v>2276</v>
      </c>
      <c r="Q3289" s="21" t="s">
        <v>2276</v>
      </c>
      <c r="R3289" s="21" t="s">
        <v>2276</v>
      </c>
      <c r="S3289" s="21" t="s">
        <v>2276</v>
      </c>
      <c r="T3289" s="21" t="s">
        <v>2276</v>
      </c>
      <c r="U3289" s="21" t="s">
        <v>2276</v>
      </c>
      <c r="V3289" s="21" t="s">
        <v>2276</v>
      </c>
      <c r="W3289" s="21" t="s">
        <v>2276</v>
      </c>
      <c r="X3289" s="21" t="s">
        <v>2276</v>
      </c>
      <c r="Y3289" s="21" t="s">
        <v>2276</v>
      </c>
      <c r="Z3289" s="204" t="s">
        <v>189</v>
      </c>
      <c r="AA3289" s="204" t="s">
        <v>38</v>
      </c>
      <c r="AB3289" s="204" t="s">
        <v>2655</v>
      </c>
      <c r="AC3289" s="204"/>
      <c r="AD3289" s="204"/>
    </row>
    <row r="3290" spans="1:30" ht="33.5" customHeight="1">
      <c r="A3290" s="11" t="s">
        <v>8814</v>
      </c>
      <c r="B3290" s="11" t="s">
        <v>8820</v>
      </c>
      <c r="C3290" s="204" t="s">
        <v>24</v>
      </c>
      <c r="D3290" s="204" t="s">
        <v>2659</v>
      </c>
      <c r="E3290" s="204" t="s">
        <v>2276</v>
      </c>
      <c r="F3290" s="4" t="s">
        <v>28</v>
      </c>
      <c r="G3290" s="204" t="s">
        <v>2276</v>
      </c>
      <c r="H3290" s="204" t="s">
        <v>523</v>
      </c>
      <c r="I3290" s="204"/>
      <c r="J3290" s="21" t="s">
        <v>2276</v>
      </c>
      <c r="K3290" s="21" t="s">
        <v>2276</v>
      </c>
      <c r="L3290" s="21" t="s">
        <v>2276</v>
      </c>
      <c r="M3290" s="21" t="s">
        <v>2276</v>
      </c>
      <c r="N3290" s="21" t="s">
        <v>2276</v>
      </c>
      <c r="O3290" s="21" t="s">
        <v>2276</v>
      </c>
      <c r="P3290" s="21" t="s">
        <v>2276</v>
      </c>
      <c r="Q3290" s="21" t="s">
        <v>2276</v>
      </c>
      <c r="R3290" s="21" t="s">
        <v>2276</v>
      </c>
      <c r="S3290" s="21" t="s">
        <v>2276</v>
      </c>
      <c r="T3290" s="21" t="s">
        <v>2276</v>
      </c>
      <c r="U3290" s="21" t="s">
        <v>2276</v>
      </c>
      <c r="V3290" s="21" t="s">
        <v>2276</v>
      </c>
      <c r="W3290" s="21" t="s">
        <v>2276</v>
      </c>
      <c r="X3290" s="21" t="s">
        <v>2276</v>
      </c>
      <c r="Y3290" s="21" t="s">
        <v>2276</v>
      </c>
      <c r="Z3290" s="204" t="s">
        <v>189</v>
      </c>
      <c r="AA3290" s="204" t="s">
        <v>38</v>
      </c>
      <c r="AB3290" s="204" t="s">
        <v>2655</v>
      </c>
      <c r="AC3290" s="204"/>
      <c r="AD3290" s="204"/>
    </row>
    <row r="3291" spans="1:30" ht="33.5" customHeight="1">
      <c r="A3291" s="11" t="s">
        <v>8815</v>
      </c>
      <c r="B3291" s="11" t="s">
        <v>8821</v>
      </c>
      <c r="C3291" s="204" t="s">
        <v>24</v>
      </c>
      <c r="D3291" s="204" t="s">
        <v>2659</v>
      </c>
      <c r="E3291" s="204" t="s">
        <v>2276</v>
      </c>
      <c r="F3291" s="4" t="s">
        <v>28</v>
      </c>
      <c r="G3291" s="204" t="s">
        <v>2276</v>
      </c>
      <c r="H3291" s="204" t="s">
        <v>523</v>
      </c>
      <c r="I3291" s="204"/>
      <c r="J3291" s="21" t="s">
        <v>2276</v>
      </c>
      <c r="K3291" s="21" t="s">
        <v>2276</v>
      </c>
      <c r="L3291" s="21" t="s">
        <v>2276</v>
      </c>
      <c r="M3291" s="21" t="s">
        <v>2276</v>
      </c>
      <c r="N3291" s="21" t="s">
        <v>2276</v>
      </c>
      <c r="O3291" s="21" t="s">
        <v>2276</v>
      </c>
      <c r="P3291" s="21" t="s">
        <v>2276</v>
      </c>
      <c r="Q3291" s="21" t="s">
        <v>2276</v>
      </c>
      <c r="R3291" s="21" t="s">
        <v>2276</v>
      </c>
      <c r="S3291" s="21" t="s">
        <v>2276</v>
      </c>
      <c r="T3291" s="21" t="s">
        <v>2276</v>
      </c>
      <c r="U3291" s="21" t="s">
        <v>2276</v>
      </c>
      <c r="V3291" s="21" t="s">
        <v>2276</v>
      </c>
      <c r="W3291" s="21" t="s">
        <v>2276</v>
      </c>
      <c r="X3291" s="21" t="s">
        <v>2276</v>
      </c>
      <c r="Y3291" s="21" t="s">
        <v>2276</v>
      </c>
      <c r="Z3291" s="204" t="s">
        <v>189</v>
      </c>
      <c r="AA3291" s="204" t="s">
        <v>38</v>
      </c>
      <c r="AB3291" s="204" t="s">
        <v>2655</v>
      </c>
      <c r="AC3291" s="204"/>
      <c r="AD3291" s="204"/>
    </row>
    <row r="3292" spans="1:30" ht="37" customHeight="1">
      <c r="A3292" s="11" t="s">
        <v>8806</v>
      </c>
      <c r="B3292" s="11" t="s">
        <v>8822</v>
      </c>
      <c r="C3292" s="204" t="s">
        <v>2458</v>
      </c>
      <c r="D3292" s="204" t="s">
        <v>2659</v>
      </c>
      <c r="E3292" s="204" t="s">
        <v>2276</v>
      </c>
      <c r="F3292" s="4" t="s">
        <v>28</v>
      </c>
      <c r="G3292" s="204" t="s">
        <v>2276</v>
      </c>
      <c r="H3292" s="204" t="s">
        <v>523</v>
      </c>
      <c r="I3292" s="204">
        <v>2006</v>
      </c>
      <c r="J3292" s="21" t="s">
        <v>2276</v>
      </c>
      <c r="K3292" s="21" t="s">
        <v>2276</v>
      </c>
      <c r="L3292" s="21" t="s">
        <v>2276</v>
      </c>
      <c r="M3292" s="21" t="s">
        <v>2276</v>
      </c>
      <c r="N3292" s="21" t="s">
        <v>2276</v>
      </c>
      <c r="O3292" s="21" t="s">
        <v>2276</v>
      </c>
      <c r="P3292" s="21" t="s">
        <v>2276</v>
      </c>
      <c r="Q3292" s="21" t="s">
        <v>2276</v>
      </c>
      <c r="R3292" s="21" t="s">
        <v>2276</v>
      </c>
      <c r="S3292" s="21" t="s">
        <v>2276</v>
      </c>
      <c r="T3292" s="21" t="s">
        <v>2276</v>
      </c>
      <c r="U3292" s="21" t="s">
        <v>2276</v>
      </c>
      <c r="V3292" s="21" t="s">
        <v>2276</v>
      </c>
      <c r="W3292" s="21" t="s">
        <v>2276</v>
      </c>
      <c r="X3292" s="21" t="s">
        <v>2276</v>
      </c>
      <c r="Y3292" s="21" t="s">
        <v>2276</v>
      </c>
      <c r="Z3292" s="4" t="s">
        <v>38</v>
      </c>
      <c r="AA3292" s="4" t="s">
        <v>86</v>
      </c>
      <c r="AB3292" s="4" t="s">
        <v>76</v>
      </c>
      <c r="AC3292" s="4" t="s">
        <v>8828</v>
      </c>
      <c r="AD3292" s="204"/>
    </row>
    <row r="3293" spans="1:30" ht="37" customHeight="1">
      <c r="A3293" s="11" t="s">
        <v>8811</v>
      </c>
      <c r="B3293" s="11" t="s">
        <v>8823</v>
      </c>
      <c r="C3293" s="204" t="s">
        <v>2458</v>
      </c>
      <c r="D3293" s="204" t="s">
        <v>2659</v>
      </c>
      <c r="E3293" s="204" t="s">
        <v>2276</v>
      </c>
      <c r="F3293" s="4" t="s">
        <v>28</v>
      </c>
      <c r="G3293" s="204" t="s">
        <v>2276</v>
      </c>
      <c r="H3293" s="204" t="s">
        <v>523</v>
      </c>
      <c r="I3293" s="204">
        <v>2006</v>
      </c>
      <c r="J3293" s="21" t="s">
        <v>2276</v>
      </c>
      <c r="K3293" s="21" t="s">
        <v>2276</v>
      </c>
      <c r="L3293" s="21" t="s">
        <v>2276</v>
      </c>
      <c r="M3293" s="21" t="s">
        <v>2276</v>
      </c>
      <c r="N3293" s="21" t="s">
        <v>2276</v>
      </c>
      <c r="O3293" s="21" t="s">
        <v>2276</v>
      </c>
      <c r="P3293" s="21" t="s">
        <v>2276</v>
      </c>
      <c r="Q3293" s="21" t="s">
        <v>2276</v>
      </c>
      <c r="R3293" s="21" t="s">
        <v>2276</v>
      </c>
      <c r="S3293" s="21" t="s">
        <v>2276</v>
      </c>
      <c r="T3293" s="21" t="s">
        <v>2276</v>
      </c>
      <c r="U3293" s="21" t="s">
        <v>2276</v>
      </c>
      <c r="V3293" s="21" t="s">
        <v>2276</v>
      </c>
      <c r="W3293" s="21" t="s">
        <v>2276</v>
      </c>
      <c r="X3293" s="21" t="s">
        <v>2276</v>
      </c>
      <c r="Y3293" s="21" t="s">
        <v>2276</v>
      </c>
      <c r="Z3293" s="4" t="s">
        <v>38</v>
      </c>
      <c r="AA3293" s="4" t="s">
        <v>86</v>
      </c>
      <c r="AB3293" s="4" t="s">
        <v>76</v>
      </c>
      <c r="AC3293" s="4" t="s">
        <v>8828</v>
      </c>
      <c r="AD3293" s="204"/>
    </row>
    <row r="3294" spans="1:30" ht="37" customHeight="1">
      <c r="A3294" s="11" t="s">
        <v>8812</v>
      </c>
      <c r="B3294" s="11" t="s">
        <v>8827</v>
      </c>
      <c r="C3294" s="204" t="s">
        <v>2458</v>
      </c>
      <c r="D3294" s="204" t="s">
        <v>2659</v>
      </c>
      <c r="E3294" s="204" t="s">
        <v>2276</v>
      </c>
      <c r="F3294" s="4" t="s">
        <v>28</v>
      </c>
      <c r="G3294" s="204" t="s">
        <v>74</v>
      </c>
      <c r="H3294" s="204" t="s">
        <v>523</v>
      </c>
      <c r="I3294" s="204">
        <v>2006</v>
      </c>
      <c r="J3294" s="21" t="s">
        <v>2276</v>
      </c>
      <c r="K3294" s="21" t="s">
        <v>2276</v>
      </c>
      <c r="L3294" s="21" t="s">
        <v>2276</v>
      </c>
      <c r="M3294" s="21" t="s">
        <v>2276</v>
      </c>
      <c r="N3294" s="21" t="s">
        <v>2276</v>
      </c>
      <c r="O3294" s="21" t="s">
        <v>2276</v>
      </c>
      <c r="P3294" s="21" t="s">
        <v>2276</v>
      </c>
      <c r="Q3294" s="21" t="s">
        <v>2276</v>
      </c>
      <c r="R3294" s="21" t="s">
        <v>2276</v>
      </c>
      <c r="S3294" s="21" t="s">
        <v>2276</v>
      </c>
      <c r="T3294" s="21" t="s">
        <v>2276</v>
      </c>
      <c r="U3294" s="21" t="s">
        <v>2276</v>
      </c>
      <c r="V3294" s="21" t="s">
        <v>2276</v>
      </c>
      <c r="W3294" s="21" t="s">
        <v>2276</v>
      </c>
      <c r="X3294" s="21" t="s">
        <v>2276</v>
      </c>
      <c r="Y3294" s="21" t="s">
        <v>2276</v>
      </c>
      <c r="Z3294" s="4" t="s">
        <v>38</v>
      </c>
      <c r="AA3294" s="4" t="s">
        <v>86</v>
      </c>
      <c r="AB3294" s="4" t="s">
        <v>76</v>
      </c>
      <c r="AC3294" s="4" t="s">
        <v>8828</v>
      </c>
      <c r="AD3294" s="204"/>
    </row>
    <row r="3295" spans="1:30" ht="37" customHeight="1">
      <c r="A3295" s="11" t="s">
        <v>8813</v>
      </c>
      <c r="B3295" s="11" t="s">
        <v>8824</v>
      </c>
      <c r="C3295" s="204" t="s">
        <v>2458</v>
      </c>
      <c r="D3295" s="204" t="s">
        <v>2659</v>
      </c>
      <c r="E3295" s="204" t="s">
        <v>2276</v>
      </c>
      <c r="F3295" s="4" t="s">
        <v>28</v>
      </c>
      <c r="G3295" s="204" t="s">
        <v>2276</v>
      </c>
      <c r="H3295" s="204" t="s">
        <v>523</v>
      </c>
      <c r="I3295" s="204">
        <v>2006</v>
      </c>
      <c r="J3295" s="21" t="s">
        <v>2276</v>
      </c>
      <c r="K3295" s="21" t="s">
        <v>2276</v>
      </c>
      <c r="L3295" s="21" t="s">
        <v>2276</v>
      </c>
      <c r="M3295" s="21" t="s">
        <v>2276</v>
      </c>
      <c r="N3295" s="21" t="s">
        <v>2276</v>
      </c>
      <c r="O3295" s="21" t="s">
        <v>2276</v>
      </c>
      <c r="P3295" s="21" t="s">
        <v>2276</v>
      </c>
      <c r="Q3295" s="21" t="s">
        <v>2276</v>
      </c>
      <c r="R3295" s="21" t="s">
        <v>2276</v>
      </c>
      <c r="S3295" s="21" t="s">
        <v>2276</v>
      </c>
      <c r="T3295" s="21" t="s">
        <v>2276</v>
      </c>
      <c r="U3295" s="21" t="s">
        <v>2276</v>
      </c>
      <c r="V3295" s="21" t="s">
        <v>2276</v>
      </c>
      <c r="W3295" s="21" t="s">
        <v>2276</v>
      </c>
      <c r="X3295" s="21" t="s">
        <v>2276</v>
      </c>
      <c r="Y3295" s="21" t="s">
        <v>2276</v>
      </c>
      <c r="Z3295" s="4" t="s">
        <v>38</v>
      </c>
      <c r="AA3295" s="4" t="s">
        <v>86</v>
      </c>
      <c r="AB3295" s="4" t="s">
        <v>76</v>
      </c>
      <c r="AC3295" s="4" t="s">
        <v>8828</v>
      </c>
      <c r="AD3295" s="204"/>
    </row>
    <row r="3296" spans="1:30" ht="37" customHeight="1">
      <c r="A3296" s="11" t="s">
        <v>8814</v>
      </c>
      <c r="B3296" s="11" t="s">
        <v>8825</v>
      </c>
      <c r="C3296" s="204" t="s">
        <v>2458</v>
      </c>
      <c r="D3296" s="204" t="s">
        <v>2659</v>
      </c>
      <c r="E3296" s="204" t="s">
        <v>2276</v>
      </c>
      <c r="F3296" s="4" t="s">
        <v>28</v>
      </c>
      <c r="G3296" s="204" t="s">
        <v>2276</v>
      </c>
      <c r="H3296" s="204" t="s">
        <v>523</v>
      </c>
      <c r="I3296" s="204">
        <v>2006</v>
      </c>
      <c r="J3296" s="21" t="s">
        <v>2276</v>
      </c>
      <c r="K3296" s="21" t="s">
        <v>2276</v>
      </c>
      <c r="L3296" s="21" t="s">
        <v>2276</v>
      </c>
      <c r="M3296" s="21" t="s">
        <v>2276</v>
      </c>
      <c r="N3296" s="21" t="s">
        <v>2276</v>
      </c>
      <c r="O3296" s="21" t="s">
        <v>2276</v>
      </c>
      <c r="P3296" s="21" t="s">
        <v>2276</v>
      </c>
      <c r="Q3296" s="21" t="s">
        <v>2276</v>
      </c>
      <c r="R3296" s="21" t="s">
        <v>2276</v>
      </c>
      <c r="S3296" s="21" t="s">
        <v>2276</v>
      </c>
      <c r="T3296" s="21" t="s">
        <v>2276</v>
      </c>
      <c r="U3296" s="21" t="s">
        <v>2276</v>
      </c>
      <c r="V3296" s="21" t="s">
        <v>2276</v>
      </c>
      <c r="W3296" s="21" t="s">
        <v>2276</v>
      </c>
      <c r="X3296" s="21" t="s">
        <v>2276</v>
      </c>
      <c r="Y3296" s="21" t="s">
        <v>2276</v>
      </c>
      <c r="Z3296" s="4" t="s">
        <v>38</v>
      </c>
      <c r="AA3296" s="4" t="s">
        <v>86</v>
      </c>
      <c r="AB3296" s="4" t="s">
        <v>76</v>
      </c>
      <c r="AC3296" s="4" t="s">
        <v>8828</v>
      </c>
      <c r="AD3296" s="204"/>
    </row>
    <row r="3297" spans="1:30" ht="37" customHeight="1">
      <c r="A3297" s="11" t="s">
        <v>8815</v>
      </c>
      <c r="B3297" s="11" t="s">
        <v>8826</v>
      </c>
      <c r="C3297" s="204" t="s">
        <v>2458</v>
      </c>
      <c r="D3297" s="204" t="s">
        <v>2659</v>
      </c>
      <c r="E3297" s="204" t="s">
        <v>2276</v>
      </c>
      <c r="F3297" s="4" t="s">
        <v>28</v>
      </c>
      <c r="G3297" s="204" t="s">
        <v>2276</v>
      </c>
      <c r="H3297" s="204" t="s">
        <v>523</v>
      </c>
      <c r="I3297" s="204">
        <v>2006</v>
      </c>
      <c r="J3297" s="21" t="s">
        <v>2276</v>
      </c>
      <c r="K3297" s="21" t="s">
        <v>2276</v>
      </c>
      <c r="L3297" s="21" t="s">
        <v>2276</v>
      </c>
      <c r="M3297" s="21" t="s">
        <v>2276</v>
      </c>
      <c r="N3297" s="21" t="s">
        <v>2276</v>
      </c>
      <c r="O3297" s="21" t="s">
        <v>2276</v>
      </c>
      <c r="P3297" s="21" t="s">
        <v>2276</v>
      </c>
      <c r="Q3297" s="21" t="s">
        <v>2276</v>
      </c>
      <c r="R3297" s="21" t="s">
        <v>2276</v>
      </c>
      <c r="S3297" s="21" t="s">
        <v>2276</v>
      </c>
      <c r="T3297" s="21" t="s">
        <v>2276</v>
      </c>
      <c r="U3297" s="21" t="s">
        <v>2276</v>
      </c>
      <c r="V3297" s="21" t="s">
        <v>2276</v>
      </c>
      <c r="W3297" s="21" t="s">
        <v>2276</v>
      </c>
      <c r="X3297" s="21" t="s">
        <v>2276</v>
      </c>
      <c r="Y3297" s="21" t="s">
        <v>2276</v>
      </c>
      <c r="Z3297" s="4" t="s">
        <v>38</v>
      </c>
      <c r="AA3297" s="4" t="s">
        <v>86</v>
      </c>
      <c r="AB3297" s="4" t="s">
        <v>76</v>
      </c>
      <c r="AC3297" s="4" t="s">
        <v>8828</v>
      </c>
      <c r="AD3297" s="204"/>
    </row>
    <row r="3298" spans="1:30" ht="55.5" customHeight="1">
      <c r="A3298" s="11" t="s">
        <v>8831</v>
      </c>
      <c r="B3298" s="11" t="s">
        <v>8832</v>
      </c>
      <c r="C3298" s="204" t="s">
        <v>24</v>
      </c>
      <c r="D3298" s="204" t="s">
        <v>2659</v>
      </c>
      <c r="E3298" s="4" t="s">
        <v>397</v>
      </c>
      <c r="F3298" s="4" t="s">
        <v>28</v>
      </c>
      <c r="G3298" s="204" t="s">
        <v>2276</v>
      </c>
      <c r="H3298" s="204" t="s">
        <v>524</v>
      </c>
      <c r="I3298" s="204"/>
      <c r="J3298" s="21">
        <v>0</v>
      </c>
      <c r="K3298" s="21">
        <v>0</v>
      </c>
      <c r="L3298" s="21">
        <v>0</v>
      </c>
      <c r="M3298" s="21">
        <v>0</v>
      </c>
      <c r="N3298" s="21">
        <v>0</v>
      </c>
      <c r="O3298" s="21">
        <v>0</v>
      </c>
      <c r="P3298" s="21">
        <v>0</v>
      </c>
      <c r="Q3298" s="21">
        <v>0</v>
      </c>
      <c r="R3298" s="21">
        <v>0</v>
      </c>
      <c r="S3298" s="21">
        <v>0</v>
      </c>
      <c r="T3298" s="21">
        <v>0</v>
      </c>
      <c r="U3298" s="21">
        <v>0</v>
      </c>
      <c r="V3298" s="21">
        <v>0</v>
      </c>
      <c r="W3298" s="21">
        <v>0</v>
      </c>
      <c r="X3298" s="21">
        <v>0</v>
      </c>
      <c r="Y3298" s="21" t="s">
        <v>2276</v>
      </c>
      <c r="Z3298" s="204" t="s">
        <v>399</v>
      </c>
      <c r="AA3298" s="204" t="s">
        <v>405</v>
      </c>
      <c r="AB3298" s="204" t="s">
        <v>2276</v>
      </c>
      <c r="AC3298" s="4" t="s">
        <v>8836</v>
      </c>
      <c r="AD3298" s="204"/>
    </row>
    <row r="3299" spans="1:30" ht="55.5" customHeight="1">
      <c r="A3299" s="11" t="s">
        <v>8831</v>
      </c>
      <c r="B3299" s="11" t="s">
        <v>8833</v>
      </c>
      <c r="C3299" s="204" t="s">
        <v>24</v>
      </c>
      <c r="D3299" s="204" t="s">
        <v>2659</v>
      </c>
      <c r="E3299" s="4" t="s">
        <v>3854</v>
      </c>
      <c r="F3299" s="4" t="s">
        <v>28</v>
      </c>
      <c r="G3299" s="204" t="s">
        <v>2276</v>
      </c>
      <c r="H3299" s="204" t="s">
        <v>524</v>
      </c>
      <c r="I3299" s="204"/>
      <c r="J3299" s="21">
        <v>0</v>
      </c>
      <c r="K3299" s="21">
        <v>0</v>
      </c>
      <c r="L3299" s="21">
        <v>0</v>
      </c>
      <c r="M3299" s="21">
        <v>0</v>
      </c>
      <c r="N3299" s="21">
        <v>0</v>
      </c>
      <c r="O3299" s="21">
        <v>0</v>
      </c>
      <c r="P3299" s="21">
        <v>0</v>
      </c>
      <c r="Q3299" s="21">
        <v>0</v>
      </c>
      <c r="R3299" s="21">
        <v>0</v>
      </c>
      <c r="S3299" s="21">
        <v>0</v>
      </c>
      <c r="T3299" s="21">
        <v>0</v>
      </c>
      <c r="U3299" s="21">
        <v>0</v>
      </c>
      <c r="V3299" s="21">
        <v>0</v>
      </c>
      <c r="W3299" s="21">
        <v>0</v>
      </c>
      <c r="X3299" s="21">
        <v>0</v>
      </c>
      <c r="Y3299" s="21" t="s">
        <v>2276</v>
      </c>
      <c r="Z3299" s="204" t="s">
        <v>399</v>
      </c>
      <c r="AA3299" s="204" t="s">
        <v>405</v>
      </c>
      <c r="AB3299" s="204" t="s">
        <v>2276</v>
      </c>
      <c r="AC3299" s="4" t="s">
        <v>8836</v>
      </c>
      <c r="AD3299" s="204"/>
    </row>
    <row r="3300" spans="1:30" ht="54.5" customHeight="1">
      <c r="A3300" s="11" t="s">
        <v>8831</v>
      </c>
      <c r="B3300" s="11" t="s">
        <v>8834</v>
      </c>
      <c r="C3300" s="204" t="s">
        <v>24</v>
      </c>
      <c r="D3300" s="204" t="s">
        <v>2659</v>
      </c>
      <c r="E3300" s="4" t="s">
        <v>397</v>
      </c>
      <c r="F3300" s="4" t="s">
        <v>28</v>
      </c>
      <c r="G3300" s="204" t="s">
        <v>2276</v>
      </c>
      <c r="H3300" s="204" t="s">
        <v>523</v>
      </c>
      <c r="I3300" s="204"/>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1" t="s">
        <v>2276</v>
      </c>
      <c r="Y3300" s="21" t="s">
        <v>2276</v>
      </c>
      <c r="Z3300" s="204" t="s">
        <v>35</v>
      </c>
      <c r="AA3300" s="204" t="s">
        <v>127</v>
      </c>
      <c r="AB3300" s="204" t="s">
        <v>2276</v>
      </c>
      <c r="AC3300" s="4"/>
      <c r="AD3300" s="4" t="s">
        <v>8837</v>
      </c>
    </row>
    <row r="3301" spans="1:30" ht="56.5" customHeight="1">
      <c r="A3301" s="11" t="s">
        <v>8831</v>
      </c>
      <c r="B3301" s="11" t="s">
        <v>8835</v>
      </c>
      <c r="C3301" s="204" t="s">
        <v>24</v>
      </c>
      <c r="D3301" s="204" t="s">
        <v>2659</v>
      </c>
      <c r="E3301" s="4" t="s">
        <v>3854</v>
      </c>
      <c r="F3301" s="4" t="s">
        <v>28</v>
      </c>
      <c r="G3301" s="204" t="s">
        <v>2276</v>
      </c>
      <c r="H3301" s="204" t="s">
        <v>524</v>
      </c>
      <c r="I3301" s="204"/>
      <c r="J3301" s="21">
        <v>0</v>
      </c>
      <c r="K3301" s="21">
        <v>0</v>
      </c>
      <c r="L3301" s="21">
        <v>0</v>
      </c>
      <c r="M3301" s="21">
        <v>0</v>
      </c>
      <c r="N3301" s="21">
        <v>0</v>
      </c>
      <c r="O3301" s="21">
        <v>0</v>
      </c>
      <c r="P3301" s="21">
        <v>0</v>
      </c>
      <c r="Q3301" s="21">
        <v>0</v>
      </c>
      <c r="R3301" s="21">
        <v>0</v>
      </c>
      <c r="S3301" s="21">
        <v>0</v>
      </c>
      <c r="T3301" s="21">
        <v>0</v>
      </c>
      <c r="U3301" s="21">
        <v>0</v>
      </c>
      <c r="V3301" s="21">
        <v>0</v>
      </c>
      <c r="W3301" s="21">
        <v>0</v>
      </c>
      <c r="X3301" s="21">
        <v>0</v>
      </c>
      <c r="Y3301" s="21">
        <v>0</v>
      </c>
      <c r="Z3301" s="204" t="s">
        <v>35</v>
      </c>
      <c r="AA3301" s="204" t="s">
        <v>127</v>
      </c>
      <c r="AB3301" s="204" t="s">
        <v>2276</v>
      </c>
      <c r="AC3301" s="4"/>
      <c r="AD3301" s="4" t="s">
        <v>8837</v>
      </c>
    </row>
    <row r="3302" spans="1:30" ht="51.5" customHeight="1">
      <c r="A3302" s="19" t="s">
        <v>8838</v>
      </c>
      <c r="B3302" s="19" t="s">
        <v>8841</v>
      </c>
      <c r="C3302" s="4" t="s">
        <v>24</v>
      </c>
      <c r="D3302" s="4" t="s">
        <v>1131</v>
      </c>
      <c r="E3302" s="4" t="s">
        <v>396</v>
      </c>
      <c r="F3302" s="4" t="s">
        <v>28</v>
      </c>
      <c r="G3302" s="204" t="s">
        <v>2276</v>
      </c>
      <c r="H3302" s="204" t="s">
        <v>523</v>
      </c>
      <c r="I3302" s="204"/>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1" t="s">
        <v>2276</v>
      </c>
      <c r="Y3302" s="21" t="s">
        <v>2276</v>
      </c>
      <c r="Z3302" s="21" t="s">
        <v>2276</v>
      </c>
      <c r="AA3302" s="21" t="s">
        <v>2276</v>
      </c>
      <c r="AB3302" s="21" t="s">
        <v>2276</v>
      </c>
      <c r="AC3302" s="19" t="s">
        <v>8842</v>
      </c>
      <c r="AD3302" s="204"/>
    </row>
    <row r="3303" spans="1:30" ht="34.5" customHeight="1">
      <c r="A3303" s="11" t="s">
        <v>8844</v>
      </c>
      <c r="B3303" s="11" t="s">
        <v>8846</v>
      </c>
      <c r="C3303" s="4" t="s">
        <v>24</v>
      </c>
      <c r="D3303" s="204" t="s">
        <v>27</v>
      </c>
      <c r="E3303" s="204" t="s">
        <v>130</v>
      </c>
      <c r="F3303" s="4" t="s">
        <v>74</v>
      </c>
      <c r="G3303" s="204" t="s">
        <v>2276</v>
      </c>
      <c r="H3303" s="204" t="s">
        <v>523</v>
      </c>
      <c r="I3303" s="204"/>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1" t="s">
        <v>2276</v>
      </c>
      <c r="AA3303" s="21" t="s">
        <v>2276</v>
      </c>
      <c r="AB3303" s="21" t="s">
        <v>2276</v>
      </c>
      <c r="AC3303" s="204"/>
      <c r="AD3303" s="204"/>
    </row>
    <row r="3304" spans="1:30" ht="36" customHeight="1">
      <c r="A3304" s="11" t="s">
        <v>8844</v>
      </c>
      <c r="B3304" s="11" t="s">
        <v>8848</v>
      </c>
      <c r="C3304" s="4" t="s">
        <v>24</v>
      </c>
      <c r="D3304" s="204" t="s">
        <v>1105</v>
      </c>
      <c r="E3304" s="204" t="s">
        <v>84</v>
      </c>
      <c r="F3304" s="4" t="s">
        <v>28</v>
      </c>
      <c r="G3304" s="204" t="s">
        <v>2276</v>
      </c>
      <c r="H3304" s="204" t="s">
        <v>524</v>
      </c>
      <c r="I3304" s="204"/>
      <c r="J3304" s="21">
        <v>0</v>
      </c>
      <c r="K3304" s="21">
        <v>0</v>
      </c>
      <c r="L3304" s="21">
        <v>0</v>
      </c>
      <c r="M3304" s="21">
        <v>0</v>
      </c>
      <c r="N3304" s="21">
        <v>0</v>
      </c>
      <c r="O3304" s="21">
        <v>0</v>
      </c>
      <c r="P3304" s="21">
        <v>0</v>
      </c>
      <c r="Q3304" s="21">
        <v>0</v>
      </c>
      <c r="R3304" s="21">
        <v>0</v>
      </c>
      <c r="S3304" s="21">
        <v>0</v>
      </c>
      <c r="T3304" s="21">
        <v>0</v>
      </c>
      <c r="U3304" s="21">
        <v>0</v>
      </c>
      <c r="V3304" s="21">
        <v>0</v>
      </c>
      <c r="W3304" s="21">
        <v>0</v>
      </c>
      <c r="X3304" s="21">
        <v>0</v>
      </c>
      <c r="Y3304" s="21" t="s">
        <v>2276</v>
      </c>
      <c r="Z3304" s="21" t="s">
        <v>2276</v>
      </c>
      <c r="AA3304" s="21" t="s">
        <v>2276</v>
      </c>
      <c r="AB3304" s="21" t="s">
        <v>2276</v>
      </c>
      <c r="AC3304" s="4" t="s">
        <v>8847</v>
      </c>
      <c r="AD3304" s="204"/>
    </row>
    <row r="3305" spans="1:30" ht="37" customHeight="1">
      <c r="A3305" s="11" t="s">
        <v>8844</v>
      </c>
      <c r="B3305" s="11" t="s">
        <v>8849</v>
      </c>
      <c r="C3305" s="4" t="s">
        <v>24</v>
      </c>
      <c r="D3305" s="204" t="s">
        <v>1105</v>
      </c>
      <c r="E3305" s="204" t="s">
        <v>2649</v>
      </c>
      <c r="F3305" s="4" t="s">
        <v>2663</v>
      </c>
      <c r="G3305" s="204" t="s">
        <v>2276</v>
      </c>
      <c r="H3305" s="204" t="s">
        <v>524</v>
      </c>
      <c r="I3305" s="204"/>
      <c r="J3305" s="21">
        <v>0</v>
      </c>
      <c r="K3305" s="21">
        <v>0</v>
      </c>
      <c r="L3305" s="21">
        <v>0</v>
      </c>
      <c r="M3305" s="21">
        <v>0</v>
      </c>
      <c r="N3305" s="21">
        <v>0</v>
      </c>
      <c r="O3305" s="21">
        <v>0</v>
      </c>
      <c r="P3305" s="21">
        <v>0</v>
      </c>
      <c r="Q3305" s="21">
        <v>0</v>
      </c>
      <c r="R3305" s="21">
        <v>0</v>
      </c>
      <c r="S3305" s="21">
        <v>0</v>
      </c>
      <c r="T3305" s="21">
        <v>0</v>
      </c>
      <c r="U3305" s="21">
        <v>0</v>
      </c>
      <c r="V3305" s="21">
        <v>0</v>
      </c>
      <c r="W3305" s="21">
        <v>0</v>
      </c>
      <c r="X3305" s="21">
        <v>0</v>
      </c>
      <c r="Y3305" s="21" t="s">
        <v>2276</v>
      </c>
      <c r="Z3305" s="21" t="s">
        <v>2276</v>
      </c>
      <c r="AA3305" s="21" t="s">
        <v>2276</v>
      </c>
      <c r="AB3305" s="21" t="s">
        <v>2276</v>
      </c>
      <c r="AC3305" s="204"/>
      <c r="AD3305" s="204"/>
    </row>
    <row r="3306" spans="1:30" ht="52" customHeight="1">
      <c r="A3306" s="11" t="s">
        <v>8853</v>
      </c>
      <c r="B3306" s="11" t="s">
        <v>8864</v>
      </c>
      <c r="C3306" s="4" t="s">
        <v>24</v>
      </c>
      <c r="D3306" s="204" t="s">
        <v>27</v>
      </c>
      <c r="E3306" s="4" t="s">
        <v>130</v>
      </c>
      <c r="F3306" s="4" t="s">
        <v>28</v>
      </c>
      <c r="G3306" s="204" t="s">
        <v>2276</v>
      </c>
      <c r="H3306" s="204" t="s">
        <v>523</v>
      </c>
      <c r="I3306" s="204"/>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1" t="s">
        <v>2276</v>
      </c>
      <c r="Y3306" s="21" t="s">
        <v>2276</v>
      </c>
      <c r="Z3306" s="21" t="s">
        <v>2276</v>
      </c>
      <c r="AA3306" s="21" t="s">
        <v>2276</v>
      </c>
      <c r="AB3306" s="21" t="s">
        <v>2276</v>
      </c>
      <c r="AC3306" s="204"/>
      <c r="AD3306" s="204"/>
    </row>
    <row r="3307" spans="1:30" ht="44.5" customHeight="1">
      <c r="A3307" s="11" t="s">
        <v>8853</v>
      </c>
      <c r="B3307" s="11" t="s">
        <v>8865</v>
      </c>
      <c r="C3307" s="4" t="s">
        <v>24</v>
      </c>
      <c r="D3307" s="204" t="s">
        <v>27</v>
      </c>
      <c r="E3307" s="4" t="s">
        <v>397</v>
      </c>
      <c r="F3307" s="4" t="s">
        <v>28</v>
      </c>
      <c r="G3307" s="204" t="s">
        <v>2276</v>
      </c>
      <c r="H3307" s="204" t="s">
        <v>524</v>
      </c>
      <c r="I3307" s="204"/>
      <c r="J3307" s="21">
        <v>0</v>
      </c>
      <c r="K3307" s="21">
        <v>0</v>
      </c>
      <c r="L3307" s="21">
        <v>0</v>
      </c>
      <c r="M3307" s="21">
        <v>0</v>
      </c>
      <c r="N3307" s="21">
        <v>0</v>
      </c>
      <c r="O3307" s="21">
        <v>0</v>
      </c>
      <c r="P3307" s="21">
        <v>0</v>
      </c>
      <c r="Q3307" s="21">
        <v>0</v>
      </c>
      <c r="R3307" s="21">
        <v>0</v>
      </c>
      <c r="S3307" s="21">
        <v>0</v>
      </c>
      <c r="T3307" s="21">
        <v>0</v>
      </c>
      <c r="U3307" s="21">
        <v>0</v>
      </c>
      <c r="V3307" s="21">
        <v>0</v>
      </c>
      <c r="W3307" s="21">
        <v>0</v>
      </c>
      <c r="X3307" s="21">
        <v>0</v>
      </c>
      <c r="Y3307" s="21" t="s">
        <v>2276</v>
      </c>
      <c r="Z3307" s="21" t="s">
        <v>2276</v>
      </c>
      <c r="AA3307" s="21" t="s">
        <v>2276</v>
      </c>
      <c r="AB3307" s="21" t="s">
        <v>2276</v>
      </c>
      <c r="AC3307" s="204"/>
      <c r="AD3307" s="204"/>
    </row>
    <row r="3308" spans="1:30" ht="56.5" customHeight="1">
      <c r="A3308" s="11" t="s">
        <v>8853</v>
      </c>
      <c r="B3308" s="11" t="s">
        <v>8866</v>
      </c>
      <c r="C3308" s="4" t="s">
        <v>24</v>
      </c>
      <c r="D3308" s="204" t="s">
        <v>27</v>
      </c>
      <c r="E3308" s="4" t="s">
        <v>3854</v>
      </c>
      <c r="F3308" s="4" t="s">
        <v>28</v>
      </c>
      <c r="G3308" s="204" t="s">
        <v>2276</v>
      </c>
      <c r="H3308" s="204" t="s">
        <v>524</v>
      </c>
      <c r="I3308" s="204"/>
      <c r="J3308" s="21">
        <v>0</v>
      </c>
      <c r="K3308" s="21">
        <v>0</v>
      </c>
      <c r="L3308" s="21">
        <v>0</v>
      </c>
      <c r="M3308" s="21">
        <v>0</v>
      </c>
      <c r="N3308" s="21">
        <v>0</v>
      </c>
      <c r="O3308" s="21">
        <v>0</v>
      </c>
      <c r="P3308" s="21">
        <v>0</v>
      </c>
      <c r="Q3308" s="21">
        <v>0</v>
      </c>
      <c r="R3308" s="21">
        <v>0</v>
      </c>
      <c r="S3308" s="21">
        <v>0</v>
      </c>
      <c r="T3308" s="21">
        <v>0</v>
      </c>
      <c r="U3308" s="21">
        <v>0</v>
      </c>
      <c r="V3308" s="21">
        <v>0</v>
      </c>
      <c r="W3308" s="21">
        <v>0</v>
      </c>
      <c r="X3308" s="21">
        <v>0</v>
      </c>
      <c r="Y3308" s="21" t="s">
        <v>2276</v>
      </c>
      <c r="Z3308" s="21" t="s">
        <v>2276</v>
      </c>
      <c r="AA3308" s="21" t="s">
        <v>2276</v>
      </c>
      <c r="AB3308" s="21" t="s">
        <v>2276</v>
      </c>
      <c r="AC3308" s="204"/>
      <c r="AD3308" s="204"/>
    </row>
    <row r="3309" spans="1:30" ht="29" customHeight="1">
      <c r="A3309" s="11" t="s">
        <v>8861</v>
      </c>
      <c r="B3309" s="11" t="s">
        <v>8867</v>
      </c>
      <c r="C3309" s="4" t="s">
        <v>24</v>
      </c>
      <c r="D3309" s="204" t="s">
        <v>27</v>
      </c>
      <c r="E3309" s="4" t="s">
        <v>130</v>
      </c>
      <c r="F3309" s="4" t="s">
        <v>28</v>
      </c>
      <c r="G3309" s="204" t="s">
        <v>2276</v>
      </c>
      <c r="H3309" s="204" t="s">
        <v>523</v>
      </c>
      <c r="I3309" s="204"/>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1" t="s">
        <v>2276</v>
      </c>
      <c r="Y3309" s="21" t="s">
        <v>2276</v>
      </c>
      <c r="Z3309" s="21" t="s">
        <v>2276</v>
      </c>
      <c r="AA3309" s="21" t="s">
        <v>2276</v>
      </c>
      <c r="AB3309" s="21" t="s">
        <v>2276</v>
      </c>
      <c r="AC3309" s="204"/>
      <c r="AD3309" s="204"/>
    </row>
    <row r="3310" spans="1:30" ht="29" customHeight="1">
      <c r="A3310" s="11" t="s">
        <v>8861</v>
      </c>
      <c r="B3310" s="11" t="s">
        <v>8868</v>
      </c>
      <c r="C3310" s="4" t="s">
        <v>24</v>
      </c>
      <c r="D3310" s="204" t="s">
        <v>27</v>
      </c>
      <c r="E3310" s="4" t="s">
        <v>397</v>
      </c>
      <c r="F3310" s="4" t="s">
        <v>28</v>
      </c>
      <c r="G3310" s="204" t="s">
        <v>2276</v>
      </c>
      <c r="H3310" s="204" t="s">
        <v>524</v>
      </c>
      <c r="I3310" s="204"/>
      <c r="J3310" s="21">
        <v>0</v>
      </c>
      <c r="K3310" s="21">
        <v>0</v>
      </c>
      <c r="L3310" s="21">
        <v>0</v>
      </c>
      <c r="M3310" s="21">
        <v>0</v>
      </c>
      <c r="N3310" s="21">
        <v>0</v>
      </c>
      <c r="O3310" s="21">
        <v>0</v>
      </c>
      <c r="P3310" s="21">
        <v>0</v>
      </c>
      <c r="Q3310" s="21">
        <v>0</v>
      </c>
      <c r="R3310" s="21">
        <v>0</v>
      </c>
      <c r="S3310" s="21">
        <v>0</v>
      </c>
      <c r="T3310" s="21">
        <v>0</v>
      </c>
      <c r="U3310" s="21">
        <v>0</v>
      </c>
      <c r="V3310" s="21">
        <v>0</v>
      </c>
      <c r="W3310" s="21">
        <v>0</v>
      </c>
      <c r="X3310" s="21">
        <v>0</v>
      </c>
      <c r="Y3310" s="21" t="s">
        <v>2276</v>
      </c>
      <c r="Z3310" s="21" t="s">
        <v>2276</v>
      </c>
      <c r="AA3310" s="21" t="s">
        <v>2276</v>
      </c>
      <c r="AB3310" s="21" t="s">
        <v>2276</v>
      </c>
      <c r="AC3310" s="204"/>
      <c r="AD3310" s="204"/>
    </row>
    <row r="3311" spans="1:30" ht="29" customHeight="1">
      <c r="A3311" s="11" t="s">
        <v>8861</v>
      </c>
      <c r="B3311" s="11" t="s">
        <v>8869</v>
      </c>
      <c r="C3311" s="4" t="s">
        <v>24</v>
      </c>
      <c r="D3311" s="204" t="s">
        <v>27</v>
      </c>
      <c r="E3311" s="4" t="s">
        <v>3854</v>
      </c>
      <c r="F3311" s="4" t="s">
        <v>28</v>
      </c>
      <c r="G3311" s="204" t="s">
        <v>2276</v>
      </c>
      <c r="H3311" s="204" t="s">
        <v>524</v>
      </c>
      <c r="I3311" s="204"/>
      <c r="J3311" s="21">
        <v>0</v>
      </c>
      <c r="K3311" s="21">
        <v>0</v>
      </c>
      <c r="L3311" s="21">
        <v>0</v>
      </c>
      <c r="M3311" s="21">
        <v>0</v>
      </c>
      <c r="N3311" s="21">
        <v>0</v>
      </c>
      <c r="O3311" s="21">
        <v>0</v>
      </c>
      <c r="P3311" s="21">
        <v>0</v>
      </c>
      <c r="Q3311" s="21">
        <v>0</v>
      </c>
      <c r="R3311" s="21">
        <v>0</v>
      </c>
      <c r="S3311" s="21">
        <v>0</v>
      </c>
      <c r="T3311" s="21">
        <v>0</v>
      </c>
      <c r="U3311" s="21">
        <v>0</v>
      </c>
      <c r="V3311" s="21">
        <v>0</v>
      </c>
      <c r="W3311" s="21">
        <v>0</v>
      </c>
      <c r="X3311" s="21">
        <v>0</v>
      </c>
      <c r="Y3311" s="21" t="s">
        <v>2276</v>
      </c>
      <c r="Z3311" s="21" t="s">
        <v>2276</v>
      </c>
      <c r="AA3311" s="21" t="s">
        <v>2276</v>
      </c>
      <c r="AB3311" s="21" t="s">
        <v>2276</v>
      </c>
      <c r="AC3311" s="204"/>
      <c r="AD3311" s="204"/>
    </row>
    <row r="3312" spans="1:30" ht="29" customHeight="1">
      <c r="A3312" s="11" t="s">
        <v>8862</v>
      </c>
      <c r="B3312" s="11" t="s">
        <v>8870</v>
      </c>
      <c r="C3312" s="4" t="s">
        <v>24</v>
      </c>
      <c r="D3312" s="204" t="s">
        <v>27</v>
      </c>
      <c r="E3312" s="4" t="s">
        <v>130</v>
      </c>
      <c r="F3312" s="4" t="s">
        <v>28</v>
      </c>
      <c r="G3312" s="204" t="s">
        <v>2276</v>
      </c>
      <c r="H3312" s="204" t="s">
        <v>523</v>
      </c>
      <c r="I3312" s="204"/>
      <c r="J3312" s="21" t="s">
        <v>2276</v>
      </c>
      <c r="K3312" s="21" t="s">
        <v>2276</v>
      </c>
      <c r="L3312" s="21" t="s">
        <v>2276</v>
      </c>
      <c r="M3312" s="21" t="s">
        <v>2276</v>
      </c>
      <c r="N3312" s="21" t="s">
        <v>2276</v>
      </c>
      <c r="O3312" s="21" t="s">
        <v>2276</v>
      </c>
      <c r="P3312" s="21" t="s">
        <v>2276</v>
      </c>
      <c r="Q3312" s="21" t="s">
        <v>2276</v>
      </c>
      <c r="R3312" s="21" t="s">
        <v>2276</v>
      </c>
      <c r="S3312" s="21" t="s">
        <v>2276</v>
      </c>
      <c r="T3312" s="21" t="s">
        <v>2276</v>
      </c>
      <c r="U3312" s="21" t="s">
        <v>2276</v>
      </c>
      <c r="V3312" s="21" t="s">
        <v>2276</v>
      </c>
      <c r="W3312" s="21" t="s">
        <v>2276</v>
      </c>
      <c r="X3312" s="21" t="s">
        <v>2276</v>
      </c>
      <c r="Y3312" s="21" t="s">
        <v>2276</v>
      </c>
      <c r="Z3312" s="21" t="s">
        <v>2276</v>
      </c>
      <c r="AA3312" s="21" t="s">
        <v>2276</v>
      </c>
      <c r="AB3312" s="21" t="s">
        <v>2276</v>
      </c>
      <c r="AC3312" s="204"/>
      <c r="AD3312" s="204"/>
    </row>
    <row r="3313" spans="1:30" ht="29" customHeight="1">
      <c r="A3313" s="11" t="s">
        <v>8862</v>
      </c>
      <c r="B3313" s="11" t="s">
        <v>8871</v>
      </c>
      <c r="C3313" s="4" t="s">
        <v>24</v>
      </c>
      <c r="D3313" s="204" t="s">
        <v>27</v>
      </c>
      <c r="E3313" s="4" t="s">
        <v>397</v>
      </c>
      <c r="F3313" s="4" t="s">
        <v>28</v>
      </c>
      <c r="G3313" s="204" t="s">
        <v>2276</v>
      </c>
      <c r="H3313" s="204" t="s">
        <v>524</v>
      </c>
      <c r="I3313" s="204"/>
      <c r="J3313" s="21">
        <v>0</v>
      </c>
      <c r="K3313" s="21">
        <v>0</v>
      </c>
      <c r="L3313" s="21">
        <v>0</v>
      </c>
      <c r="M3313" s="21">
        <v>0</v>
      </c>
      <c r="N3313" s="21">
        <v>0</v>
      </c>
      <c r="O3313" s="21">
        <v>0</v>
      </c>
      <c r="P3313" s="21">
        <v>0</v>
      </c>
      <c r="Q3313" s="21">
        <v>0</v>
      </c>
      <c r="R3313" s="21">
        <v>0</v>
      </c>
      <c r="S3313" s="21">
        <v>0</v>
      </c>
      <c r="T3313" s="21">
        <v>0</v>
      </c>
      <c r="U3313" s="21">
        <v>0</v>
      </c>
      <c r="V3313" s="21">
        <v>0</v>
      </c>
      <c r="W3313" s="21">
        <v>0</v>
      </c>
      <c r="X3313" s="21">
        <v>0</v>
      </c>
      <c r="Y3313" s="21" t="s">
        <v>2276</v>
      </c>
      <c r="Z3313" s="21" t="s">
        <v>2276</v>
      </c>
      <c r="AA3313" s="21" t="s">
        <v>2276</v>
      </c>
      <c r="AB3313" s="21" t="s">
        <v>2276</v>
      </c>
      <c r="AC3313" s="204"/>
      <c r="AD3313" s="204"/>
    </row>
    <row r="3314" spans="1:30" ht="29" customHeight="1">
      <c r="A3314" s="11" t="s">
        <v>8862</v>
      </c>
      <c r="B3314" s="11" t="s">
        <v>8872</v>
      </c>
      <c r="C3314" s="4" t="s">
        <v>24</v>
      </c>
      <c r="D3314" s="204" t="s">
        <v>27</v>
      </c>
      <c r="E3314" s="4" t="s">
        <v>3854</v>
      </c>
      <c r="F3314" s="4" t="s">
        <v>28</v>
      </c>
      <c r="G3314" s="204" t="s">
        <v>2276</v>
      </c>
      <c r="H3314" s="204" t="s">
        <v>524</v>
      </c>
      <c r="I3314" s="204"/>
      <c r="J3314" s="21">
        <v>0</v>
      </c>
      <c r="K3314" s="21">
        <v>0</v>
      </c>
      <c r="L3314" s="21">
        <v>0</v>
      </c>
      <c r="M3314" s="21">
        <v>0</v>
      </c>
      <c r="N3314" s="21">
        <v>0</v>
      </c>
      <c r="O3314" s="21">
        <v>0</v>
      </c>
      <c r="P3314" s="21">
        <v>0</v>
      </c>
      <c r="Q3314" s="21">
        <v>0</v>
      </c>
      <c r="R3314" s="21">
        <v>0</v>
      </c>
      <c r="S3314" s="21">
        <v>0</v>
      </c>
      <c r="T3314" s="21">
        <v>0</v>
      </c>
      <c r="U3314" s="21">
        <v>0</v>
      </c>
      <c r="V3314" s="21">
        <v>0</v>
      </c>
      <c r="W3314" s="21">
        <v>0</v>
      </c>
      <c r="X3314" s="21">
        <v>0</v>
      </c>
      <c r="Y3314" s="21" t="s">
        <v>2276</v>
      </c>
      <c r="Z3314" s="21" t="s">
        <v>2276</v>
      </c>
      <c r="AA3314" s="21" t="s">
        <v>2276</v>
      </c>
      <c r="AB3314" s="21" t="s">
        <v>2276</v>
      </c>
      <c r="AC3314" s="204"/>
      <c r="AD3314" s="204"/>
    </row>
    <row r="3315" spans="1:30" ht="29" customHeight="1">
      <c r="A3315" s="11" t="s">
        <v>8863</v>
      </c>
      <c r="B3315" s="11" t="s">
        <v>8873</v>
      </c>
      <c r="C3315" s="4" t="s">
        <v>24</v>
      </c>
      <c r="D3315" s="204" t="s">
        <v>27</v>
      </c>
      <c r="E3315" s="4" t="s">
        <v>130</v>
      </c>
      <c r="F3315" s="4" t="s">
        <v>28</v>
      </c>
      <c r="G3315" s="204" t="s">
        <v>2276</v>
      </c>
      <c r="H3315" s="204" t="s">
        <v>523</v>
      </c>
      <c r="I3315" s="204"/>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2276</v>
      </c>
      <c r="X3315" s="21" t="s">
        <v>2276</v>
      </c>
      <c r="Y3315" s="21" t="s">
        <v>2276</v>
      </c>
      <c r="Z3315" s="21" t="s">
        <v>2276</v>
      </c>
      <c r="AA3315" s="21" t="s">
        <v>2276</v>
      </c>
      <c r="AB3315" s="21" t="s">
        <v>2276</v>
      </c>
      <c r="AC3315" s="204"/>
      <c r="AD3315" s="204"/>
    </row>
    <row r="3316" spans="1:30" ht="29" customHeight="1">
      <c r="A3316" s="11" t="s">
        <v>8863</v>
      </c>
      <c r="B3316" s="11" t="s">
        <v>8874</v>
      </c>
      <c r="C3316" s="4" t="s">
        <v>24</v>
      </c>
      <c r="D3316" s="204" t="s">
        <v>27</v>
      </c>
      <c r="E3316" s="4" t="s">
        <v>397</v>
      </c>
      <c r="F3316" s="4" t="s">
        <v>28</v>
      </c>
      <c r="G3316" s="204" t="s">
        <v>2276</v>
      </c>
      <c r="H3316" s="204" t="s">
        <v>524</v>
      </c>
      <c r="I3316" s="204"/>
      <c r="J3316" s="21">
        <v>0</v>
      </c>
      <c r="K3316" s="21">
        <v>0</v>
      </c>
      <c r="L3316" s="21">
        <v>0</v>
      </c>
      <c r="M3316" s="21">
        <v>0</v>
      </c>
      <c r="N3316" s="21">
        <v>0</v>
      </c>
      <c r="O3316" s="21">
        <v>0</v>
      </c>
      <c r="P3316" s="21">
        <v>0</v>
      </c>
      <c r="Q3316" s="21">
        <v>0</v>
      </c>
      <c r="R3316" s="21">
        <v>0</v>
      </c>
      <c r="S3316" s="21">
        <v>0</v>
      </c>
      <c r="T3316" s="21">
        <v>0</v>
      </c>
      <c r="U3316" s="21">
        <v>0</v>
      </c>
      <c r="V3316" s="21">
        <v>0</v>
      </c>
      <c r="W3316" s="21">
        <v>0</v>
      </c>
      <c r="X3316" s="21">
        <v>0</v>
      </c>
      <c r="Y3316" s="21" t="s">
        <v>2276</v>
      </c>
      <c r="Z3316" s="21" t="s">
        <v>2276</v>
      </c>
      <c r="AA3316" s="21" t="s">
        <v>2276</v>
      </c>
      <c r="AB3316" s="21" t="s">
        <v>2276</v>
      </c>
      <c r="AC3316" s="204"/>
      <c r="AD3316" s="204"/>
    </row>
    <row r="3317" spans="1:30" ht="29" customHeight="1">
      <c r="A3317" s="11" t="s">
        <v>8863</v>
      </c>
      <c r="B3317" s="11" t="s">
        <v>8875</v>
      </c>
      <c r="C3317" s="4" t="s">
        <v>24</v>
      </c>
      <c r="D3317" s="204" t="s">
        <v>27</v>
      </c>
      <c r="E3317" s="4" t="s">
        <v>3854</v>
      </c>
      <c r="F3317" s="4" t="s">
        <v>28</v>
      </c>
      <c r="G3317" s="204" t="s">
        <v>2276</v>
      </c>
      <c r="H3317" s="204" t="s">
        <v>524</v>
      </c>
      <c r="I3317" s="204"/>
      <c r="J3317" s="21">
        <v>0</v>
      </c>
      <c r="K3317" s="21">
        <v>0</v>
      </c>
      <c r="L3317" s="21">
        <v>0</v>
      </c>
      <c r="M3317" s="21">
        <v>0</v>
      </c>
      <c r="N3317" s="21">
        <v>0</v>
      </c>
      <c r="O3317" s="21">
        <v>0</v>
      </c>
      <c r="P3317" s="21">
        <v>0</v>
      </c>
      <c r="Q3317" s="21">
        <v>0</v>
      </c>
      <c r="R3317" s="21">
        <v>0</v>
      </c>
      <c r="S3317" s="21">
        <v>0</v>
      </c>
      <c r="T3317" s="21">
        <v>0</v>
      </c>
      <c r="U3317" s="21">
        <v>0</v>
      </c>
      <c r="V3317" s="21">
        <v>0</v>
      </c>
      <c r="W3317" s="21">
        <v>0</v>
      </c>
      <c r="X3317" s="21">
        <v>0</v>
      </c>
      <c r="Y3317" s="21" t="s">
        <v>2276</v>
      </c>
      <c r="Z3317" s="21" t="s">
        <v>2276</v>
      </c>
      <c r="AA3317" s="21" t="s">
        <v>2276</v>
      </c>
      <c r="AB3317" s="21" t="s">
        <v>2276</v>
      </c>
      <c r="AC3317" s="204"/>
      <c r="AD3317" s="204"/>
    </row>
    <row r="3318" spans="1:30" ht="38" customHeight="1">
      <c r="A3318" s="11" t="s">
        <v>8877</v>
      </c>
      <c r="B3318" s="11" t="s">
        <v>8880</v>
      </c>
      <c r="C3318" s="4" t="s">
        <v>1105</v>
      </c>
      <c r="D3318" s="204" t="s">
        <v>2276</v>
      </c>
      <c r="E3318" s="204" t="s">
        <v>2276</v>
      </c>
      <c r="F3318" s="204" t="s">
        <v>2276</v>
      </c>
      <c r="G3318" s="204" t="s">
        <v>74</v>
      </c>
      <c r="H3318" s="204" t="s">
        <v>523</v>
      </c>
      <c r="I3318" s="204">
        <v>1997</v>
      </c>
      <c r="J3318" s="21" t="s">
        <v>2276</v>
      </c>
      <c r="K3318" s="21" t="s">
        <v>2276</v>
      </c>
      <c r="L3318" s="21" t="s">
        <v>2276</v>
      </c>
      <c r="M3318" s="21" t="s">
        <v>2276</v>
      </c>
      <c r="N3318" s="21" t="s">
        <v>2276</v>
      </c>
      <c r="O3318" s="21" t="s">
        <v>2276</v>
      </c>
      <c r="P3318" s="21" t="s">
        <v>2276</v>
      </c>
      <c r="Q3318" s="21" t="s">
        <v>2276</v>
      </c>
      <c r="R3318" s="21" t="s">
        <v>2276</v>
      </c>
      <c r="S3318" s="21" t="s">
        <v>2276</v>
      </c>
      <c r="T3318" s="21">
        <v>2800</v>
      </c>
      <c r="U3318" s="21" t="s">
        <v>2276</v>
      </c>
      <c r="V3318" s="21" t="s">
        <v>2276</v>
      </c>
      <c r="W3318" s="21" t="s">
        <v>2276</v>
      </c>
      <c r="X3318" s="21" t="s">
        <v>2276</v>
      </c>
      <c r="Y3318" s="21" t="s">
        <v>2276</v>
      </c>
      <c r="Z3318" s="21" t="s">
        <v>2276</v>
      </c>
      <c r="AA3318" s="21" t="s">
        <v>2276</v>
      </c>
      <c r="AB3318" s="21" t="s">
        <v>2276</v>
      </c>
      <c r="AC3318" s="204"/>
      <c r="AD3318" s="204"/>
    </row>
    <row r="3319" spans="1:30" ht="38" customHeight="1">
      <c r="A3319" s="11" t="s">
        <v>8877</v>
      </c>
      <c r="B3319" s="11" t="s">
        <v>8881</v>
      </c>
      <c r="C3319" s="4" t="s">
        <v>1105</v>
      </c>
      <c r="D3319" s="204" t="s">
        <v>2276</v>
      </c>
      <c r="E3319" s="204" t="s">
        <v>2276</v>
      </c>
      <c r="F3319" s="204" t="s">
        <v>2276</v>
      </c>
      <c r="G3319" s="204" t="s">
        <v>74</v>
      </c>
      <c r="H3319" s="204" t="s">
        <v>523</v>
      </c>
      <c r="I3319" s="204">
        <v>2002</v>
      </c>
      <c r="J3319" s="21" t="s">
        <v>2276</v>
      </c>
      <c r="K3319" s="21" t="s">
        <v>2276</v>
      </c>
      <c r="L3319" s="21" t="s">
        <v>2276</v>
      </c>
      <c r="M3319" s="21" t="s">
        <v>2276</v>
      </c>
      <c r="N3319" s="21" t="s">
        <v>2276</v>
      </c>
      <c r="O3319" s="21" t="s">
        <v>2276</v>
      </c>
      <c r="P3319" s="21" t="s">
        <v>2276</v>
      </c>
      <c r="Q3319" s="21" t="s">
        <v>2276</v>
      </c>
      <c r="R3319" s="21" t="s">
        <v>2276</v>
      </c>
      <c r="S3319" s="21" t="s">
        <v>2276</v>
      </c>
      <c r="T3319" s="21">
        <v>14500</v>
      </c>
      <c r="U3319" s="21" t="s">
        <v>2276</v>
      </c>
      <c r="V3319" s="21" t="s">
        <v>2276</v>
      </c>
      <c r="W3319" s="21" t="s">
        <v>2276</v>
      </c>
      <c r="X3319" s="21" t="s">
        <v>2276</v>
      </c>
      <c r="Y3319" s="21" t="s">
        <v>2276</v>
      </c>
      <c r="Z3319" s="21" t="s">
        <v>2276</v>
      </c>
      <c r="AA3319" s="21" t="s">
        <v>2276</v>
      </c>
      <c r="AB3319" s="21" t="s">
        <v>2276</v>
      </c>
      <c r="AC3319" s="204"/>
      <c r="AD3319" s="204"/>
    </row>
    <row r="3320" spans="1:30" ht="38" customHeight="1">
      <c r="A3320" s="11" t="s">
        <v>8877</v>
      </c>
      <c r="B3320" s="11" t="s">
        <v>8882</v>
      </c>
      <c r="C3320" s="204" t="s">
        <v>2458</v>
      </c>
      <c r="D3320" s="204" t="s">
        <v>2231</v>
      </c>
      <c r="E3320" s="204" t="s">
        <v>84</v>
      </c>
      <c r="F3320" s="204" t="s">
        <v>74</v>
      </c>
      <c r="G3320" s="204" t="s">
        <v>74</v>
      </c>
      <c r="H3320" s="204" t="s">
        <v>523</v>
      </c>
      <c r="I3320" s="204"/>
      <c r="J3320" s="21" t="s">
        <v>2276</v>
      </c>
      <c r="K3320" s="21" t="s">
        <v>2276</v>
      </c>
      <c r="L3320" s="21" t="s">
        <v>2276</v>
      </c>
      <c r="M3320" s="21" t="s">
        <v>2276</v>
      </c>
      <c r="N3320" s="21" t="s">
        <v>2276</v>
      </c>
      <c r="O3320" s="21" t="s">
        <v>2276</v>
      </c>
      <c r="P3320" s="204">
        <v>202</v>
      </c>
      <c r="Q3320" s="21" t="s">
        <v>2276</v>
      </c>
      <c r="R3320" s="21" t="s">
        <v>2276</v>
      </c>
      <c r="S3320" s="21" t="s">
        <v>2276</v>
      </c>
      <c r="T3320" s="21" t="s">
        <v>2276</v>
      </c>
      <c r="U3320" s="21" t="s">
        <v>2276</v>
      </c>
      <c r="V3320" s="21" t="s">
        <v>2276</v>
      </c>
      <c r="W3320" s="21" t="s">
        <v>2276</v>
      </c>
      <c r="X3320" s="21" t="s">
        <v>2276</v>
      </c>
      <c r="Y3320" s="21" t="s">
        <v>2276</v>
      </c>
      <c r="Z3320" s="21" t="s">
        <v>2276</v>
      </c>
      <c r="AA3320" s="21" t="s">
        <v>2276</v>
      </c>
      <c r="AB3320" s="21" t="s">
        <v>2276</v>
      </c>
      <c r="AC3320" s="204"/>
      <c r="AD3320" s="204"/>
    </row>
    <row r="3321" spans="1:30" s="203" customFormat="1" ht="38" customHeight="1">
      <c r="A3321" s="11" t="s">
        <v>8877</v>
      </c>
      <c r="B3321" s="11" t="s">
        <v>8883</v>
      </c>
      <c r="C3321" s="204" t="s">
        <v>2458</v>
      </c>
      <c r="D3321" s="204" t="s">
        <v>2231</v>
      </c>
      <c r="E3321" s="4" t="s">
        <v>396</v>
      </c>
      <c r="F3321" s="204" t="s">
        <v>74</v>
      </c>
      <c r="G3321" s="204" t="s">
        <v>74</v>
      </c>
      <c r="H3321" s="204" t="s">
        <v>523</v>
      </c>
      <c r="I3321" s="204"/>
      <c r="J3321" s="21" t="s">
        <v>2276</v>
      </c>
      <c r="K3321" s="21" t="s">
        <v>2276</v>
      </c>
      <c r="L3321" s="21" t="s">
        <v>2276</v>
      </c>
      <c r="M3321" s="21" t="s">
        <v>2276</v>
      </c>
      <c r="N3321" s="21" t="s">
        <v>2276</v>
      </c>
      <c r="O3321" s="21" t="s">
        <v>2276</v>
      </c>
      <c r="P3321" s="204">
        <v>294.125</v>
      </c>
      <c r="Q3321" s="21" t="s">
        <v>2276</v>
      </c>
      <c r="R3321" s="21" t="s">
        <v>2276</v>
      </c>
      <c r="S3321" s="21" t="s">
        <v>2276</v>
      </c>
      <c r="T3321" s="21" t="s">
        <v>2276</v>
      </c>
      <c r="U3321" s="21" t="s">
        <v>2276</v>
      </c>
      <c r="V3321" s="21" t="s">
        <v>2276</v>
      </c>
      <c r="W3321" s="21" t="s">
        <v>2276</v>
      </c>
      <c r="X3321" s="21" t="s">
        <v>2276</v>
      </c>
      <c r="Y3321" s="21" t="s">
        <v>2276</v>
      </c>
      <c r="Z3321" s="21" t="s">
        <v>2276</v>
      </c>
      <c r="AA3321" s="21" t="s">
        <v>2276</v>
      </c>
      <c r="AB3321" s="21" t="s">
        <v>2276</v>
      </c>
      <c r="AC3321" s="204"/>
      <c r="AD3321" s="204"/>
    </row>
    <row r="3322" spans="1:30" ht="38" customHeight="1">
      <c r="A3322" s="11" t="s">
        <v>8877</v>
      </c>
      <c r="B3322" s="11" t="s">
        <v>8884</v>
      </c>
      <c r="C3322" s="204" t="s">
        <v>2458</v>
      </c>
      <c r="D3322" s="204" t="s">
        <v>27</v>
      </c>
      <c r="E3322" s="204" t="s">
        <v>130</v>
      </c>
      <c r="F3322" s="204" t="s">
        <v>160</v>
      </c>
      <c r="G3322" s="204" t="s">
        <v>74</v>
      </c>
      <c r="H3322" s="204" t="s">
        <v>523</v>
      </c>
      <c r="I3322" s="204"/>
      <c r="J3322" s="21" t="s">
        <v>2276</v>
      </c>
      <c r="K3322" s="21" t="s">
        <v>2276</v>
      </c>
      <c r="L3322" s="21" t="s">
        <v>2276</v>
      </c>
      <c r="M3322" s="21" t="s">
        <v>2276</v>
      </c>
      <c r="N3322" s="21" t="s">
        <v>2276</v>
      </c>
      <c r="O3322" s="21" t="s">
        <v>2276</v>
      </c>
      <c r="P3322" s="204">
        <v>242.1</v>
      </c>
      <c r="Q3322" s="21" t="s">
        <v>2276</v>
      </c>
      <c r="R3322" s="21" t="s">
        <v>2276</v>
      </c>
      <c r="S3322" s="21" t="s">
        <v>2276</v>
      </c>
      <c r="T3322" s="21" t="s">
        <v>2276</v>
      </c>
      <c r="U3322" s="21" t="s">
        <v>2276</v>
      </c>
      <c r="V3322" s="21" t="s">
        <v>2276</v>
      </c>
      <c r="W3322" s="21" t="s">
        <v>2276</v>
      </c>
      <c r="X3322" s="21" t="s">
        <v>2276</v>
      </c>
      <c r="Y3322" s="21" t="s">
        <v>2276</v>
      </c>
      <c r="Z3322" s="21" t="s">
        <v>2276</v>
      </c>
      <c r="AA3322" s="21" t="s">
        <v>2276</v>
      </c>
      <c r="AB3322" s="21" t="s">
        <v>2276</v>
      </c>
      <c r="AC3322" s="204"/>
      <c r="AD3322" s="204"/>
    </row>
    <row r="3323" spans="1:30" ht="38" customHeight="1">
      <c r="A3323" s="11" t="s">
        <v>8877</v>
      </c>
      <c r="B3323" s="11" t="s">
        <v>8885</v>
      </c>
      <c r="C3323" s="204" t="s">
        <v>2458</v>
      </c>
      <c r="D3323" s="204" t="s">
        <v>2994</v>
      </c>
      <c r="E3323" s="204" t="s">
        <v>2652</v>
      </c>
      <c r="F3323" s="204" t="s">
        <v>2276</v>
      </c>
      <c r="G3323" s="204" t="s">
        <v>74</v>
      </c>
      <c r="H3323" s="204" t="s">
        <v>523</v>
      </c>
      <c r="I3323" s="204"/>
      <c r="J3323" s="21" t="s">
        <v>2276</v>
      </c>
      <c r="K3323" s="21" t="s">
        <v>2276</v>
      </c>
      <c r="L3323" s="21" t="s">
        <v>2276</v>
      </c>
      <c r="M3323" s="21" t="s">
        <v>2276</v>
      </c>
      <c r="N3323" s="21" t="s">
        <v>2276</v>
      </c>
      <c r="O3323" s="21" t="s">
        <v>2276</v>
      </c>
      <c r="P3323" s="204">
        <v>189.16666666666666</v>
      </c>
      <c r="Q3323" s="21" t="s">
        <v>2276</v>
      </c>
      <c r="R3323" s="21" t="s">
        <v>2276</v>
      </c>
      <c r="S3323" s="21" t="s">
        <v>2276</v>
      </c>
      <c r="T3323" s="21" t="s">
        <v>2276</v>
      </c>
      <c r="U3323" s="21" t="s">
        <v>2276</v>
      </c>
      <c r="V3323" s="21" t="s">
        <v>2276</v>
      </c>
      <c r="W3323" s="21" t="s">
        <v>2276</v>
      </c>
      <c r="X3323" s="21" t="s">
        <v>2276</v>
      </c>
      <c r="Y3323" s="21" t="s">
        <v>2276</v>
      </c>
      <c r="Z3323" s="21" t="s">
        <v>2276</v>
      </c>
      <c r="AA3323" s="21" t="s">
        <v>2276</v>
      </c>
      <c r="AB3323" s="21" t="s">
        <v>2276</v>
      </c>
      <c r="AC3323" s="204"/>
      <c r="AD3323" s="204"/>
    </row>
    <row r="3324" spans="1:30" s="203" customFormat="1" ht="38" customHeight="1">
      <c r="A3324" s="11" t="s">
        <v>8877</v>
      </c>
      <c r="B3324" s="11" t="s">
        <v>8886</v>
      </c>
      <c r="C3324" s="204" t="s">
        <v>2458</v>
      </c>
      <c r="D3324" s="204" t="s">
        <v>2994</v>
      </c>
      <c r="E3324" s="204" t="s">
        <v>116</v>
      </c>
      <c r="F3324" s="204" t="s">
        <v>2276</v>
      </c>
      <c r="G3324" s="204" t="s">
        <v>74</v>
      </c>
      <c r="H3324" s="204" t="s">
        <v>523</v>
      </c>
      <c r="I3324" s="204"/>
      <c r="J3324" s="21" t="s">
        <v>2276</v>
      </c>
      <c r="K3324" s="21" t="s">
        <v>2276</v>
      </c>
      <c r="L3324" s="21" t="s">
        <v>2276</v>
      </c>
      <c r="M3324" s="21" t="s">
        <v>2276</v>
      </c>
      <c r="N3324" s="21" t="s">
        <v>2276</v>
      </c>
      <c r="O3324" s="21" t="s">
        <v>2276</v>
      </c>
      <c r="P3324" s="204">
        <v>1257.5</v>
      </c>
      <c r="Q3324" s="21" t="s">
        <v>2276</v>
      </c>
      <c r="R3324" s="21" t="s">
        <v>2276</v>
      </c>
      <c r="S3324" s="21" t="s">
        <v>2276</v>
      </c>
      <c r="T3324" s="21" t="s">
        <v>2276</v>
      </c>
      <c r="U3324" s="21" t="s">
        <v>2276</v>
      </c>
      <c r="V3324" s="21" t="s">
        <v>2276</v>
      </c>
      <c r="W3324" s="21" t="s">
        <v>2276</v>
      </c>
      <c r="X3324" s="21" t="s">
        <v>2276</v>
      </c>
      <c r="Y3324" s="21" t="s">
        <v>2276</v>
      </c>
      <c r="Z3324" s="21" t="s">
        <v>2276</v>
      </c>
      <c r="AA3324" s="21" t="s">
        <v>2276</v>
      </c>
      <c r="AB3324" s="21" t="s">
        <v>2276</v>
      </c>
      <c r="AC3324" s="204"/>
      <c r="AD3324" s="204"/>
    </row>
    <row r="3325" spans="1:30" ht="38" customHeight="1">
      <c r="A3325" s="11" t="s">
        <v>8877</v>
      </c>
      <c r="B3325" s="11" t="s">
        <v>8887</v>
      </c>
      <c r="C3325" s="204" t="s">
        <v>2458</v>
      </c>
      <c r="D3325" s="204" t="s">
        <v>1245</v>
      </c>
      <c r="E3325" s="204" t="s">
        <v>116</v>
      </c>
      <c r="F3325" s="204" t="s">
        <v>74</v>
      </c>
      <c r="G3325" s="204" t="s">
        <v>74</v>
      </c>
      <c r="H3325" s="204" t="s">
        <v>523</v>
      </c>
      <c r="I3325" s="204"/>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2276</v>
      </c>
      <c r="X3325" s="21" t="s">
        <v>2276</v>
      </c>
      <c r="Y3325" s="21" t="s">
        <v>2276</v>
      </c>
      <c r="Z3325" s="21" t="s">
        <v>2276</v>
      </c>
      <c r="AA3325" s="21" t="s">
        <v>2276</v>
      </c>
      <c r="AB3325" s="21" t="s">
        <v>2276</v>
      </c>
      <c r="AC3325" s="204"/>
      <c r="AD3325" s="204"/>
    </row>
    <row r="3326" spans="1:30" ht="38" customHeight="1">
      <c r="A3326" s="11" t="s">
        <v>8877</v>
      </c>
      <c r="B3326" s="11" t="s">
        <v>8888</v>
      </c>
      <c r="C3326" s="204" t="s">
        <v>31</v>
      </c>
      <c r="D3326" s="204" t="s">
        <v>30</v>
      </c>
      <c r="E3326" s="204" t="s">
        <v>2653</v>
      </c>
      <c r="F3326" s="204" t="s">
        <v>2276</v>
      </c>
      <c r="G3326" s="204" t="s">
        <v>74</v>
      </c>
      <c r="H3326" s="204" t="s">
        <v>523</v>
      </c>
      <c r="I3326" s="204"/>
      <c r="J3326" s="21" t="s">
        <v>2276</v>
      </c>
      <c r="K3326" s="21" t="s">
        <v>2276</v>
      </c>
      <c r="L3326" s="21" t="s">
        <v>2276</v>
      </c>
      <c r="M3326" s="21" t="s">
        <v>2276</v>
      </c>
      <c r="N3326" s="21" t="s">
        <v>2276</v>
      </c>
      <c r="O3326" s="21" t="s">
        <v>2276</v>
      </c>
      <c r="P3326" s="204">
        <v>17</v>
      </c>
      <c r="Q3326" s="21" t="s">
        <v>2276</v>
      </c>
      <c r="R3326" s="21" t="s">
        <v>2276</v>
      </c>
      <c r="S3326" s="21" t="s">
        <v>2276</v>
      </c>
      <c r="T3326" s="21" t="s">
        <v>2276</v>
      </c>
      <c r="U3326" s="21" t="s">
        <v>2276</v>
      </c>
      <c r="V3326" s="21" t="s">
        <v>2276</v>
      </c>
      <c r="W3326" s="21" t="s">
        <v>2276</v>
      </c>
      <c r="X3326" s="21" t="s">
        <v>2276</v>
      </c>
      <c r="Y3326" s="21" t="s">
        <v>2276</v>
      </c>
      <c r="Z3326" s="21" t="s">
        <v>2276</v>
      </c>
      <c r="AA3326" s="21" t="s">
        <v>2276</v>
      </c>
      <c r="AB3326" s="21" t="s">
        <v>2276</v>
      </c>
      <c r="AC3326" s="204"/>
      <c r="AD3326" s="204"/>
    </row>
    <row r="3327" spans="1:30" ht="38" customHeight="1">
      <c r="A3327" s="11" t="s">
        <v>8877</v>
      </c>
      <c r="B3327" s="11" t="s">
        <v>8889</v>
      </c>
      <c r="C3327" s="204" t="s">
        <v>2656</v>
      </c>
      <c r="D3327" s="204" t="s">
        <v>2276</v>
      </c>
      <c r="E3327" s="204" t="s">
        <v>2276</v>
      </c>
      <c r="F3327" s="204" t="s">
        <v>2276</v>
      </c>
      <c r="G3327" s="204" t="s">
        <v>74</v>
      </c>
      <c r="H3327" s="204" t="s">
        <v>523</v>
      </c>
      <c r="I3327" s="204"/>
      <c r="J3327" s="21" t="s">
        <v>2276</v>
      </c>
      <c r="K3327" s="21" t="s">
        <v>2276</v>
      </c>
      <c r="L3327" s="21" t="s">
        <v>2276</v>
      </c>
      <c r="M3327" s="21" t="s">
        <v>2276</v>
      </c>
      <c r="N3327" s="21" t="s">
        <v>2276</v>
      </c>
      <c r="O3327" s="21" t="s">
        <v>2276</v>
      </c>
      <c r="P3327" s="21" t="s">
        <v>2276</v>
      </c>
      <c r="Q3327" s="21" t="s">
        <v>2276</v>
      </c>
      <c r="R3327" s="21" t="s">
        <v>2276</v>
      </c>
      <c r="S3327" s="21" t="s">
        <v>2276</v>
      </c>
      <c r="T3327" s="21" t="s">
        <v>2276</v>
      </c>
      <c r="U3327" s="21" t="s">
        <v>2276</v>
      </c>
      <c r="V3327" s="21" t="s">
        <v>2276</v>
      </c>
      <c r="W3327" s="21" t="s">
        <v>2276</v>
      </c>
      <c r="X3327" s="21" t="s">
        <v>2276</v>
      </c>
      <c r="Y3327" s="21" t="s">
        <v>2276</v>
      </c>
      <c r="Z3327" s="21" t="s">
        <v>2276</v>
      </c>
      <c r="AA3327" s="21" t="s">
        <v>2276</v>
      </c>
      <c r="AB3327" s="21" t="s">
        <v>2276</v>
      </c>
      <c r="AC3327" s="204"/>
      <c r="AD3327" s="204"/>
    </row>
    <row r="3328" spans="1:30" ht="38" customHeight="1">
      <c r="A3328" s="11" t="s">
        <v>8877</v>
      </c>
      <c r="B3328" s="11" t="s">
        <v>8890</v>
      </c>
      <c r="C3328" s="204" t="s">
        <v>24</v>
      </c>
      <c r="D3328" s="204" t="s">
        <v>2346</v>
      </c>
      <c r="E3328" s="204" t="s">
        <v>2276</v>
      </c>
      <c r="F3328" s="204" t="s">
        <v>2276</v>
      </c>
      <c r="G3328" s="204" t="s">
        <v>74</v>
      </c>
      <c r="H3328" s="204" t="s">
        <v>523</v>
      </c>
      <c r="I3328" s="204"/>
      <c r="J3328" s="21" t="s">
        <v>2276</v>
      </c>
      <c r="K3328" s="21" t="s">
        <v>2276</v>
      </c>
      <c r="L3328" s="21" t="s">
        <v>2276</v>
      </c>
      <c r="M3328" s="21" t="s">
        <v>2276</v>
      </c>
      <c r="N3328" s="21" t="s">
        <v>2276</v>
      </c>
      <c r="O3328" s="21" t="s">
        <v>2276</v>
      </c>
      <c r="P3328" s="204">
        <v>1000</v>
      </c>
      <c r="Q3328" s="21" t="s">
        <v>2276</v>
      </c>
      <c r="R3328" s="21" t="s">
        <v>2276</v>
      </c>
      <c r="S3328" s="21" t="s">
        <v>2276</v>
      </c>
      <c r="T3328" s="21" t="s">
        <v>2276</v>
      </c>
      <c r="U3328" s="21" t="s">
        <v>2276</v>
      </c>
      <c r="V3328" s="21" t="s">
        <v>2276</v>
      </c>
      <c r="W3328" s="21" t="s">
        <v>2276</v>
      </c>
      <c r="X3328" s="21" t="s">
        <v>2276</v>
      </c>
      <c r="Y3328" s="21" t="s">
        <v>2276</v>
      </c>
      <c r="Z3328" s="21" t="s">
        <v>2276</v>
      </c>
      <c r="AA3328" s="21" t="s">
        <v>2276</v>
      </c>
      <c r="AB3328" s="21" t="s">
        <v>2276</v>
      </c>
      <c r="AC3328" s="204"/>
      <c r="AD3328" s="204"/>
    </row>
    <row r="3329" spans="1:30" ht="32.5" customHeight="1">
      <c r="A3329" s="11" t="s">
        <v>8894</v>
      </c>
      <c r="B3329" s="11" t="s">
        <v>8897</v>
      </c>
      <c r="C3329" s="204" t="s">
        <v>24</v>
      </c>
      <c r="D3329" s="204" t="s">
        <v>27</v>
      </c>
      <c r="E3329" s="204" t="s">
        <v>130</v>
      </c>
      <c r="F3329" s="4" t="s">
        <v>160</v>
      </c>
      <c r="G3329" s="204" t="s">
        <v>160</v>
      </c>
      <c r="H3329" s="204" t="s">
        <v>523</v>
      </c>
      <c r="I3329" s="204"/>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1" t="s">
        <v>2276</v>
      </c>
      <c r="Y3329" s="21" t="s">
        <v>2276</v>
      </c>
      <c r="Z3329" s="21" t="s">
        <v>2276</v>
      </c>
      <c r="AA3329" s="21" t="s">
        <v>2276</v>
      </c>
      <c r="AB3329" s="21" t="s">
        <v>2276</v>
      </c>
      <c r="AC3329" s="74" t="s">
        <v>8902</v>
      </c>
      <c r="AD3329" s="204"/>
    </row>
    <row r="3330" spans="1:30" ht="32.5" customHeight="1">
      <c r="A3330" s="11" t="s">
        <v>8894</v>
      </c>
      <c r="B3330" s="204" t="s">
        <v>8898</v>
      </c>
      <c r="C3330" s="204" t="s">
        <v>24</v>
      </c>
      <c r="D3330" s="204" t="s">
        <v>25</v>
      </c>
      <c r="E3330" s="204" t="s">
        <v>45</v>
      </c>
      <c r="F3330" s="4" t="s">
        <v>29</v>
      </c>
      <c r="G3330" s="4" t="s">
        <v>29</v>
      </c>
      <c r="H3330" s="204" t="s">
        <v>523</v>
      </c>
      <c r="I3330" s="204"/>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1" t="s">
        <v>2276</v>
      </c>
      <c r="Y3330" s="21" t="s">
        <v>2276</v>
      </c>
      <c r="Z3330" s="21" t="s">
        <v>2276</v>
      </c>
      <c r="AA3330" s="21" t="s">
        <v>2276</v>
      </c>
      <c r="AB3330" s="21" t="s">
        <v>2276</v>
      </c>
      <c r="AC3330" s="74" t="s">
        <v>8902</v>
      </c>
      <c r="AD3330" s="204"/>
    </row>
    <row r="3331" spans="1:30" ht="32.5" customHeight="1">
      <c r="A3331" s="11" t="s">
        <v>8894</v>
      </c>
      <c r="B3331" s="204" t="s">
        <v>8899</v>
      </c>
      <c r="C3331" s="204" t="s">
        <v>24</v>
      </c>
      <c r="D3331" s="204" t="s">
        <v>26</v>
      </c>
      <c r="E3331" s="204" t="s">
        <v>45</v>
      </c>
      <c r="F3331" s="4" t="s">
        <v>29</v>
      </c>
      <c r="G3331" s="4" t="s">
        <v>29</v>
      </c>
      <c r="H3331" s="204" t="s">
        <v>523</v>
      </c>
      <c r="I3331" s="204"/>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1" t="s">
        <v>2276</v>
      </c>
      <c r="AA3331" s="21" t="s">
        <v>2276</v>
      </c>
      <c r="AB3331" s="21" t="s">
        <v>2276</v>
      </c>
      <c r="AC3331" s="74" t="s">
        <v>8902</v>
      </c>
      <c r="AD3331" s="204"/>
    </row>
    <row r="3332" spans="1:30" ht="38" customHeight="1">
      <c r="A3332" s="11" t="s">
        <v>8894</v>
      </c>
      <c r="B3332" s="204" t="s">
        <v>8900</v>
      </c>
      <c r="C3332" s="204" t="s">
        <v>24</v>
      </c>
      <c r="D3332" s="204" t="s">
        <v>2231</v>
      </c>
      <c r="E3332" s="204" t="s">
        <v>45</v>
      </c>
      <c r="F3332" s="4" t="s">
        <v>29</v>
      </c>
      <c r="G3332" s="4" t="s">
        <v>29</v>
      </c>
      <c r="H3332" s="204" t="s">
        <v>523</v>
      </c>
      <c r="I3332" s="204"/>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1" t="s">
        <v>2276</v>
      </c>
      <c r="AA3332" s="21" t="s">
        <v>2276</v>
      </c>
      <c r="AB3332" s="21" t="s">
        <v>2276</v>
      </c>
      <c r="AC3332" s="74" t="s">
        <v>8902</v>
      </c>
      <c r="AD3332" s="204"/>
    </row>
    <row r="3333" spans="1:30" ht="33" customHeight="1">
      <c r="A3333" s="11" t="s">
        <v>8894</v>
      </c>
      <c r="B3333" s="11" t="s">
        <v>8901</v>
      </c>
      <c r="C3333" s="204" t="s">
        <v>2458</v>
      </c>
      <c r="D3333" s="204" t="s">
        <v>27</v>
      </c>
      <c r="E3333" s="204" t="s">
        <v>130</v>
      </c>
      <c r="F3333" s="4" t="s">
        <v>160</v>
      </c>
      <c r="G3333" s="4" t="s">
        <v>2276</v>
      </c>
      <c r="H3333" s="204" t="s">
        <v>523</v>
      </c>
      <c r="I3333" s="204"/>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21" t="s">
        <v>2276</v>
      </c>
      <c r="AA3333" s="21" t="s">
        <v>2276</v>
      </c>
      <c r="AB3333" s="21" t="s">
        <v>2276</v>
      </c>
      <c r="AC3333" s="204" t="s">
        <v>8907</v>
      </c>
      <c r="AD3333" s="204"/>
    </row>
    <row r="3334" spans="1:30" ht="33" customHeight="1">
      <c r="A3334" s="11" t="s">
        <v>8894</v>
      </c>
      <c r="B3334" s="204" t="s">
        <v>8903</v>
      </c>
      <c r="C3334" s="204" t="s">
        <v>2458</v>
      </c>
      <c r="D3334" s="204" t="s">
        <v>25</v>
      </c>
      <c r="E3334" s="204" t="s">
        <v>45</v>
      </c>
      <c r="F3334" s="4" t="s">
        <v>29</v>
      </c>
      <c r="G3334" s="4" t="s">
        <v>2276</v>
      </c>
      <c r="H3334" s="204" t="s">
        <v>523</v>
      </c>
      <c r="I3334" s="204"/>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21" t="s">
        <v>2276</v>
      </c>
      <c r="AA3334" s="21" t="s">
        <v>2276</v>
      </c>
      <c r="AB3334" s="21" t="s">
        <v>2276</v>
      </c>
      <c r="AC3334" s="204" t="s">
        <v>8907</v>
      </c>
      <c r="AD3334" s="204"/>
    </row>
    <row r="3335" spans="1:30" ht="33" customHeight="1">
      <c r="A3335" s="11" t="s">
        <v>8894</v>
      </c>
      <c r="B3335" s="204" t="s">
        <v>8904</v>
      </c>
      <c r="C3335" s="204" t="s">
        <v>2458</v>
      </c>
      <c r="D3335" s="204" t="s">
        <v>26</v>
      </c>
      <c r="E3335" s="204" t="s">
        <v>45</v>
      </c>
      <c r="F3335" s="4" t="s">
        <v>29</v>
      </c>
      <c r="G3335" s="4" t="s">
        <v>2276</v>
      </c>
      <c r="H3335" s="204" t="s">
        <v>523</v>
      </c>
      <c r="I3335" s="204"/>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21" t="s">
        <v>2276</v>
      </c>
      <c r="AA3335" s="21" t="s">
        <v>2276</v>
      </c>
      <c r="AB3335" s="21" t="s">
        <v>2276</v>
      </c>
      <c r="AC3335" s="204" t="s">
        <v>8907</v>
      </c>
      <c r="AD3335" s="204"/>
    </row>
    <row r="3336" spans="1:30" ht="33" customHeight="1">
      <c r="A3336" s="11" t="s">
        <v>8894</v>
      </c>
      <c r="B3336" s="204" t="s">
        <v>8905</v>
      </c>
      <c r="C3336" s="204" t="s">
        <v>2458</v>
      </c>
      <c r="D3336" s="204" t="s">
        <v>2231</v>
      </c>
      <c r="E3336" s="204" t="s">
        <v>45</v>
      </c>
      <c r="F3336" s="4" t="s">
        <v>29</v>
      </c>
      <c r="G3336" s="4" t="s">
        <v>2276</v>
      </c>
      <c r="H3336" s="204" t="s">
        <v>523</v>
      </c>
      <c r="I3336" s="204"/>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21" t="s">
        <v>2276</v>
      </c>
      <c r="AA3336" s="21" t="s">
        <v>2276</v>
      </c>
      <c r="AB3336" s="21" t="s">
        <v>2276</v>
      </c>
      <c r="AC3336" s="204" t="s">
        <v>8907</v>
      </c>
      <c r="AD3336" s="204"/>
    </row>
    <row r="3337" spans="1:30" ht="44.5" customHeight="1">
      <c r="A3337" s="11" t="s">
        <v>8894</v>
      </c>
      <c r="B3337" s="204" t="s">
        <v>8906</v>
      </c>
      <c r="C3337" s="204" t="s">
        <v>24</v>
      </c>
      <c r="D3337" s="204" t="s">
        <v>1105</v>
      </c>
      <c r="E3337" s="4" t="s">
        <v>3855</v>
      </c>
      <c r="F3337" s="4" t="s">
        <v>2276</v>
      </c>
      <c r="G3337" s="4" t="s">
        <v>2276</v>
      </c>
      <c r="H3337" s="204" t="s">
        <v>524</v>
      </c>
      <c r="I3337" s="204"/>
      <c r="J3337" s="21">
        <v>0</v>
      </c>
      <c r="K3337" s="21">
        <v>0</v>
      </c>
      <c r="L3337" s="21">
        <v>0</v>
      </c>
      <c r="M3337" s="21">
        <v>0</v>
      </c>
      <c r="N3337" s="21">
        <v>0</v>
      </c>
      <c r="O3337" s="21">
        <v>0</v>
      </c>
      <c r="P3337" s="21">
        <v>0</v>
      </c>
      <c r="Q3337" s="21">
        <v>0</v>
      </c>
      <c r="R3337" s="21">
        <v>0</v>
      </c>
      <c r="S3337" s="21">
        <v>0</v>
      </c>
      <c r="T3337" s="21">
        <v>0</v>
      </c>
      <c r="U3337" s="21">
        <v>0</v>
      </c>
      <c r="V3337" s="21">
        <v>0</v>
      </c>
      <c r="W3337" s="21">
        <v>0</v>
      </c>
      <c r="X3337" s="21">
        <v>0</v>
      </c>
      <c r="Y3337" s="21" t="s">
        <v>2276</v>
      </c>
      <c r="Z3337" s="21" t="s">
        <v>2276</v>
      </c>
      <c r="AA3337" s="21" t="s">
        <v>2276</v>
      </c>
      <c r="AB3337" s="21" t="s">
        <v>2276</v>
      </c>
      <c r="AC3337" s="19" t="s">
        <v>8908</v>
      </c>
      <c r="AD3337" s="204"/>
    </row>
    <row r="3338" spans="1:30" ht="28" customHeight="1">
      <c r="A3338" s="11" t="s">
        <v>8896</v>
      </c>
      <c r="B3338" s="11" t="s">
        <v>8909</v>
      </c>
      <c r="C3338" s="204" t="s">
        <v>24</v>
      </c>
      <c r="D3338" s="204" t="s">
        <v>27</v>
      </c>
      <c r="E3338" s="204" t="s">
        <v>130</v>
      </c>
      <c r="F3338" s="4" t="s">
        <v>160</v>
      </c>
      <c r="G3338" s="204" t="s">
        <v>160</v>
      </c>
      <c r="H3338" s="204" t="s">
        <v>523</v>
      </c>
      <c r="I3338" s="204"/>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1" t="s">
        <v>2276</v>
      </c>
      <c r="AA3338" s="21" t="s">
        <v>2276</v>
      </c>
      <c r="AB3338" s="21" t="s">
        <v>2276</v>
      </c>
      <c r="AC3338" s="74" t="s">
        <v>8902</v>
      </c>
      <c r="AD3338" s="204"/>
    </row>
    <row r="3339" spans="1:30" ht="28" customHeight="1">
      <c r="A3339" s="11" t="s">
        <v>8896</v>
      </c>
      <c r="B3339" s="11" t="s">
        <v>8910</v>
      </c>
      <c r="C3339" s="204" t="s">
        <v>24</v>
      </c>
      <c r="D3339" s="204" t="s">
        <v>25</v>
      </c>
      <c r="E3339" s="204" t="s">
        <v>45</v>
      </c>
      <c r="F3339" s="4" t="s">
        <v>29</v>
      </c>
      <c r="G3339" s="4" t="s">
        <v>29</v>
      </c>
      <c r="H3339" s="204" t="s">
        <v>523</v>
      </c>
      <c r="I3339" s="204"/>
      <c r="J3339" s="21" t="s">
        <v>2276</v>
      </c>
      <c r="K3339" s="21" t="s">
        <v>2276</v>
      </c>
      <c r="L3339" s="21" t="s">
        <v>2276</v>
      </c>
      <c r="M3339" s="21" t="s">
        <v>2276</v>
      </c>
      <c r="N3339" s="21" t="s">
        <v>2276</v>
      </c>
      <c r="O3339" s="21" t="s">
        <v>2276</v>
      </c>
      <c r="P3339" s="21" t="s">
        <v>2276</v>
      </c>
      <c r="Q3339" s="21" t="s">
        <v>2276</v>
      </c>
      <c r="R3339" s="21" t="s">
        <v>2276</v>
      </c>
      <c r="S3339" s="21" t="s">
        <v>2276</v>
      </c>
      <c r="T3339" s="21" t="s">
        <v>2276</v>
      </c>
      <c r="U3339" s="21" t="s">
        <v>2276</v>
      </c>
      <c r="V3339" s="21" t="s">
        <v>2276</v>
      </c>
      <c r="W3339" s="21" t="s">
        <v>2276</v>
      </c>
      <c r="X3339" s="21" t="s">
        <v>2276</v>
      </c>
      <c r="Y3339" s="21" t="s">
        <v>2276</v>
      </c>
      <c r="Z3339" s="21" t="s">
        <v>2276</v>
      </c>
      <c r="AA3339" s="21" t="s">
        <v>2276</v>
      </c>
      <c r="AB3339" s="21" t="s">
        <v>2276</v>
      </c>
      <c r="AC3339" s="74" t="s">
        <v>8902</v>
      </c>
      <c r="AD3339" s="204"/>
    </row>
    <row r="3340" spans="1:30" ht="28" customHeight="1">
      <c r="A3340" s="11" t="s">
        <v>8896</v>
      </c>
      <c r="B3340" s="11" t="s">
        <v>8911</v>
      </c>
      <c r="C3340" s="204" t="s">
        <v>24</v>
      </c>
      <c r="D3340" s="204" t="s">
        <v>26</v>
      </c>
      <c r="E3340" s="204" t="s">
        <v>45</v>
      </c>
      <c r="F3340" s="4" t="s">
        <v>29</v>
      </c>
      <c r="G3340" s="4" t="s">
        <v>29</v>
      </c>
      <c r="H3340" s="204" t="s">
        <v>523</v>
      </c>
      <c r="I3340" s="204"/>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1" t="s">
        <v>2276</v>
      </c>
      <c r="AA3340" s="21" t="s">
        <v>2276</v>
      </c>
      <c r="AB3340" s="21" t="s">
        <v>2276</v>
      </c>
      <c r="AC3340" s="74" t="s">
        <v>8902</v>
      </c>
      <c r="AD3340" s="204"/>
    </row>
    <row r="3341" spans="1:30" ht="28" customHeight="1">
      <c r="A3341" s="11" t="s">
        <v>8896</v>
      </c>
      <c r="B3341" s="11" t="s">
        <v>8912</v>
      </c>
      <c r="C3341" s="204" t="s">
        <v>24</v>
      </c>
      <c r="D3341" s="204" t="s">
        <v>2231</v>
      </c>
      <c r="E3341" s="204" t="s">
        <v>45</v>
      </c>
      <c r="F3341" s="4" t="s">
        <v>29</v>
      </c>
      <c r="G3341" s="4" t="s">
        <v>29</v>
      </c>
      <c r="H3341" s="204" t="s">
        <v>523</v>
      </c>
      <c r="I3341" s="204"/>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1" t="s">
        <v>2276</v>
      </c>
      <c r="AA3341" s="21" t="s">
        <v>2276</v>
      </c>
      <c r="AB3341" s="21" t="s">
        <v>2276</v>
      </c>
      <c r="AC3341" s="74" t="s">
        <v>8902</v>
      </c>
      <c r="AD3341" s="204"/>
    </row>
    <row r="3342" spans="1:30" ht="28" customHeight="1">
      <c r="A3342" s="11" t="s">
        <v>8896</v>
      </c>
      <c r="B3342" s="11" t="s">
        <v>8913</v>
      </c>
      <c r="C3342" s="204" t="s">
        <v>2458</v>
      </c>
      <c r="D3342" s="204" t="s">
        <v>27</v>
      </c>
      <c r="E3342" s="204" t="s">
        <v>130</v>
      </c>
      <c r="F3342" s="4" t="s">
        <v>160</v>
      </c>
      <c r="G3342" s="4" t="s">
        <v>2276</v>
      </c>
      <c r="H3342" s="204" t="s">
        <v>523</v>
      </c>
      <c r="I3342" s="204"/>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1" t="s">
        <v>2276</v>
      </c>
      <c r="AA3342" s="21" t="s">
        <v>2276</v>
      </c>
      <c r="AB3342" s="21" t="s">
        <v>2276</v>
      </c>
      <c r="AC3342" s="204" t="s">
        <v>8907</v>
      </c>
      <c r="AD3342" s="204"/>
    </row>
    <row r="3343" spans="1:30" ht="28" customHeight="1">
      <c r="A3343" s="11" t="s">
        <v>8896</v>
      </c>
      <c r="B3343" s="11" t="s">
        <v>8914</v>
      </c>
      <c r="C3343" s="204" t="s">
        <v>2458</v>
      </c>
      <c r="D3343" s="204" t="s">
        <v>25</v>
      </c>
      <c r="E3343" s="204" t="s">
        <v>45</v>
      </c>
      <c r="F3343" s="4" t="s">
        <v>29</v>
      </c>
      <c r="G3343" s="4" t="s">
        <v>2276</v>
      </c>
      <c r="H3343" s="204" t="s">
        <v>523</v>
      </c>
      <c r="I3343" s="204"/>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21" t="s">
        <v>2276</v>
      </c>
      <c r="AB3343" s="21" t="s">
        <v>2276</v>
      </c>
      <c r="AC3343" s="204" t="s">
        <v>8907</v>
      </c>
      <c r="AD3343" s="204"/>
    </row>
    <row r="3344" spans="1:30" ht="28" customHeight="1">
      <c r="A3344" s="11" t="s">
        <v>8896</v>
      </c>
      <c r="B3344" s="11" t="s">
        <v>8915</v>
      </c>
      <c r="C3344" s="204" t="s">
        <v>2458</v>
      </c>
      <c r="D3344" s="204" t="s">
        <v>26</v>
      </c>
      <c r="E3344" s="204" t="s">
        <v>45</v>
      </c>
      <c r="F3344" s="4" t="s">
        <v>29</v>
      </c>
      <c r="G3344" s="4" t="s">
        <v>2276</v>
      </c>
      <c r="H3344" s="204" t="s">
        <v>523</v>
      </c>
      <c r="I3344" s="204"/>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1" t="s">
        <v>2276</v>
      </c>
      <c r="AB3344" s="21" t="s">
        <v>2276</v>
      </c>
      <c r="AC3344" s="204" t="s">
        <v>8907</v>
      </c>
      <c r="AD3344" s="204"/>
    </row>
    <row r="3345" spans="1:30" ht="28" customHeight="1">
      <c r="A3345" s="11" t="s">
        <v>8896</v>
      </c>
      <c r="B3345" s="11" t="s">
        <v>8916</v>
      </c>
      <c r="C3345" s="204" t="s">
        <v>2458</v>
      </c>
      <c r="D3345" s="204" t="s">
        <v>2231</v>
      </c>
      <c r="E3345" s="204" t="s">
        <v>45</v>
      </c>
      <c r="F3345" s="4" t="s">
        <v>29</v>
      </c>
      <c r="G3345" s="4" t="s">
        <v>2276</v>
      </c>
      <c r="H3345" s="204" t="s">
        <v>523</v>
      </c>
      <c r="I3345" s="204"/>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1" t="s">
        <v>2276</v>
      </c>
      <c r="AA3345" s="21" t="s">
        <v>2276</v>
      </c>
      <c r="AB3345" s="21" t="s">
        <v>2276</v>
      </c>
      <c r="AC3345" s="204" t="s">
        <v>8907</v>
      </c>
      <c r="AD3345" s="204"/>
    </row>
    <row r="3346" spans="1:30" ht="32.5" customHeight="1">
      <c r="A3346" s="11" t="s">
        <v>8896</v>
      </c>
      <c r="B3346" s="11" t="s">
        <v>8917</v>
      </c>
      <c r="C3346" s="204" t="s">
        <v>24</v>
      </c>
      <c r="D3346" s="204" t="s">
        <v>1105</v>
      </c>
      <c r="E3346" s="4" t="s">
        <v>3855</v>
      </c>
      <c r="F3346" s="4" t="s">
        <v>2276</v>
      </c>
      <c r="G3346" s="4" t="s">
        <v>2276</v>
      </c>
      <c r="H3346" s="204" t="s">
        <v>524</v>
      </c>
      <c r="I3346" s="204"/>
      <c r="J3346" s="21">
        <v>0</v>
      </c>
      <c r="K3346" s="21">
        <v>0</v>
      </c>
      <c r="L3346" s="21">
        <v>0</v>
      </c>
      <c r="M3346" s="21">
        <v>0</v>
      </c>
      <c r="N3346" s="21">
        <v>0</v>
      </c>
      <c r="O3346" s="21">
        <v>0</v>
      </c>
      <c r="P3346" s="21">
        <v>0</v>
      </c>
      <c r="Q3346" s="21">
        <v>0</v>
      </c>
      <c r="R3346" s="21">
        <v>0</v>
      </c>
      <c r="S3346" s="21">
        <v>0</v>
      </c>
      <c r="T3346" s="21">
        <v>0</v>
      </c>
      <c r="U3346" s="21">
        <v>0</v>
      </c>
      <c r="V3346" s="21">
        <v>0</v>
      </c>
      <c r="W3346" s="21">
        <v>0</v>
      </c>
      <c r="X3346" s="21">
        <v>0</v>
      </c>
      <c r="Y3346" s="21" t="s">
        <v>2276</v>
      </c>
      <c r="Z3346" s="21" t="s">
        <v>2276</v>
      </c>
      <c r="AA3346" s="21" t="s">
        <v>2276</v>
      </c>
      <c r="AB3346" s="21" t="s">
        <v>2276</v>
      </c>
      <c r="AC3346" s="19" t="s">
        <v>8908</v>
      </c>
      <c r="AD3346" s="204"/>
    </row>
    <row r="3347" spans="1:30" ht="42" customHeight="1">
      <c r="A3347" s="11" t="s">
        <v>8922</v>
      </c>
      <c r="B3347" s="11" t="s">
        <v>8924</v>
      </c>
      <c r="C3347" s="204" t="s">
        <v>24</v>
      </c>
      <c r="D3347" s="204" t="s">
        <v>143</v>
      </c>
      <c r="E3347" s="204" t="s">
        <v>84</v>
      </c>
      <c r="F3347" s="4" t="s">
        <v>74</v>
      </c>
      <c r="G3347" s="4" t="s">
        <v>74</v>
      </c>
      <c r="H3347" s="204" t="s">
        <v>523</v>
      </c>
      <c r="I3347" s="204"/>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1" t="s">
        <v>2276</v>
      </c>
      <c r="AB3347" s="21" t="s">
        <v>2276</v>
      </c>
      <c r="AC3347" s="204"/>
      <c r="AD3347" s="204"/>
    </row>
    <row r="3348" spans="1:30" ht="42" customHeight="1">
      <c r="A3348" s="11" t="s">
        <v>8922</v>
      </c>
      <c r="B3348" s="11" t="s">
        <v>8925</v>
      </c>
      <c r="C3348" s="204" t="s">
        <v>24</v>
      </c>
      <c r="D3348" s="204" t="s">
        <v>1245</v>
      </c>
      <c r="E3348" s="204" t="s">
        <v>116</v>
      </c>
      <c r="F3348" s="4" t="s">
        <v>74</v>
      </c>
      <c r="G3348" s="4" t="s">
        <v>74</v>
      </c>
      <c r="H3348" s="204" t="s">
        <v>523</v>
      </c>
      <c r="I3348" s="204"/>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1" t="s">
        <v>2276</v>
      </c>
      <c r="AB3348" s="21" t="s">
        <v>2276</v>
      </c>
      <c r="AC3348" s="204"/>
      <c r="AD3348" s="204"/>
    </row>
    <row r="3349" spans="1:30" ht="42" customHeight="1">
      <c r="A3349" s="11" t="s">
        <v>8922</v>
      </c>
      <c r="B3349" s="11" t="s">
        <v>8926</v>
      </c>
      <c r="C3349" s="204" t="s">
        <v>24</v>
      </c>
      <c r="D3349" s="204" t="s">
        <v>2305</v>
      </c>
      <c r="E3349" s="204" t="s">
        <v>116</v>
      </c>
      <c r="F3349" s="4" t="s">
        <v>74</v>
      </c>
      <c r="G3349" s="4" t="s">
        <v>74</v>
      </c>
      <c r="H3349" s="204" t="s">
        <v>523</v>
      </c>
      <c r="I3349" s="204"/>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1" t="s">
        <v>2276</v>
      </c>
      <c r="AB3349" s="21" t="s">
        <v>2276</v>
      </c>
      <c r="AC3349" s="204"/>
      <c r="AD3349" s="204"/>
    </row>
    <row r="3350" spans="1:30" ht="42" customHeight="1">
      <c r="A3350" s="11" t="s">
        <v>8922</v>
      </c>
      <c r="B3350" s="11" t="s">
        <v>8927</v>
      </c>
      <c r="C3350" s="204" t="s">
        <v>24</v>
      </c>
      <c r="D3350" s="204" t="s">
        <v>3480</v>
      </c>
      <c r="E3350" s="204" t="s">
        <v>116</v>
      </c>
      <c r="F3350" s="4" t="s">
        <v>74</v>
      </c>
      <c r="G3350" s="4" t="s">
        <v>74</v>
      </c>
      <c r="H3350" s="204" t="s">
        <v>523</v>
      </c>
      <c r="I3350" s="204"/>
      <c r="J3350" s="21" t="s">
        <v>2276</v>
      </c>
      <c r="K3350" s="21" t="s">
        <v>2276</v>
      </c>
      <c r="L3350" s="21" t="s">
        <v>2276</v>
      </c>
      <c r="M3350" s="21" t="s">
        <v>2276</v>
      </c>
      <c r="N3350" s="21" t="s">
        <v>2276</v>
      </c>
      <c r="O3350" s="21" t="s">
        <v>2276</v>
      </c>
      <c r="P3350" s="21" t="s">
        <v>2276</v>
      </c>
      <c r="Q3350" s="21" t="s">
        <v>2276</v>
      </c>
      <c r="R3350" s="21" t="s">
        <v>2276</v>
      </c>
      <c r="S3350" s="21" t="s">
        <v>2276</v>
      </c>
      <c r="T3350" s="21" t="s">
        <v>2276</v>
      </c>
      <c r="U3350" s="21" t="s">
        <v>2276</v>
      </c>
      <c r="V3350" s="21" t="s">
        <v>2276</v>
      </c>
      <c r="W3350" s="21" t="s">
        <v>2276</v>
      </c>
      <c r="X3350" s="21" t="s">
        <v>2276</v>
      </c>
      <c r="Y3350" s="21" t="s">
        <v>2276</v>
      </c>
      <c r="Z3350" s="21" t="s">
        <v>2276</v>
      </c>
      <c r="AA3350" s="21" t="s">
        <v>2276</v>
      </c>
      <c r="AB3350" s="21" t="s">
        <v>2276</v>
      </c>
      <c r="AC3350" s="204"/>
      <c r="AD3350" s="204"/>
    </row>
    <row r="3351" spans="1:30" ht="37" customHeight="1">
      <c r="A3351" s="11" t="s">
        <v>8922</v>
      </c>
      <c r="B3351" s="11" t="s">
        <v>8928</v>
      </c>
      <c r="C3351" s="204" t="s">
        <v>2458</v>
      </c>
      <c r="D3351" s="204" t="s">
        <v>143</v>
      </c>
      <c r="E3351" s="204" t="s">
        <v>84</v>
      </c>
      <c r="F3351" s="4" t="s">
        <v>74</v>
      </c>
      <c r="G3351" s="4" t="s">
        <v>74</v>
      </c>
      <c r="H3351" s="204" t="s">
        <v>523</v>
      </c>
      <c r="I3351" s="204"/>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1" t="s">
        <v>2276</v>
      </c>
      <c r="AA3351" s="21" t="s">
        <v>2276</v>
      </c>
      <c r="AB3351" s="21" t="s">
        <v>2276</v>
      </c>
      <c r="AC3351" s="204"/>
      <c r="AD3351" s="204"/>
    </row>
    <row r="3352" spans="1:30" ht="37" customHeight="1">
      <c r="A3352" s="11" t="s">
        <v>8922</v>
      </c>
      <c r="B3352" s="11" t="s">
        <v>8929</v>
      </c>
      <c r="C3352" s="204" t="s">
        <v>2458</v>
      </c>
      <c r="D3352" s="204" t="s">
        <v>1245</v>
      </c>
      <c r="E3352" s="204" t="s">
        <v>116</v>
      </c>
      <c r="F3352" s="4" t="s">
        <v>74</v>
      </c>
      <c r="G3352" s="4" t="s">
        <v>74</v>
      </c>
      <c r="H3352" s="204" t="s">
        <v>523</v>
      </c>
      <c r="I3352" s="204"/>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1" t="s">
        <v>2276</v>
      </c>
      <c r="AA3352" s="21" t="s">
        <v>2276</v>
      </c>
      <c r="AB3352" s="21" t="s">
        <v>2276</v>
      </c>
      <c r="AC3352" s="204"/>
      <c r="AD3352" s="204"/>
    </row>
    <row r="3353" spans="1:30" ht="37" customHeight="1">
      <c r="A3353" s="11" t="s">
        <v>8922</v>
      </c>
      <c r="B3353" s="11" t="s">
        <v>8930</v>
      </c>
      <c r="C3353" s="204" t="s">
        <v>2458</v>
      </c>
      <c r="D3353" s="204" t="s">
        <v>2305</v>
      </c>
      <c r="E3353" s="204" t="s">
        <v>116</v>
      </c>
      <c r="F3353" s="4" t="s">
        <v>74</v>
      </c>
      <c r="G3353" s="4" t="s">
        <v>74</v>
      </c>
      <c r="H3353" s="204" t="s">
        <v>523</v>
      </c>
      <c r="I3353" s="204"/>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1" t="s">
        <v>2276</v>
      </c>
      <c r="AB3353" s="21" t="s">
        <v>2276</v>
      </c>
      <c r="AC3353" s="204"/>
      <c r="AD3353" s="204"/>
    </row>
    <row r="3354" spans="1:30" ht="37" customHeight="1">
      <c r="A3354" s="11" t="s">
        <v>8922</v>
      </c>
      <c r="B3354" s="11" t="s">
        <v>8931</v>
      </c>
      <c r="C3354" s="204" t="s">
        <v>2458</v>
      </c>
      <c r="D3354" s="204" t="s">
        <v>3480</v>
      </c>
      <c r="E3354" s="204" t="s">
        <v>116</v>
      </c>
      <c r="F3354" s="4" t="s">
        <v>74</v>
      </c>
      <c r="G3354" s="4" t="s">
        <v>74</v>
      </c>
      <c r="H3354" s="204" t="s">
        <v>523</v>
      </c>
      <c r="I3354" s="204"/>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1" t="s">
        <v>2276</v>
      </c>
      <c r="AA3354" s="21" t="s">
        <v>2276</v>
      </c>
      <c r="AB3354" s="21" t="s">
        <v>2276</v>
      </c>
      <c r="AC3354" s="204"/>
      <c r="AD3354" s="204"/>
    </row>
    <row r="3355" spans="1:30" ht="42.5" customHeight="1">
      <c r="A3355" s="11" t="s">
        <v>8922</v>
      </c>
      <c r="B3355" s="11" t="s">
        <v>8935</v>
      </c>
      <c r="C3355" s="204" t="s">
        <v>31</v>
      </c>
      <c r="D3355" s="204" t="s">
        <v>30</v>
      </c>
      <c r="E3355" s="204" t="s">
        <v>1105</v>
      </c>
      <c r="F3355" s="204" t="s">
        <v>2276</v>
      </c>
      <c r="G3355" s="4" t="s">
        <v>74</v>
      </c>
      <c r="H3355" s="204" t="s">
        <v>523</v>
      </c>
      <c r="I3355" s="204"/>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1" t="s">
        <v>2276</v>
      </c>
      <c r="AA3355" s="21" t="s">
        <v>2276</v>
      </c>
      <c r="AB3355" s="21" t="s">
        <v>2276</v>
      </c>
      <c r="AC3355" s="204"/>
      <c r="AD3355" s="204"/>
    </row>
    <row r="3356" spans="1:30" ht="40" customHeight="1">
      <c r="A3356" s="11" t="s">
        <v>8922</v>
      </c>
      <c r="B3356" s="11" t="s">
        <v>8936</v>
      </c>
      <c r="C3356" s="204" t="s">
        <v>2458</v>
      </c>
      <c r="D3356" s="204" t="s">
        <v>1105</v>
      </c>
      <c r="E3356" s="204" t="s">
        <v>1105</v>
      </c>
      <c r="F3356" s="204" t="s">
        <v>2276</v>
      </c>
      <c r="G3356" s="4" t="s">
        <v>74</v>
      </c>
      <c r="H3356" s="204" t="s">
        <v>523</v>
      </c>
      <c r="I3356" s="204"/>
      <c r="J3356" s="21">
        <f>10/'Record info'!K1398</f>
        <v>1.0883524520580744E-2</v>
      </c>
      <c r="K3356" s="21" t="s">
        <v>2276</v>
      </c>
      <c r="L3356" s="21" t="s">
        <v>2276</v>
      </c>
      <c r="M3356" s="21" t="s">
        <v>2276</v>
      </c>
      <c r="N3356" s="21" t="s">
        <v>2276</v>
      </c>
      <c r="O3356" s="21" t="s">
        <v>2276</v>
      </c>
      <c r="P3356" s="21">
        <v>160</v>
      </c>
      <c r="Q3356" s="21" t="s">
        <v>2276</v>
      </c>
      <c r="R3356" s="21" t="s">
        <v>2276</v>
      </c>
      <c r="S3356" s="21" t="s">
        <v>2276</v>
      </c>
      <c r="T3356" s="21" t="s">
        <v>2276</v>
      </c>
      <c r="U3356" s="21" t="s">
        <v>2276</v>
      </c>
      <c r="V3356" s="21">
        <f>1600/'Record info'!K1398</f>
        <v>1.741363923292919</v>
      </c>
      <c r="W3356" s="21" t="s">
        <v>2276</v>
      </c>
      <c r="X3356" s="21" t="s">
        <v>2276</v>
      </c>
      <c r="Y3356" s="21" t="s">
        <v>2276</v>
      </c>
      <c r="Z3356" s="21" t="s">
        <v>2276</v>
      </c>
      <c r="AA3356" s="21" t="s">
        <v>2276</v>
      </c>
      <c r="AB3356" s="21" t="s">
        <v>2276</v>
      </c>
      <c r="AC3356" s="204"/>
      <c r="AD3356" s="204"/>
    </row>
    <row r="3357" spans="1:30" ht="42" customHeight="1">
      <c r="A3357" s="11" t="s">
        <v>8941</v>
      </c>
      <c r="B3357" s="11" t="s">
        <v>8945</v>
      </c>
      <c r="C3357" s="204" t="s">
        <v>31</v>
      </c>
      <c r="D3357" s="204" t="s">
        <v>30</v>
      </c>
      <c r="E3357" s="204" t="s">
        <v>1105</v>
      </c>
      <c r="F3357" s="4" t="s">
        <v>2276</v>
      </c>
      <c r="G3357" s="4" t="s">
        <v>2276</v>
      </c>
      <c r="H3357" s="204" t="s">
        <v>523</v>
      </c>
      <c r="I3357" s="204"/>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1" t="s">
        <v>2276</v>
      </c>
      <c r="AA3357" s="21" t="s">
        <v>2276</v>
      </c>
      <c r="AB3357" s="21" t="s">
        <v>2276</v>
      </c>
      <c r="AC3357" s="204"/>
      <c r="AD3357" s="204"/>
    </row>
    <row r="3358" spans="1:30" ht="42" customHeight="1">
      <c r="A3358" s="11" t="s">
        <v>8941</v>
      </c>
      <c r="B3358" s="11" t="s">
        <v>8946</v>
      </c>
      <c r="C3358" s="204" t="s">
        <v>31</v>
      </c>
      <c r="D3358" s="204" t="s">
        <v>30</v>
      </c>
      <c r="E3358" s="204" t="s">
        <v>2653</v>
      </c>
      <c r="F3358" s="4" t="s">
        <v>2276</v>
      </c>
      <c r="G3358" s="4" t="s">
        <v>2276</v>
      </c>
      <c r="H3358" s="204" t="s">
        <v>523</v>
      </c>
      <c r="I3358" s="204"/>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1" t="s">
        <v>2276</v>
      </c>
      <c r="AA3358" s="21" t="s">
        <v>2276</v>
      </c>
      <c r="AB3358" s="21" t="s">
        <v>2276</v>
      </c>
      <c r="AC3358" s="204"/>
      <c r="AD3358" s="204"/>
    </row>
    <row r="3359" spans="1:30" ht="42" customHeight="1">
      <c r="A3359" s="11" t="s">
        <v>8941</v>
      </c>
      <c r="B3359" s="11" t="s">
        <v>8947</v>
      </c>
      <c r="C3359" s="204" t="s">
        <v>2458</v>
      </c>
      <c r="D3359" s="204" t="s">
        <v>1245</v>
      </c>
      <c r="E3359" s="204" t="s">
        <v>116</v>
      </c>
      <c r="F3359" s="4" t="s">
        <v>2662</v>
      </c>
      <c r="G3359" s="4" t="s">
        <v>2276</v>
      </c>
      <c r="H3359" s="204" t="s">
        <v>523</v>
      </c>
      <c r="I3359" s="204"/>
      <c r="J3359" s="21" t="s">
        <v>2276</v>
      </c>
      <c r="K3359" s="21" t="s">
        <v>2276</v>
      </c>
      <c r="L3359" s="21" t="s">
        <v>2276</v>
      </c>
      <c r="M3359" s="21" t="s">
        <v>2276</v>
      </c>
      <c r="N3359" s="21" t="s">
        <v>2276</v>
      </c>
      <c r="O3359" s="21" t="s">
        <v>2276</v>
      </c>
      <c r="P3359" s="21" t="s">
        <v>2276</v>
      </c>
      <c r="Q3359" s="21" t="s">
        <v>2276</v>
      </c>
      <c r="R3359" s="21" t="s">
        <v>2276</v>
      </c>
      <c r="S3359" s="21" t="s">
        <v>2276</v>
      </c>
      <c r="T3359" s="21" t="s">
        <v>2276</v>
      </c>
      <c r="U3359" s="21" t="s">
        <v>2276</v>
      </c>
      <c r="V3359" s="21" t="s">
        <v>2276</v>
      </c>
      <c r="W3359" s="21" t="s">
        <v>2276</v>
      </c>
      <c r="X3359" s="21" t="s">
        <v>2276</v>
      </c>
      <c r="Y3359" s="21" t="s">
        <v>2276</v>
      </c>
      <c r="Z3359" s="21" t="s">
        <v>2276</v>
      </c>
      <c r="AA3359" s="21" t="s">
        <v>2276</v>
      </c>
      <c r="AB3359" s="21" t="s">
        <v>2276</v>
      </c>
      <c r="AC3359" s="204"/>
      <c r="AD3359" s="204"/>
    </row>
    <row r="3360" spans="1:30" ht="42" customHeight="1">
      <c r="A3360" s="11" t="s">
        <v>8941</v>
      </c>
      <c r="B3360" s="11" t="s">
        <v>8948</v>
      </c>
      <c r="C3360" s="204" t="s">
        <v>2458</v>
      </c>
      <c r="D3360" s="204" t="s">
        <v>3480</v>
      </c>
      <c r="E3360" s="204" t="s">
        <v>116</v>
      </c>
      <c r="F3360" s="4" t="s">
        <v>2662</v>
      </c>
      <c r="G3360" s="4" t="s">
        <v>2276</v>
      </c>
      <c r="H3360" s="204" t="s">
        <v>523</v>
      </c>
      <c r="I3360" s="204"/>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1" t="s">
        <v>2276</v>
      </c>
      <c r="AB3360" s="21" t="s">
        <v>2276</v>
      </c>
      <c r="AC3360" s="204"/>
      <c r="AD3360" s="204"/>
    </row>
    <row r="3361" spans="1:30" ht="42" customHeight="1">
      <c r="A3361" s="11" t="s">
        <v>8941</v>
      </c>
      <c r="B3361" s="11" t="s">
        <v>8949</v>
      </c>
      <c r="C3361" s="204" t="s">
        <v>2458</v>
      </c>
      <c r="D3361" s="204" t="s">
        <v>2231</v>
      </c>
      <c r="E3361" s="4" t="s">
        <v>397</v>
      </c>
      <c r="F3361" s="4" t="s">
        <v>2662</v>
      </c>
      <c r="G3361" s="4" t="s">
        <v>2276</v>
      </c>
      <c r="H3361" s="204" t="s">
        <v>523</v>
      </c>
      <c r="I3361" s="204"/>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1" t="s">
        <v>2276</v>
      </c>
      <c r="AB3361" s="21" t="s">
        <v>2276</v>
      </c>
      <c r="AC3361" s="204"/>
      <c r="AD3361" s="204"/>
    </row>
    <row r="3362" spans="1:30" ht="42" customHeight="1">
      <c r="A3362" s="11" t="s">
        <v>8941</v>
      </c>
      <c r="B3362" s="11" t="s">
        <v>8950</v>
      </c>
      <c r="C3362" s="204" t="s">
        <v>24</v>
      </c>
      <c r="D3362" s="204" t="s">
        <v>1245</v>
      </c>
      <c r="E3362" s="204" t="s">
        <v>116</v>
      </c>
      <c r="F3362" s="4" t="s">
        <v>2662</v>
      </c>
      <c r="G3362" s="4" t="s">
        <v>2662</v>
      </c>
      <c r="H3362" s="204" t="s">
        <v>523</v>
      </c>
      <c r="I3362" s="204"/>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1" t="s">
        <v>2276</v>
      </c>
      <c r="AB3362" s="21" t="s">
        <v>2276</v>
      </c>
      <c r="AC3362" s="204"/>
      <c r="AD3362" s="204"/>
    </row>
    <row r="3363" spans="1:30" ht="42" customHeight="1">
      <c r="A3363" s="11" t="s">
        <v>8941</v>
      </c>
      <c r="B3363" s="11" t="s">
        <v>8951</v>
      </c>
      <c r="C3363" s="204" t="s">
        <v>24</v>
      </c>
      <c r="D3363" s="204" t="s">
        <v>3480</v>
      </c>
      <c r="E3363" s="204" t="s">
        <v>116</v>
      </c>
      <c r="F3363" s="4" t="s">
        <v>2662</v>
      </c>
      <c r="G3363" s="4" t="s">
        <v>2662</v>
      </c>
      <c r="H3363" s="204" t="s">
        <v>523</v>
      </c>
      <c r="I3363" s="204"/>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1" t="s">
        <v>2276</v>
      </c>
      <c r="AB3363" s="21" t="s">
        <v>2276</v>
      </c>
      <c r="AC3363" s="204"/>
      <c r="AD3363" s="204"/>
    </row>
    <row r="3364" spans="1:30" ht="42" customHeight="1">
      <c r="A3364" s="11" t="s">
        <v>8941</v>
      </c>
      <c r="B3364" s="11" t="s">
        <v>8952</v>
      </c>
      <c r="C3364" s="204" t="s">
        <v>24</v>
      </c>
      <c r="D3364" s="204" t="s">
        <v>2231</v>
      </c>
      <c r="E3364" s="4" t="s">
        <v>397</v>
      </c>
      <c r="F3364" s="4" t="s">
        <v>2662</v>
      </c>
      <c r="G3364" s="4" t="s">
        <v>2662</v>
      </c>
      <c r="H3364" s="204" t="s">
        <v>523</v>
      </c>
      <c r="I3364" s="204"/>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1" t="s">
        <v>2276</v>
      </c>
      <c r="AB3364" s="21" t="s">
        <v>2276</v>
      </c>
      <c r="AC3364" s="204"/>
      <c r="AD3364" s="204"/>
    </row>
    <row r="3365" spans="1:30" ht="42" customHeight="1">
      <c r="A3365" s="11" t="s">
        <v>8941</v>
      </c>
      <c r="B3365" s="11" t="s">
        <v>8953</v>
      </c>
      <c r="C3365" s="204" t="s">
        <v>2458</v>
      </c>
      <c r="D3365" s="204" t="s">
        <v>2231</v>
      </c>
      <c r="E3365" s="204" t="s">
        <v>45</v>
      </c>
      <c r="F3365" s="4" t="s">
        <v>2662</v>
      </c>
      <c r="G3365" s="4" t="s">
        <v>2276</v>
      </c>
      <c r="H3365" s="204" t="s">
        <v>523</v>
      </c>
      <c r="I3365" s="204"/>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1" t="s">
        <v>2276</v>
      </c>
      <c r="AB3365" s="21" t="s">
        <v>2276</v>
      </c>
      <c r="AC3365" s="204"/>
      <c r="AD3365" s="204"/>
    </row>
    <row r="3366" spans="1:30" ht="42" customHeight="1">
      <c r="A3366" s="11" t="s">
        <v>8941</v>
      </c>
      <c r="B3366" s="11" t="s">
        <v>8954</v>
      </c>
      <c r="C3366" s="204" t="s">
        <v>24</v>
      </c>
      <c r="D3366" s="204" t="s">
        <v>2231</v>
      </c>
      <c r="E3366" s="204" t="s">
        <v>45</v>
      </c>
      <c r="F3366" s="4" t="s">
        <v>2662</v>
      </c>
      <c r="G3366" s="4" t="s">
        <v>2662</v>
      </c>
      <c r="H3366" s="204" t="s">
        <v>523</v>
      </c>
      <c r="I3366" s="204"/>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1" t="s">
        <v>2276</v>
      </c>
      <c r="AB3366" s="21" t="s">
        <v>2276</v>
      </c>
      <c r="AC3366" s="204"/>
      <c r="AD3366" s="204"/>
    </row>
    <row r="3367" spans="1:30" ht="40" customHeight="1">
      <c r="A3367" s="11" t="s">
        <v>8943</v>
      </c>
      <c r="B3367" s="11" t="s">
        <v>8955</v>
      </c>
      <c r="C3367" s="204" t="s">
        <v>2458</v>
      </c>
      <c r="D3367" s="204" t="s">
        <v>2276</v>
      </c>
      <c r="E3367" s="204" t="s">
        <v>2276</v>
      </c>
      <c r="F3367" s="204" t="s">
        <v>2276</v>
      </c>
      <c r="G3367" s="204" t="s">
        <v>28</v>
      </c>
      <c r="H3367" s="204" t="s">
        <v>523</v>
      </c>
      <c r="I3367" s="204"/>
      <c r="J3367" s="21" t="s">
        <v>2276</v>
      </c>
      <c r="K3367" s="21" t="s">
        <v>2276</v>
      </c>
      <c r="L3367" s="21" t="s">
        <v>2276</v>
      </c>
      <c r="M3367" s="21" t="s">
        <v>2276</v>
      </c>
      <c r="N3367" s="21" t="s">
        <v>2276</v>
      </c>
      <c r="O3367" s="21" t="s">
        <v>2276</v>
      </c>
      <c r="P3367" s="21" t="s">
        <v>2276</v>
      </c>
      <c r="Q3367" s="21" t="s">
        <v>2276</v>
      </c>
      <c r="R3367" s="21" t="s">
        <v>2276</v>
      </c>
      <c r="S3367" s="21" t="s">
        <v>2276</v>
      </c>
      <c r="T3367" s="21">
        <f>AVERAGE(950905, 1152413, 713770, 1320325)*0.95</f>
        <v>982635.58749999991</v>
      </c>
      <c r="U3367" s="21" t="s">
        <v>2276</v>
      </c>
      <c r="V3367" s="21" t="s">
        <v>2276</v>
      </c>
      <c r="W3367" s="21" t="s">
        <v>2276</v>
      </c>
      <c r="X3367" s="21">
        <f>T3367/'Record info'!K1400</f>
        <v>2.5146973374757198</v>
      </c>
      <c r="Y3367" s="21" t="s">
        <v>2276</v>
      </c>
      <c r="Z3367" s="21" t="s">
        <v>2276</v>
      </c>
      <c r="AA3367" s="21" t="s">
        <v>2276</v>
      </c>
      <c r="AB3367" s="21" t="s">
        <v>2276</v>
      </c>
      <c r="AC3367" s="204" t="s">
        <v>8958</v>
      </c>
      <c r="AD3367" s="204"/>
    </row>
    <row r="3368" spans="1:30" ht="34.5" customHeight="1">
      <c r="A3368" s="11" t="s">
        <v>8943</v>
      </c>
      <c r="B3368" s="11" t="s">
        <v>8956</v>
      </c>
      <c r="C3368" s="204" t="s">
        <v>2656</v>
      </c>
      <c r="D3368" s="204" t="s">
        <v>2276</v>
      </c>
      <c r="E3368" s="204" t="s">
        <v>2276</v>
      </c>
      <c r="F3368" s="204" t="s">
        <v>2276</v>
      </c>
      <c r="G3368" s="204" t="s">
        <v>28</v>
      </c>
      <c r="H3368" s="204" t="s">
        <v>523</v>
      </c>
      <c r="I3368" s="204"/>
      <c r="J3368" s="21" t="s">
        <v>2276</v>
      </c>
      <c r="K3368" s="21" t="s">
        <v>2276</v>
      </c>
      <c r="L3368" s="21" t="s">
        <v>2276</v>
      </c>
      <c r="M3368" s="21" t="s">
        <v>2276</v>
      </c>
      <c r="N3368" s="21" t="s">
        <v>2276</v>
      </c>
      <c r="O3368" s="21" t="s">
        <v>2276</v>
      </c>
      <c r="P3368" s="21" t="s">
        <v>2276</v>
      </c>
      <c r="Q3368" s="21" t="s">
        <v>2276</v>
      </c>
      <c r="R3368" s="21" t="s">
        <v>2276</v>
      </c>
      <c r="S3368" s="21" t="s">
        <v>2276</v>
      </c>
      <c r="T3368" s="21">
        <f>AVERAGE(950905, 1152413, 713770, 1320325)*0.05</f>
        <v>51717.662500000006</v>
      </c>
      <c r="U3368" s="21" t="s">
        <v>2276</v>
      </c>
      <c r="V3368" s="21" t="s">
        <v>2276</v>
      </c>
      <c r="W3368" s="21" t="s">
        <v>2276</v>
      </c>
      <c r="X3368" s="21">
        <f>T3368/'Record info'!K1400</f>
        <v>0.13235249144609054</v>
      </c>
      <c r="Y3368" s="21" t="s">
        <v>2276</v>
      </c>
      <c r="Z3368" s="21" t="s">
        <v>2276</v>
      </c>
      <c r="AA3368" s="21" t="s">
        <v>2276</v>
      </c>
      <c r="AB3368" s="21" t="s">
        <v>2276</v>
      </c>
      <c r="AC3368" s="204" t="s">
        <v>8958</v>
      </c>
      <c r="AD3368" s="204"/>
    </row>
    <row r="3369" spans="1:30" ht="32" customHeight="1">
      <c r="A3369" s="11" t="s">
        <v>8962</v>
      </c>
      <c r="B3369" s="11" t="s">
        <v>8966</v>
      </c>
      <c r="C3369" s="204" t="s">
        <v>24</v>
      </c>
      <c r="D3369" s="204" t="s">
        <v>143</v>
      </c>
      <c r="E3369" s="4" t="s">
        <v>397</v>
      </c>
      <c r="F3369" s="4" t="s">
        <v>74</v>
      </c>
      <c r="G3369" s="4" t="s">
        <v>74</v>
      </c>
      <c r="H3369" s="204" t="s">
        <v>523</v>
      </c>
      <c r="I3369" s="204"/>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1" t="s">
        <v>2276</v>
      </c>
      <c r="AB3369" s="21" t="s">
        <v>2276</v>
      </c>
      <c r="AC3369" s="204"/>
      <c r="AD3369" s="204"/>
    </row>
    <row r="3370" spans="1:30" ht="32" customHeight="1">
      <c r="A3370" s="11" t="s">
        <v>8962</v>
      </c>
      <c r="B3370" s="11" t="s">
        <v>8967</v>
      </c>
      <c r="C3370" s="204" t="s">
        <v>24</v>
      </c>
      <c r="D3370" s="204" t="s">
        <v>143</v>
      </c>
      <c r="E3370" s="204" t="s">
        <v>45</v>
      </c>
      <c r="F3370" s="4" t="s">
        <v>74</v>
      </c>
      <c r="G3370" s="4" t="s">
        <v>74</v>
      </c>
      <c r="H3370" s="204" t="s">
        <v>523</v>
      </c>
      <c r="I3370" s="204"/>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1" t="s">
        <v>2276</v>
      </c>
      <c r="AB3370" s="21" t="s">
        <v>2276</v>
      </c>
      <c r="AC3370" s="204"/>
      <c r="AD3370" s="204"/>
    </row>
    <row r="3371" spans="1:30" ht="38" customHeight="1">
      <c r="A3371" s="19" t="s">
        <v>8969</v>
      </c>
      <c r="B3371" s="19" t="s">
        <v>8972</v>
      </c>
      <c r="C3371" s="4" t="s">
        <v>24</v>
      </c>
      <c r="D3371" s="4" t="s">
        <v>27</v>
      </c>
      <c r="E3371" s="4" t="s">
        <v>397</v>
      </c>
      <c r="F3371" s="4" t="s">
        <v>28</v>
      </c>
      <c r="G3371" s="4" t="s">
        <v>2276</v>
      </c>
      <c r="H3371" s="4" t="s">
        <v>523</v>
      </c>
      <c r="I3371" s="204"/>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1" t="s">
        <v>2276</v>
      </c>
      <c r="AB3371" s="21" t="s">
        <v>2276</v>
      </c>
      <c r="AC3371" s="204"/>
      <c r="AD3371" s="204"/>
    </row>
    <row r="3372" spans="1:30" ht="39.5" customHeight="1">
      <c r="A3372" s="19" t="s">
        <v>8969</v>
      </c>
      <c r="B3372" s="19" t="s">
        <v>8973</v>
      </c>
      <c r="C3372" s="4" t="s">
        <v>24</v>
      </c>
      <c r="D3372" s="4" t="s">
        <v>27</v>
      </c>
      <c r="E3372" s="4" t="s">
        <v>396</v>
      </c>
      <c r="F3372" s="4" t="s">
        <v>28</v>
      </c>
      <c r="G3372" s="4" t="s">
        <v>2276</v>
      </c>
      <c r="H3372" s="4" t="s">
        <v>523</v>
      </c>
      <c r="I3372" s="204"/>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1" t="s">
        <v>2276</v>
      </c>
      <c r="AB3372" s="21" t="s">
        <v>2276</v>
      </c>
      <c r="AC3372" s="204"/>
      <c r="AD3372" s="204"/>
    </row>
    <row r="3373" spans="1:30" ht="32" customHeight="1">
      <c r="A3373" s="19" t="s">
        <v>8969</v>
      </c>
      <c r="B3373" s="19" t="s">
        <v>8974</v>
      </c>
      <c r="C3373" s="4" t="s">
        <v>24</v>
      </c>
      <c r="D3373" s="4" t="s">
        <v>27</v>
      </c>
      <c r="E3373" s="4" t="s">
        <v>130</v>
      </c>
      <c r="F3373" s="4" t="s">
        <v>160</v>
      </c>
      <c r="G3373" s="4" t="s">
        <v>2276</v>
      </c>
      <c r="H3373" s="4" t="s">
        <v>523</v>
      </c>
      <c r="I3373" s="204"/>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1" t="s">
        <v>2276</v>
      </c>
      <c r="AB3373" s="21" t="s">
        <v>2276</v>
      </c>
      <c r="AC3373" s="204"/>
      <c r="AD3373" s="204"/>
    </row>
    <row r="3374" spans="1:30" ht="39" customHeight="1">
      <c r="A3374" s="19" t="s">
        <v>8969</v>
      </c>
      <c r="B3374" s="19" t="s">
        <v>8975</v>
      </c>
      <c r="C3374" s="4" t="s">
        <v>24</v>
      </c>
      <c r="D3374" s="4" t="s">
        <v>25</v>
      </c>
      <c r="E3374" s="4" t="s">
        <v>45</v>
      </c>
      <c r="F3374" s="4" t="s">
        <v>29</v>
      </c>
      <c r="G3374" s="4" t="s">
        <v>2276</v>
      </c>
      <c r="H3374" s="4" t="s">
        <v>523</v>
      </c>
      <c r="I3374" s="204"/>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1" t="s">
        <v>2276</v>
      </c>
      <c r="AB3374" s="21" t="s">
        <v>2276</v>
      </c>
      <c r="AC3374" s="204"/>
      <c r="AD3374" s="204"/>
    </row>
    <row r="3375" spans="1:30" ht="35.5" customHeight="1">
      <c r="A3375" s="19" t="s">
        <v>8976</v>
      </c>
      <c r="B3375" s="19" t="s">
        <v>8979</v>
      </c>
      <c r="C3375" s="4" t="s">
        <v>24</v>
      </c>
      <c r="D3375" s="4" t="s">
        <v>2276</v>
      </c>
      <c r="E3375" s="4" t="s">
        <v>45</v>
      </c>
      <c r="F3375" s="4" t="s">
        <v>55</v>
      </c>
      <c r="G3375" s="4" t="s">
        <v>2276</v>
      </c>
      <c r="H3375" s="4" t="s">
        <v>523</v>
      </c>
      <c r="I3375" s="204"/>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1" t="s">
        <v>2276</v>
      </c>
      <c r="AB3375" s="21" t="s">
        <v>2276</v>
      </c>
      <c r="AC3375" s="204"/>
      <c r="AD3375" s="204"/>
    </row>
    <row r="3376" spans="1:30" ht="35.5" customHeight="1">
      <c r="A3376" s="19" t="s">
        <v>8976</v>
      </c>
      <c r="B3376" s="19" t="s">
        <v>8980</v>
      </c>
      <c r="C3376" s="204" t="s">
        <v>2458</v>
      </c>
      <c r="D3376" s="4" t="s">
        <v>2276</v>
      </c>
      <c r="E3376" s="4" t="s">
        <v>45</v>
      </c>
      <c r="F3376" s="4" t="s">
        <v>55</v>
      </c>
      <c r="G3376" s="4" t="s">
        <v>160</v>
      </c>
      <c r="H3376" s="4" t="s">
        <v>523</v>
      </c>
      <c r="I3376" s="204"/>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1" t="s">
        <v>2276</v>
      </c>
      <c r="AB3376" s="21" t="s">
        <v>2276</v>
      </c>
      <c r="AC3376" s="204"/>
      <c r="AD3376" s="204"/>
    </row>
    <row r="3377" spans="1:30" ht="42" customHeight="1">
      <c r="A3377" s="19" t="s">
        <v>8984</v>
      </c>
      <c r="B3377" s="19" t="s">
        <v>8989</v>
      </c>
      <c r="C3377" s="4" t="s">
        <v>24</v>
      </c>
      <c r="D3377" s="204" t="s">
        <v>1245</v>
      </c>
      <c r="E3377" s="204" t="s">
        <v>116</v>
      </c>
      <c r="F3377" s="4" t="s">
        <v>2662</v>
      </c>
      <c r="G3377" s="4" t="s">
        <v>2662</v>
      </c>
      <c r="H3377" s="4" t="s">
        <v>523</v>
      </c>
      <c r="I3377" s="204">
        <v>2007</v>
      </c>
      <c r="J3377" s="21" t="s">
        <v>2276</v>
      </c>
      <c r="K3377" s="21" t="s">
        <v>2276</v>
      </c>
      <c r="L3377" s="21" t="s">
        <v>2276</v>
      </c>
      <c r="M3377" s="21" t="s">
        <v>2276</v>
      </c>
      <c r="N3377" s="21" t="s">
        <v>2276</v>
      </c>
      <c r="O3377" s="21" t="s">
        <v>2276</v>
      </c>
      <c r="P3377" s="21" t="s">
        <v>2276</v>
      </c>
      <c r="Q3377" s="21" t="s">
        <v>2276</v>
      </c>
      <c r="R3377" s="21" t="s">
        <v>2276</v>
      </c>
      <c r="S3377" s="21" t="s">
        <v>2276</v>
      </c>
      <c r="T3377" s="21">
        <f>'Record info'!K1404*'Reported burning'!X3377</f>
        <v>110450.3345</v>
      </c>
      <c r="U3377" s="21" t="s">
        <v>2276</v>
      </c>
      <c r="V3377" s="21">
        <f>(42.5+35.2*2+0.6*3+4.9*4)/4</f>
        <v>33.575000000000003</v>
      </c>
      <c r="W3377" s="21" t="s">
        <v>2276</v>
      </c>
      <c r="X3377" s="21">
        <f>(42.5+35.2*2+0.6*3+4.9*4)/4</f>
        <v>33.575000000000003</v>
      </c>
      <c r="Y3377" s="21" t="s">
        <v>2276</v>
      </c>
      <c r="Z3377" s="21" t="s">
        <v>2276</v>
      </c>
      <c r="AA3377" s="21" t="s">
        <v>2276</v>
      </c>
      <c r="AB3377" s="21" t="s">
        <v>2276</v>
      </c>
      <c r="AC3377" s="204"/>
      <c r="AD3377" s="204"/>
    </row>
    <row r="3378" spans="1:30" ht="39" customHeight="1">
      <c r="A3378" s="11" t="s">
        <v>8993</v>
      </c>
      <c r="B3378" s="11" t="s">
        <v>9011</v>
      </c>
      <c r="C3378" s="4" t="s">
        <v>24</v>
      </c>
      <c r="D3378" s="204" t="s">
        <v>2659</v>
      </c>
      <c r="E3378" s="204" t="s">
        <v>1105</v>
      </c>
      <c r="F3378" s="4" t="s">
        <v>28</v>
      </c>
      <c r="G3378" s="204" t="s">
        <v>28</v>
      </c>
      <c r="H3378" s="4" t="s">
        <v>523</v>
      </c>
      <c r="I3378" s="204"/>
      <c r="J3378" s="21" t="s">
        <v>2276</v>
      </c>
      <c r="K3378" s="21" t="s">
        <v>2276</v>
      </c>
      <c r="L3378" s="21" t="s">
        <v>2276</v>
      </c>
      <c r="M3378" s="21" t="s">
        <v>2276</v>
      </c>
      <c r="N3378" s="21" t="s">
        <v>2276</v>
      </c>
      <c r="O3378" s="21" t="s">
        <v>2276</v>
      </c>
      <c r="P3378" s="21" t="s">
        <v>2276</v>
      </c>
      <c r="Q3378" s="21" t="s">
        <v>2276</v>
      </c>
      <c r="R3378" s="21" t="s">
        <v>2276</v>
      </c>
      <c r="S3378" s="21" t="s">
        <v>2276</v>
      </c>
      <c r="T3378" s="21">
        <f>'Record info'!K$1406*X3378</f>
        <v>132753.78</v>
      </c>
      <c r="U3378" s="21" t="s">
        <v>2276</v>
      </c>
      <c r="V3378" s="21">
        <f>62*0.111</f>
        <v>6.8819999999999997</v>
      </c>
      <c r="W3378" s="21" t="s">
        <v>2276</v>
      </c>
      <c r="X3378" s="21">
        <f>V3378</f>
        <v>6.8819999999999997</v>
      </c>
      <c r="Y3378" s="21" t="s">
        <v>2276</v>
      </c>
      <c r="Z3378" s="204" t="s">
        <v>86</v>
      </c>
      <c r="AA3378" s="204" t="s">
        <v>86</v>
      </c>
      <c r="AB3378" s="21" t="s">
        <v>2276</v>
      </c>
      <c r="AC3378" s="21"/>
      <c r="AD3378" s="21"/>
    </row>
    <row r="3379" spans="1:30" ht="39" customHeight="1">
      <c r="A3379" s="11" t="s">
        <v>8993</v>
      </c>
      <c r="B3379" s="11" t="s">
        <v>9020</v>
      </c>
      <c r="C3379" s="4" t="s">
        <v>24</v>
      </c>
      <c r="D3379" s="204" t="s">
        <v>2659</v>
      </c>
      <c r="E3379" s="204" t="s">
        <v>1105</v>
      </c>
      <c r="F3379" s="4" t="s">
        <v>28</v>
      </c>
      <c r="G3379" s="204" t="s">
        <v>28</v>
      </c>
      <c r="H3379" s="4" t="s">
        <v>523</v>
      </c>
      <c r="I3379" s="204"/>
      <c r="J3379" s="21" t="s">
        <v>2276</v>
      </c>
      <c r="K3379" s="21" t="s">
        <v>2276</v>
      </c>
      <c r="L3379" s="21" t="s">
        <v>2276</v>
      </c>
      <c r="M3379" s="21" t="s">
        <v>2276</v>
      </c>
      <c r="N3379" s="21" t="s">
        <v>2276</v>
      </c>
      <c r="O3379" s="21" t="s">
        <v>2276</v>
      </c>
      <c r="P3379" s="21" t="s">
        <v>2276</v>
      </c>
      <c r="Q3379" s="21" t="s">
        <v>2276</v>
      </c>
      <c r="R3379" s="21" t="s">
        <v>2276</v>
      </c>
      <c r="S3379" s="21" t="s">
        <v>2276</v>
      </c>
      <c r="T3379" s="21">
        <f>'Record info'!K$1406*X3379</f>
        <v>66974.880000000005</v>
      </c>
      <c r="U3379" s="21" t="s">
        <v>2276</v>
      </c>
      <c r="V3379" s="21">
        <f>62*0.056</f>
        <v>3.472</v>
      </c>
      <c r="W3379" s="21" t="s">
        <v>2276</v>
      </c>
      <c r="X3379" s="21">
        <f t="shared" ref="X3379:X3389" si="7">V3379</f>
        <v>3.472</v>
      </c>
      <c r="Y3379" s="21" t="s">
        <v>2276</v>
      </c>
      <c r="Z3379" s="204" t="s">
        <v>34</v>
      </c>
      <c r="AA3379" s="204" t="s">
        <v>34</v>
      </c>
      <c r="AB3379" s="21" t="s">
        <v>2276</v>
      </c>
      <c r="AC3379" s="21"/>
      <c r="AD3379" s="21"/>
    </row>
    <row r="3380" spans="1:30" ht="39" customHeight="1">
      <c r="A3380" s="11" t="s">
        <v>8993</v>
      </c>
      <c r="B3380" s="11" t="s">
        <v>9021</v>
      </c>
      <c r="C3380" s="4" t="s">
        <v>24</v>
      </c>
      <c r="D3380" s="204" t="s">
        <v>2659</v>
      </c>
      <c r="E3380" s="204" t="s">
        <v>1105</v>
      </c>
      <c r="F3380" s="4" t="s">
        <v>28</v>
      </c>
      <c r="G3380" s="204" t="s">
        <v>28</v>
      </c>
      <c r="H3380" s="4" t="s">
        <v>523</v>
      </c>
      <c r="I3380" s="204"/>
      <c r="J3380" s="21" t="s">
        <v>2276</v>
      </c>
      <c r="K3380" s="21" t="s">
        <v>2276</v>
      </c>
      <c r="L3380" s="21" t="s">
        <v>2276</v>
      </c>
      <c r="M3380" s="21" t="s">
        <v>2276</v>
      </c>
      <c r="N3380" s="21" t="s">
        <v>2276</v>
      </c>
      <c r="O3380" s="21" t="s">
        <v>2276</v>
      </c>
      <c r="P3380" s="21" t="s">
        <v>2276</v>
      </c>
      <c r="Q3380" s="21" t="s">
        <v>2276</v>
      </c>
      <c r="R3380" s="21" t="s">
        <v>2276</v>
      </c>
      <c r="S3380" s="21" t="s">
        <v>2276</v>
      </c>
      <c r="T3380" s="21">
        <f>'Record info'!K$1406*X3380</f>
        <v>106442.22</v>
      </c>
      <c r="U3380" s="21" t="s">
        <v>2276</v>
      </c>
      <c r="V3380" s="21">
        <f>62*0.089</f>
        <v>5.5179999999999998</v>
      </c>
      <c r="W3380" s="21" t="s">
        <v>2276</v>
      </c>
      <c r="X3380" s="21">
        <f t="shared" si="7"/>
        <v>5.5179999999999998</v>
      </c>
      <c r="Y3380" s="21" t="s">
        <v>2276</v>
      </c>
      <c r="Z3380" s="204" t="s">
        <v>404</v>
      </c>
      <c r="AA3380" s="204" t="s">
        <v>404</v>
      </c>
      <c r="AB3380" s="21" t="s">
        <v>2276</v>
      </c>
      <c r="AC3380" s="21"/>
      <c r="AD3380" s="21"/>
    </row>
    <row r="3381" spans="1:30" ht="39" customHeight="1">
      <c r="A3381" s="11" t="s">
        <v>8993</v>
      </c>
      <c r="B3381" s="11" t="s">
        <v>9022</v>
      </c>
      <c r="C3381" s="4" t="s">
        <v>24</v>
      </c>
      <c r="D3381" s="204" t="s">
        <v>2659</v>
      </c>
      <c r="E3381" s="204" t="s">
        <v>1105</v>
      </c>
      <c r="F3381" s="4" t="s">
        <v>28</v>
      </c>
      <c r="G3381" s="204" t="s">
        <v>28</v>
      </c>
      <c r="H3381" s="4" t="s">
        <v>523</v>
      </c>
      <c r="I3381" s="204"/>
      <c r="J3381" s="21" t="s">
        <v>2276</v>
      </c>
      <c r="K3381" s="21" t="s">
        <v>2276</v>
      </c>
      <c r="L3381" s="21" t="s">
        <v>2276</v>
      </c>
      <c r="M3381" s="21" t="s">
        <v>2276</v>
      </c>
      <c r="N3381" s="21" t="s">
        <v>2276</v>
      </c>
      <c r="O3381" s="21" t="s">
        <v>2276</v>
      </c>
      <c r="P3381" s="21" t="s">
        <v>2276</v>
      </c>
      <c r="Q3381" s="21" t="s">
        <v>2276</v>
      </c>
      <c r="R3381" s="21" t="s">
        <v>2276</v>
      </c>
      <c r="S3381" s="21" t="s">
        <v>2276</v>
      </c>
      <c r="T3381" s="21">
        <f>'Record info'!K$1406*X3381</f>
        <v>34683.42</v>
      </c>
      <c r="U3381" s="21" t="s">
        <v>2276</v>
      </c>
      <c r="V3381" s="21">
        <f>62*0.029</f>
        <v>1.798</v>
      </c>
      <c r="W3381" s="21" t="s">
        <v>2276</v>
      </c>
      <c r="X3381" s="21">
        <f t="shared" si="7"/>
        <v>1.798</v>
      </c>
      <c r="Y3381" s="21" t="s">
        <v>2276</v>
      </c>
      <c r="Z3381" s="204" t="s">
        <v>405</v>
      </c>
      <c r="AA3381" s="204" t="s">
        <v>405</v>
      </c>
      <c r="AB3381" s="21" t="s">
        <v>2276</v>
      </c>
      <c r="AC3381" s="21"/>
      <c r="AD3381" s="21"/>
    </row>
    <row r="3382" spans="1:30" ht="39" customHeight="1">
      <c r="A3382" s="11" t="s">
        <v>8993</v>
      </c>
      <c r="B3382" s="11" t="s">
        <v>9023</v>
      </c>
      <c r="C3382" s="4" t="s">
        <v>24</v>
      </c>
      <c r="D3382" s="204" t="s">
        <v>2659</v>
      </c>
      <c r="E3382" s="204" t="s">
        <v>1105</v>
      </c>
      <c r="F3382" s="4" t="s">
        <v>28</v>
      </c>
      <c r="G3382" s="204" t="s">
        <v>28</v>
      </c>
      <c r="H3382" s="4" t="s">
        <v>523</v>
      </c>
      <c r="I3382" s="204"/>
      <c r="J3382" s="21" t="s">
        <v>2276</v>
      </c>
      <c r="K3382" s="21" t="s">
        <v>2276</v>
      </c>
      <c r="L3382" s="21" t="s">
        <v>2276</v>
      </c>
      <c r="M3382" s="21" t="s">
        <v>2276</v>
      </c>
      <c r="N3382" s="21" t="s">
        <v>2276</v>
      </c>
      <c r="O3382" s="21" t="s">
        <v>2276</v>
      </c>
      <c r="P3382" s="21" t="s">
        <v>2276</v>
      </c>
      <c r="Q3382" s="21" t="s">
        <v>2276</v>
      </c>
      <c r="R3382" s="21" t="s">
        <v>2276</v>
      </c>
      <c r="S3382" s="21" t="s">
        <v>2276</v>
      </c>
      <c r="T3382" s="21">
        <f>'Record info'!K$1406*X3382</f>
        <v>15547.739999999998</v>
      </c>
      <c r="U3382" s="21" t="s">
        <v>2276</v>
      </c>
      <c r="V3382" s="21">
        <f>62*0.013</f>
        <v>0.80599999999999994</v>
      </c>
      <c r="W3382" s="21" t="s">
        <v>2276</v>
      </c>
      <c r="X3382" s="21">
        <f t="shared" si="7"/>
        <v>0.80599999999999994</v>
      </c>
      <c r="Y3382" s="21" t="s">
        <v>2276</v>
      </c>
      <c r="Z3382" s="204" t="s">
        <v>425</v>
      </c>
      <c r="AA3382" s="204" t="s">
        <v>425</v>
      </c>
      <c r="AB3382" s="21" t="s">
        <v>2276</v>
      </c>
      <c r="AC3382" s="21"/>
      <c r="AD3382" s="21"/>
    </row>
    <row r="3383" spans="1:30" ht="39" customHeight="1">
      <c r="A3383" s="11" t="s">
        <v>8993</v>
      </c>
      <c r="B3383" s="11" t="s">
        <v>9024</v>
      </c>
      <c r="C3383" s="4" t="s">
        <v>24</v>
      </c>
      <c r="D3383" s="204" t="s">
        <v>2659</v>
      </c>
      <c r="E3383" s="204" t="s">
        <v>1105</v>
      </c>
      <c r="F3383" s="4" t="s">
        <v>28</v>
      </c>
      <c r="G3383" s="204" t="s">
        <v>28</v>
      </c>
      <c r="H3383" s="4" t="s">
        <v>523</v>
      </c>
      <c r="I3383" s="204"/>
      <c r="J3383" s="21" t="s">
        <v>2276</v>
      </c>
      <c r="K3383" s="21" t="s">
        <v>2276</v>
      </c>
      <c r="L3383" s="21" t="s">
        <v>2276</v>
      </c>
      <c r="M3383" s="21" t="s">
        <v>2276</v>
      </c>
      <c r="N3383" s="21" t="s">
        <v>2276</v>
      </c>
      <c r="O3383" s="21" t="s">
        <v>2276</v>
      </c>
      <c r="P3383" s="21" t="s">
        <v>2276</v>
      </c>
      <c r="Q3383" s="21" t="s">
        <v>2276</v>
      </c>
      <c r="R3383" s="21" t="s">
        <v>2276</v>
      </c>
      <c r="S3383" s="21" t="s">
        <v>2276</v>
      </c>
      <c r="T3383" s="21">
        <f>'Record info'!K$1406*X3383</f>
        <v>47839.199999999997</v>
      </c>
      <c r="U3383" s="21" t="s">
        <v>2276</v>
      </c>
      <c r="V3383" s="21">
        <f>62*0.04</f>
        <v>2.48</v>
      </c>
      <c r="W3383" s="21" t="s">
        <v>2276</v>
      </c>
      <c r="X3383" s="21">
        <f t="shared" si="7"/>
        <v>2.48</v>
      </c>
      <c r="Y3383" s="21" t="s">
        <v>2276</v>
      </c>
      <c r="Z3383" s="204" t="s">
        <v>68</v>
      </c>
      <c r="AA3383" s="204" t="s">
        <v>68</v>
      </c>
      <c r="AB3383" s="21" t="s">
        <v>2276</v>
      </c>
      <c r="AC3383" s="21"/>
      <c r="AD3383" s="21"/>
    </row>
    <row r="3384" spans="1:30" ht="39" customHeight="1">
      <c r="A3384" s="11" t="s">
        <v>8993</v>
      </c>
      <c r="B3384" s="11" t="s">
        <v>9025</v>
      </c>
      <c r="C3384" s="4" t="s">
        <v>24</v>
      </c>
      <c r="D3384" s="204" t="s">
        <v>2659</v>
      </c>
      <c r="E3384" s="204" t="s">
        <v>1105</v>
      </c>
      <c r="F3384" s="4" t="s">
        <v>28</v>
      </c>
      <c r="G3384" s="204" t="s">
        <v>28</v>
      </c>
      <c r="H3384" s="4" t="s">
        <v>523</v>
      </c>
      <c r="I3384" s="204"/>
      <c r="J3384" s="21" t="s">
        <v>2276</v>
      </c>
      <c r="K3384" s="21" t="s">
        <v>2276</v>
      </c>
      <c r="L3384" s="21" t="s">
        <v>2276</v>
      </c>
      <c r="M3384" s="21" t="s">
        <v>2276</v>
      </c>
      <c r="N3384" s="21" t="s">
        <v>2276</v>
      </c>
      <c r="O3384" s="21" t="s">
        <v>2276</v>
      </c>
      <c r="P3384" s="21" t="s">
        <v>2276</v>
      </c>
      <c r="Q3384" s="21" t="s">
        <v>2276</v>
      </c>
      <c r="R3384" s="21" t="s">
        <v>2276</v>
      </c>
      <c r="S3384" s="21" t="s">
        <v>2276</v>
      </c>
      <c r="T3384" s="21">
        <f>'Record info'!K$1406*X3384</f>
        <v>93286.44</v>
      </c>
      <c r="U3384" s="21" t="s">
        <v>2276</v>
      </c>
      <c r="V3384" s="21">
        <f>62*0.078</f>
        <v>4.8360000000000003</v>
      </c>
      <c r="W3384" s="21" t="s">
        <v>2276</v>
      </c>
      <c r="X3384" s="21">
        <f t="shared" si="7"/>
        <v>4.8360000000000003</v>
      </c>
      <c r="Y3384" s="21" t="s">
        <v>2276</v>
      </c>
      <c r="Z3384" s="204" t="s">
        <v>35</v>
      </c>
      <c r="AA3384" s="204" t="s">
        <v>35</v>
      </c>
      <c r="AB3384" s="21" t="s">
        <v>2276</v>
      </c>
      <c r="AC3384" s="21"/>
      <c r="AD3384" s="21"/>
    </row>
    <row r="3385" spans="1:30" ht="39" customHeight="1">
      <c r="A3385" s="11" t="s">
        <v>8993</v>
      </c>
      <c r="B3385" s="11" t="s">
        <v>9026</v>
      </c>
      <c r="C3385" s="4" t="s">
        <v>24</v>
      </c>
      <c r="D3385" s="204" t="s">
        <v>2659</v>
      </c>
      <c r="E3385" s="204" t="s">
        <v>1105</v>
      </c>
      <c r="F3385" s="4" t="s">
        <v>28</v>
      </c>
      <c r="G3385" s="204" t="s">
        <v>28</v>
      </c>
      <c r="H3385" s="4" t="s">
        <v>523</v>
      </c>
      <c r="I3385" s="204"/>
      <c r="J3385" s="21" t="s">
        <v>2276</v>
      </c>
      <c r="K3385" s="21" t="s">
        <v>2276</v>
      </c>
      <c r="L3385" s="21" t="s">
        <v>2276</v>
      </c>
      <c r="M3385" s="21" t="s">
        <v>2276</v>
      </c>
      <c r="N3385" s="21" t="s">
        <v>2276</v>
      </c>
      <c r="O3385" s="21" t="s">
        <v>2276</v>
      </c>
      <c r="P3385" s="21" t="s">
        <v>2276</v>
      </c>
      <c r="Q3385" s="21" t="s">
        <v>2276</v>
      </c>
      <c r="R3385" s="21" t="s">
        <v>2276</v>
      </c>
      <c r="S3385" s="21" t="s">
        <v>2276</v>
      </c>
      <c r="T3385" s="21">
        <f>'Record info'!K$1406*X3385</f>
        <v>223648.25999999998</v>
      </c>
      <c r="U3385" s="21" t="s">
        <v>2276</v>
      </c>
      <c r="V3385" s="21">
        <f>62*0.187</f>
        <v>11.593999999999999</v>
      </c>
      <c r="W3385" s="21" t="s">
        <v>2276</v>
      </c>
      <c r="X3385" s="21">
        <f t="shared" si="7"/>
        <v>11.593999999999999</v>
      </c>
      <c r="Y3385" s="21" t="s">
        <v>2276</v>
      </c>
      <c r="Z3385" s="204" t="s">
        <v>127</v>
      </c>
      <c r="AA3385" s="204" t="s">
        <v>127</v>
      </c>
      <c r="AB3385" s="21" t="s">
        <v>2276</v>
      </c>
      <c r="AC3385" s="21"/>
      <c r="AD3385" s="21"/>
    </row>
    <row r="3386" spans="1:30" ht="39" customHeight="1">
      <c r="A3386" s="11" t="s">
        <v>8993</v>
      </c>
      <c r="B3386" s="11" t="s">
        <v>9027</v>
      </c>
      <c r="C3386" s="168" t="s">
        <v>24</v>
      </c>
      <c r="D3386" s="38" t="s">
        <v>2659</v>
      </c>
      <c r="E3386" s="38" t="s">
        <v>1105</v>
      </c>
      <c r="F3386" s="168" t="s">
        <v>28</v>
      </c>
      <c r="G3386" s="38" t="s">
        <v>28</v>
      </c>
      <c r="H3386" s="168" t="s">
        <v>523</v>
      </c>
      <c r="I3386" s="204"/>
      <c r="J3386" s="21" t="s">
        <v>2276</v>
      </c>
      <c r="K3386" s="21" t="s">
        <v>2276</v>
      </c>
      <c r="L3386" s="21" t="s">
        <v>2276</v>
      </c>
      <c r="M3386" s="21" t="s">
        <v>2276</v>
      </c>
      <c r="N3386" s="21" t="s">
        <v>2276</v>
      </c>
      <c r="O3386" s="21" t="s">
        <v>2276</v>
      </c>
      <c r="P3386" s="21" t="s">
        <v>2276</v>
      </c>
      <c r="Q3386" s="21" t="s">
        <v>2276</v>
      </c>
      <c r="R3386" s="21" t="s">
        <v>2276</v>
      </c>
      <c r="S3386" s="21" t="s">
        <v>2276</v>
      </c>
      <c r="T3386" s="21">
        <f>'Record info'!K$1406*X3386</f>
        <v>180592.98</v>
      </c>
      <c r="U3386" s="21" t="s">
        <v>2276</v>
      </c>
      <c r="V3386" s="21">
        <f>62*0.151</f>
        <v>9.3620000000000001</v>
      </c>
      <c r="W3386" s="21" t="s">
        <v>2276</v>
      </c>
      <c r="X3386" s="21">
        <f t="shared" si="7"/>
        <v>9.3620000000000001</v>
      </c>
      <c r="Y3386" s="21" t="s">
        <v>2276</v>
      </c>
      <c r="Z3386" s="204" t="s">
        <v>399</v>
      </c>
      <c r="AA3386" s="204" t="s">
        <v>399</v>
      </c>
      <c r="AB3386" s="21" t="s">
        <v>2276</v>
      </c>
      <c r="AC3386" s="21"/>
      <c r="AD3386" s="21"/>
    </row>
    <row r="3387" spans="1:30" ht="38" customHeight="1">
      <c r="A3387" s="11" t="s">
        <v>8993</v>
      </c>
      <c r="B3387" s="11" t="s">
        <v>9028</v>
      </c>
      <c r="C3387" s="168" t="s">
        <v>24</v>
      </c>
      <c r="D3387" s="38" t="s">
        <v>2659</v>
      </c>
      <c r="E3387" s="38" t="s">
        <v>1105</v>
      </c>
      <c r="F3387" s="168" t="s">
        <v>28</v>
      </c>
      <c r="G3387" s="38" t="s">
        <v>28</v>
      </c>
      <c r="H3387" s="168" t="s">
        <v>523</v>
      </c>
      <c r="I3387" s="204"/>
      <c r="J3387" s="21" t="s">
        <v>2276</v>
      </c>
      <c r="K3387" s="21" t="s">
        <v>2276</v>
      </c>
      <c r="L3387" s="21" t="s">
        <v>2276</v>
      </c>
      <c r="M3387" s="21" t="s">
        <v>2276</v>
      </c>
      <c r="N3387" s="21" t="s">
        <v>2276</v>
      </c>
      <c r="O3387" s="21" t="s">
        <v>2276</v>
      </c>
      <c r="P3387" s="21" t="s">
        <v>2276</v>
      </c>
      <c r="Q3387" s="21" t="s">
        <v>2276</v>
      </c>
      <c r="R3387" s="21" t="s">
        <v>2276</v>
      </c>
      <c r="S3387" s="21" t="s">
        <v>2276</v>
      </c>
      <c r="T3387" s="21">
        <f>'Record info'!K$1406*X3387</f>
        <v>52623.119999999995</v>
      </c>
      <c r="U3387" s="21" t="s">
        <v>2276</v>
      </c>
      <c r="V3387" s="21">
        <f>62*0.044</f>
        <v>2.7279999999999998</v>
      </c>
      <c r="W3387" s="21" t="s">
        <v>2276</v>
      </c>
      <c r="X3387" s="21">
        <f t="shared" si="7"/>
        <v>2.7279999999999998</v>
      </c>
      <c r="Y3387" s="21" t="s">
        <v>2276</v>
      </c>
      <c r="Z3387" s="204" t="s">
        <v>188</v>
      </c>
      <c r="AA3387" s="204" t="s">
        <v>188</v>
      </c>
      <c r="AB3387" s="21" t="s">
        <v>2276</v>
      </c>
      <c r="AC3387" s="204"/>
      <c r="AD3387" s="204"/>
    </row>
    <row r="3388" spans="1:30" ht="42.5" customHeight="1">
      <c r="A3388" s="11" t="s">
        <v>8993</v>
      </c>
      <c r="B3388" s="11" t="s">
        <v>9029</v>
      </c>
      <c r="C3388" s="168" t="s">
        <v>24</v>
      </c>
      <c r="D3388" s="38" t="s">
        <v>2659</v>
      </c>
      <c r="E3388" s="38" t="s">
        <v>1105</v>
      </c>
      <c r="F3388" s="168" t="s">
        <v>28</v>
      </c>
      <c r="G3388" s="38" t="s">
        <v>28</v>
      </c>
      <c r="H3388" s="168" t="s">
        <v>523</v>
      </c>
      <c r="I3388" s="204"/>
      <c r="J3388" s="21" t="s">
        <v>2276</v>
      </c>
      <c r="K3388" s="21" t="s">
        <v>2276</v>
      </c>
      <c r="L3388" s="21" t="s">
        <v>2276</v>
      </c>
      <c r="M3388" s="21" t="s">
        <v>2276</v>
      </c>
      <c r="N3388" s="21" t="s">
        <v>2276</v>
      </c>
      <c r="O3388" s="21" t="s">
        <v>2276</v>
      </c>
      <c r="P3388" s="21" t="s">
        <v>2276</v>
      </c>
      <c r="Q3388" s="21" t="s">
        <v>2276</v>
      </c>
      <c r="R3388" s="21" t="s">
        <v>2276</v>
      </c>
      <c r="S3388" s="21" t="s">
        <v>2276</v>
      </c>
      <c r="T3388" s="21">
        <f>'Record info'!K$1406*X3388</f>
        <v>56211.060000000005</v>
      </c>
      <c r="U3388" s="21" t="s">
        <v>2276</v>
      </c>
      <c r="V3388" s="21">
        <f>62*0.047</f>
        <v>2.9140000000000001</v>
      </c>
      <c r="W3388" s="21" t="s">
        <v>2276</v>
      </c>
      <c r="X3388" s="21">
        <f t="shared" si="7"/>
        <v>2.9140000000000001</v>
      </c>
      <c r="Y3388" s="21" t="s">
        <v>2276</v>
      </c>
      <c r="Z3388" s="204" t="s">
        <v>189</v>
      </c>
      <c r="AA3388" s="204" t="s">
        <v>189</v>
      </c>
      <c r="AB3388" s="21" t="s">
        <v>2276</v>
      </c>
      <c r="AC3388" s="204"/>
      <c r="AD3388" s="204"/>
    </row>
    <row r="3389" spans="1:30" ht="46" customHeight="1">
      <c r="A3389" s="11" t="s">
        <v>8993</v>
      </c>
      <c r="B3389" s="11" t="s">
        <v>9030</v>
      </c>
      <c r="C3389" s="168" t="s">
        <v>24</v>
      </c>
      <c r="D3389" s="38" t="s">
        <v>2659</v>
      </c>
      <c r="E3389" s="38" t="s">
        <v>1105</v>
      </c>
      <c r="F3389" s="168" t="s">
        <v>28</v>
      </c>
      <c r="G3389" s="38" t="s">
        <v>28</v>
      </c>
      <c r="H3389" s="168" t="s">
        <v>523</v>
      </c>
      <c r="I3389" s="204"/>
      <c r="J3389" s="21" t="s">
        <v>2276</v>
      </c>
      <c r="K3389" s="21" t="s">
        <v>2276</v>
      </c>
      <c r="L3389" s="21" t="s">
        <v>2276</v>
      </c>
      <c r="M3389" s="21" t="s">
        <v>2276</v>
      </c>
      <c r="N3389" s="21" t="s">
        <v>2276</v>
      </c>
      <c r="O3389" s="21" t="s">
        <v>2276</v>
      </c>
      <c r="P3389" s="21" t="s">
        <v>2276</v>
      </c>
      <c r="Q3389" s="21" t="s">
        <v>2276</v>
      </c>
      <c r="R3389" s="21" t="s">
        <v>2276</v>
      </c>
      <c r="S3389" s="21" t="s">
        <v>2276</v>
      </c>
      <c r="T3389" s="21">
        <f>'Record info'!K$1406*X3389</f>
        <v>186572.88</v>
      </c>
      <c r="U3389" s="21" t="s">
        <v>2276</v>
      </c>
      <c r="V3389" s="21">
        <f>62*0.156</f>
        <v>9.6720000000000006</v>
      </c>
      <c r="W3389" s="21" t="s">
        <v>2276</v>
      </c>
      <c r="X3389" s="21">
        <f t="shared" si="7"/>
        <v>9.6720000000000006</v>
      </c>
      <c r="Y3389" s="21" t="s">
        <v>2276</v>
      </c>
      <c r="Z3389" s="204" t="s">
        <v>38</v>
      </c>
      <c r="AA3389" s="204" t="s">
        <v>38</v>
      </c>
      <c r="AB3389" s="21" t="s">
        <v>2276</v>
      </c>
      <c r="AC3389" s="204"/>
      <c r="AD3389" s="204"/>
    </row>
    <row r="3390" spans="1:30" ht="46" customHeight="1">
      <c r="A3390" s="11" t="s">
        <v>9002</v>
      </c>
      <c r="B3390" s="11" t="s">
        <v>9012</v>
      </c>
      <c r="C3390" s="4" t="s">
        <v>24</v>
      </c>
      <c r="D3390" s="204" t="s">
        <v>2659</v>
      </c>
      <c r="E3390" s="204" t="s">
        <v>1105</v>
      </c>
      <c r="F3390" s="4" t="s">
        <v>28</v>
      </c>
      <c r="G3390" s="204" t="s">
        <v>28</v>
      </c>
      <c r="H3390" s="4" t="s">
        <v>523</v>
      </c>
      <c r="I3390" s="204"/>
      <c r="J3390" s="21" t="s">
        <v>2276</v>
      </c>
      <c r="K3390" s="21" t="s">
        <v>2276</v>
      </c>
      <c r="L3390" s="21" t="s">
        <v>2276</v>
      </c>
      <c r="M3390" s="21" t="s">
        <v>2276</v>
      </c>
      <c r="N3390" s="21" t="s">
        <v>2276</v>
      </c>
      <c r="O3390" s="21" t="s">
        <v>2276</v>
      </c>
      <c r="P3390" s="21" t="s">
        <v>2276</v>
      </c>
      <c r="Q3390" s="21" t="s">
        <v>2276</v>
      </c>
      <c r="R3390" s="21" t="s">
        <v>2276</v>
      </c>
      <c r="S3390" s="21" t="s">
        <v>2276</v>
      </c>
      <c r="T3390" s="21">
        <f>'Record info'!K$1406*X3390</f>
        <v>97009.41</v>
      </c>
      <c r="U3390" s="21" t="s">
        <v>2276</v>
      </c>
      <c r="V3390" s="21">
        <f>47*0.107</f>
        <v>5.0289999999999999</v>
      </c>
      <c r="W3390" s="21" t="s">
        <v>2276</v>
      </c>
      <c r="X3390" s="21">
        <f>V3390</f>
        <v>5.0289999999999999</v>
      </c>
      <c r="Y3390" s="21" t="s">
        <v>2276</v>
      </c>
      <c r="Z3390" s="204" t="s">
        <v>86</v>
      </c>
      <c r="AA3390" s="204" t="s">
        <v>86</v>
      </c>
      <c r="AB3390" s="21" t="s">
        <v>2276</v>
      </c>
      <c r="AC3390" s="21"/>
      <c r="AD3390" s="21"/>
    </row>
    <row r="3391" spans="1:30" ht="46" customHeight="1">
      <c r="A3391" s="11" t="s">
        <v>9002</v>
      </c>
      <c r="B3391" s="11" t="s">
        <v>9031</v>
      </c>
      <c r="C3391" s="4" t="s">
        <v>24</v>
      </c>
      <c r="D3391" s="204" t="s">
        <v>2659</v>
      </c>
      <c r="E3391" s="204" t="s">
        <v>1105</v>
      </c>
      <c r="F3391" s="4" t="s">
        <v>28</v>
      </c>
      <c r="G3391" s="204" t="s">
        <v>28</v>
      </c>
      <c r="H3391" s="4" t="s">
        <v>523</v>
      </c>
      <c r="I3391" s="204"/>
      <c r="J3391" s="21" t="s">
        <v>2276</v>
      </c>
      <c r="K3391" s="21" t="s">
        <v>2276</v>
      </c>
      <c r="L3391" s="21" t="s">
        <v>2276</v>
      </c>
      <c r="M3391" s="21" t="s">
        <v>2276</v>
      </c>
      <c r="N3391" s="21" t="s">
        <v>2276</v>
      </c>
      <c r="O3391" s="21" t="s">
        <v>2276</v>
      </c>
      <c r="P3391" s="21" t="s">
        <v>2276</v>
      </c>
      <c r="Q3391" s="21" t="s">
        <v>2276</v>
      </c>
      <c r="R3391" s="21" t="s">
        <v>2276</v>
      </c>
      <c r="S3391" s="21" t="s">
        <v>2276</v>
      </c>
      <c r="T3391" s="21">
        <f>'Record info'!K$1406*X3391</f>
        <v>74343.66</v>
      </c>
      <c r="U3391" s="21" t="s">
        <v>2276</v>
      </c>
      <c r="V3391" s="21">
        <f>47*0.082</f>
        <v>3.8540000000000001</v>
      </c>
      <c r="W3391" s="21" t="s">
        <v>2276</v>
      </c>
      <c r="X3391" s="21">
        <f t="shared" ref="X3391:X3396" si="8">V3391</f>
        <v>3.8540000000000001</v>
      </c>
      <c r="Y3391" s="21" t="s">
        <v>2276</v>
      </c>
      <c r="Z3391" s="204" t="s">
        <v>34</v>
      </c>
      <c r="AA3391" s="204" t="s">
        <v>34</v>
      </c>
      <c r="AB3391" s="21" t="s">
        <v>2276</v>
      </c>
      <c r="AC3391" s="21"/>
      <c r="AD3391" s="21"/>
    </row>
    <row r="3392" spans="1:30" ht="46" customHeight="1">
      <c r="A3392" s="11" t="s">
        <v>9002</v>
      </c>
      <c r="B3392" s="11" t="s">
        <v>9032</v>
      </c>
      <c r="C3392" s="4" t="s">
        <v>24</v>
      </c>
      <c r="D3392" s="204" t="s">
        <v>2659</v>
      </c>
      <c r="E3392" s="204" t="s">
        <v>1105</v>
      </c>
      <c r="F3392" s="4" t="s">
        <v>28</v>
      </c>
      <c r="G3392" s="204" t="s">
        <v>28</v>
      </c>
      <c r="H3392" s="4" t="s">
        <v>523</v>
      </c>
      <c r="I3392" s="204"/>
      <c r="J3392" s="21" t="s">
        <v>2276</v>
      </c>
      <c r="K3392" s="21" t="s">
        <v>2276</v>
      </c>
      <c r="L3392" s="21" t="s">
        <v>2276</v>
      </c>
      <c r="M3392" s="21" t="s">
        <v>2276</v>
      </c>
      <c r="N3392" s="21" t="s">
        <v>2276</v>
      </c>
      <c r="O3392" s="21" t="s">
        <v>2276</v>
      </c>
      <c r="P3392" s="21" t="s">
        <v>2276</v>
      </c>
      <c r="Q3392" s="21" t="s">
        <v>2276</v>
      </c>
      <c r="R3392" s="21" t="s">
        <v>2276</v>
      </c>
      <c r="S3392" s="21" t="s">
        <v>2276</v>
      </c>
      <c r="T3392" s="21">
        <f>'Record info'!K$1406*X3392</f>
        <v>16319.34</v>
      </c>
      <c r="U3392" s="21" t="s">
        <v>2276</v>
      </c>
      <c r="V3392" s="21">
        <f>47*0.018</f>
        <v>0.84599999999999997</v>
      </c>
      <c r="W3392" s="21" t="s">
        <v>2276</v>
      </c>
      <c r="X3392" s="21">
        <f t="shared" si="8"/>
        <v>0.84599999999999997</v>
      </c>
      <c r="Y3392" s="21" t="s">
        <v>2276</v>
      </c>
      <c r="Z3392" s="204" t="s">
        <v>404</v>
      </c>
      <c r="AA3392" s="204" t="s">
        <v>404</v>
      </c>
      <c r="AB3392" s="21" t="s">
        <v>2276</v>
      </c>
      <c r="AC3392" s="21"/>
      <c r="AD3392" s="21"/>
    </row>
    <row r="3393" spans="1:30" ht="46" customHeight="1">
      <c r="A3393" s="11" t="s">
        <v>9002</v>
      </c>
      <c r="B3393" s="11" t="s">
        <v>9033</v>
      </c>
      <c r="C3393" s="4" t="s">
        <v>24</v>
      </c>
      <c r="D3393" s="204" t="s">
        <v>2659</v>
      </c>
      <c r="E3393" s="204" t="s">
        <v>1105</v>
      </c>
      <c r="F3393" s="4" t="s">
        <v>28</v>
      </c>
      <c r="G3393" s="204" t="s">
        <v>28</v>
      </c>
      <c r="H3393" s="4" t="s">
        <v>524</v>
      </c>
      <c r="I3393" s="204"/>
      <c r="J3393" s="21">
        <v>0</v>
      </c>
      <c r="K3393" s="21">
        <v>0</v>
      </c>
      <c r="L3393" s="21">
        <v>0</v>
      </c>
      <c r="M3393" s="21">
        <v>0</v>
      </c>
      <c r="N3393" s="21">
        <v>0</v>
      </c>
      <c r="O3393" s="21">
        <v>0</v>
      </c>
      <c r="P3393" s="21">
        <v>0</v>
      </c>
      <c r="Q3393" s="21">
        <v>0</v>
      </c>
      <c r="R3393" s="21">
        <v>0</v>
      </c>
      <c r="S3393" s="21">
        <v>0</v>
      </c>
      <c r="T3393" s="21">
        <v>0</v>
      </c>
      <c r="U3393" s="21">
        <v>0</v>
      </c>
      <c r="V3393" s="21">
        <v>0</v>
      </c>
      <c r="W3393" s="21">
        <v>0</v>
      </c>
      <c r="X3393" s="21">
        <f t="shared" si="8"/>
        <v>0</v>
      </c>
      <c r="Y3393" s="21" t="s">
        <v>2276</v>
      </c>
      <c r="Z3393" s="204" t="s">
        <v>405</v>
      </c>
      <c r="AA3393" s="204" t="s">
        <v>405</v>
      </c>
      <c r="AB3393" s="21" t="s">
        <v>2276</v>
      </c>
      <c r="AC3393" s="21"/>
      <c r="AD3393" s="21"/>
    </row>
    <row r="3394" spans="1:30" ht="46" customHeight="1">
      <c r="A3394" s="11" t="s">
        <v>9002</v>
      </c>
      <c r="B3394" s="11" t="s">
        <v>9034</v>
      </c>
      <c r="C3394" s="4" t="s">
        <v>24</v>
      </c>
      <c r="D3394" s="204" t="s">
        <v>2659</v>
      </c>
      <c r="E3394" s="204" t="s">
        <v>1105</v>
      </c>
      <c r="F3394" s="4" t="s">
        <v>28</v>
      </c>
      <c r="G3394" s="204" t="s">
        <v>28</v>
      </c>
      <c r="H3394" s="4" t="s">
        <v>524</v>
      </c>
      <c r="I3394" s="204"/>
      <c r="J3394" s="21">
        <v>0</v>
      </c>
      <c r="K3394" s="21">
        <v>0</v>
      </c>
      <c r="L3394" s="21">
        <v>0</v>
      </c>
      <c r="M3394" s="21">
        <v>0</v>
      </c>
      <c r="N3394" s="21">
        <v>0</v>
      </c>
      <c r="O3394" s="21">
        <v>0</v>
      </c>
      <c r="P3394" s="21">
        <v>0</v>
      </c>
      <c r="Q3394" s="21">
        <v>0</v>
      </c>
      <c r="R3394" s="21">
        <v>0</v>
      </c>
      <c r="S3394" s="21">
        <v>0</v>
      </c>
      <c r="T3394" s="21">
        <v>0</v>
      </c>
      <c r="U3394" s="21">
        <v>0</v>
      </c>
      <c r="V3394" s="21">
        <v>0</v>
      </c>
      <c r="W3394" s="21">
        <v>0</v>
      </c>
      <c r="X3394" s="21">
        <f t="shared" si="8"/>
        <v>0</v>
      </c>
      <c r="Y3394" s="21" t="s">
        <v>2276</v>
      </c>
      <c r="Z3394" s="204" t="s">
        <v>425</v>
      </c>
      <c r="AA3394" s="204" t="s">
        <v>425</v>
      </c>
      <c r="AB3394" s="21" t="s">
        <v>2276</v>
      </c>
      <c r="AC3394" s="21"/>
      <c r="AD3394" s="21"/>
    </row>
    <row r="3395" spans="1:30" ht="46" customHeight="1">
      <c r="A3395" s="11" t="s">
        <v>9002</v>
      </c>
      <c r="B3395" s="11" t="s">
        <v>9035</v>
      </c>
      <c r="C3395" s="4" t="s">
        <v>24</v>
      </c>
      <c r="D3395" s="204" t="s">
        <v>2659</v>
      </c>
      <c r="E3395" s="204" t="s">
        <v>1105</v>
      </c>
      <c r="F3395" s="4" t="s">
        <v>28</v>
      </c>
      <c r="G3395" s="204" t="s">
        <v>28</v>
      </c>
      <c r="H3395" s="4" t="s">
        <v>523</v>
      </c>
      <c r="I3395" s="204"/>
      <c r="J3395" s="21" t="s">
        <v>2276</v>
      </c>
      <c r="K3395" s="21" t="s">
        <v>2276</v>
      </c>
      <c r="L3395" s="21" t="s">
        <v>2276</v>
      </c>
      <c r="M3395" s="21" t="s">
        <v>2276</v>
      </c>
      <c r="N3395" s="21" t="s">
        <v>2276</v>
      </c>
      <c r="O3395" s="21" t="s">
        <v>2276</v>
      </c>
      <c r="P3395" s="21" t="s">
        <v>2276</v>
      </c>
      <c r="Q3395" s="21" t="s">
        <v>2276</v>
      </c>
      <c r="R3395" s="21" t="s">
        <v>2276</v>
      </c>
      <c r="S3395" s="21" t="s">
        <v>2276</v>
      </c>
      <c r="T3395" s="21">
        <f>'Record info'!K$1406*X3395</f>
        <v>906.63</v>
      </c>
      <c r="U3395" s="21" t="s">
        <v>2276</v>
      </c>
      <c r="V3395" s="21">
        <f>47*0.001</f>
        <v>4.7E-2</v>
      </c>
      <c r="W3395" s="21" t="s">
        <v>2276</v>
      </c>
      <c r="X3395" s="21">
        <f t="shared" si="8"/>
        <v>4.7E-2</v>
      </c>
      <c r="Y3395" s="21" t="s">
        <v>2276</v>
      </c>
      <c r="Z3395" s="204" t="s">
        <v>68</v>
      </c>
      <c r="AA3395" s="204" t="s">
        <v>68</v>
      </c>
      <c r="AB3395" s="21" t="s">
        <v>2276</v>
      </c>
      <c r="AC3395" s="21"/>
      <c r="AD3395" s="21"/>
    </row>
    <row r="3396" spans="1:30" ht="46" customHeight="1">
      <c r="A3396" s="11" t="s">
        <v>9002</v>
      </c>
      <c r="B3396" s="11" t="s">
        <v>9036</v>
      </c>
      <c r="C3396" s="4" t="s">
        <v>24</v>
      </c>
      <c r="D3396" s="204" t="s">
        <v>2659</v>
      </c>
      <c r="E3396" s="204" t="s">
        <v>1105</v>
      </c>
      <c r="F3396" s="4" t="s">
        <v>28</v>
      </c>
      <c r="G3396" s="204" t="s">
        <v>28</v>
      </c>
      <c r="H3396" s="4" t="s">
        <v>523</v>
      </c>
      <c r="I3396" s="204"/>
      <c r="J3396" s="21" t="s">
        <v>2276</v>
      </c>
      <c r="K3396" s="21" t="s">
        <v>2276</v>
      </c>
      <c r="L3396" s="21" t="s">
        <v>2276</v>
      </c>
      <c r="M3396" s="21" t="s">
        <v>2276</v>
      </c>
      <c r="N3396" s="21" t="s">
        <v>2276</v>
      </c>
      <c r="O3396" s="21" t="s">
        <v>2276</v>
      </c>
      <c r="P3396" s="21" t="s">
        <v>2276</v>
      </c>
      <c r="Q3396" s="21" t="s">
        <v>2276</v>
      </c>
      <c r="R3396" s="21" t="s">
        <v>2276</v>
      </c>
      <c r="S3396" s="21" t="s">
        <v>2276</v>
      </c>
      <c r="T3396" s="21">
        <f>'Record info'!K$1406*X3396</f>
        <v>44424.869999999995</v>
      </c>
      <c r="U3396" s="21" t="s">
        <v>2276</v>
      </c>
      <c r="V3396" s="21">
        <f>47*0.049</f>
        <v>2.3029999999999999</v>
      </c>
      <c r="W3396" s="21" t="s">
        <v>2276</v>
      </c>
      <c r="X3396" s="21">
        <f t="shared" si="8"/>
        <v>2.3029999999999999</v>
      </c>
      <c r="Y3396" s="21" t="s">
        <v>2276</v>
      </c>
      <c r="Z3396" s="204" t="s">
        <v>35</v>
      </c>
      <c r="AA3396" s="204" t="s">
        <v>35</v>
      </c>
      <c r="AB3396" s="21" t="s">
        <v>2276</v>
      </c>
      <c r="AC3396" s="21"/>
      <c r="AD3396" s="21"/>
    </row>
    <row r="3397" spans="1:30" ht="46" customHeight="1">
      <c r="A3397" s="11" t="s">
        <v>9002</v>
      </c>
      <c r="B3397" s="11" t="s">
        <v>9037</v>
      </c>
      <c r="C3397" s="4" t="s">
        <v>24</v>
      </c>
      <c r="D3397" s="204" t="s">
        <v>2659</v>
      </c>
      <c r="E3397" s="204" t="s">
        <v>1105</v>
      </c>
      <c r="F3397" s="4" t="s">
        <v>28</v>
      </c>
      <c r="G3397" s="204" t="s">
        <v>28</v>
      </c>
      <c r="H3397" s="4" t="s">
        <v>523</v>
      </c>
      <c r="I3397" s="204"/>
      <c r="J3397" s="21" t="s">
        <v>2276</v>
      </c>
      <c r="K3397" s="21" t="s">
        <v>2276</v>
      </c>
      <c r="L3397" s="21" t="s">
        <v>2276</v>
      </c>
      <c r="M3397" s="21" t="s">
        <v>2276</v>
      </c>
      <c r="N3397" s="21" t="s">
        <v>2276</v>
      </c>
      <c r="O3397" s="21" t="s">
        <v>2276</v>
      </c>
      <c r="P3397" s="21" t="s">
        <v>2276</v>
      </c>
      <c r="Q3397" s="21" t="s">
        <v>2276</v>
      </c>
      <c r="R3397" s="21" t="s">
        <v>2276</v>
      </c>
      <c r="S3397" s="21" t="s">
        <v>2276</v>
      </c>
      <c r="T3397" s="21">
        <f>'Record info'!K$1406*X3397</f>
        <v>44424.869999999995</v>
      </c>
      <c r="U3397" s="21" t="s">
        <v>2276</v>
      </c>
      <c r="V3397" s="21">
        <f>47*0.34</f>
        <v>15.98</v>
      </c>
      <c r="W3397" s="21" t="s">
        <v>2276</v>
      </c>
      <c r="X3397" s="21">
        <f>V3396</f>
        <v>2.3029999999999999</v>
      </c>
      <c r="Y3397" s="21" t="s">
        <v>2276</v>
      </c>
      <c r="Z3397" s="204" t="s">
        <v>127</v>
      </c>
      <c r="AA3397" s="204" t="s">
        <v>127</v>
      </c>
      <c r="AB3397" s="21" t="s">
        <v>2276</v>
      </c>
      <c r="AC3397" s="21"/>
      <c r="AD3397" s="21"/>
    </row>
    <row r="3398" spans="1:30" ht="46" customHeight="1">
      <c r="A3398" s="11" t="s">
        <v>9002</v>
      </c>
      <c r="B3398" s="11" t="s">
        <v>9038</v>
      </c>
      <c r="C3398" s="4" t="s">
        <v>24</v>
      </c>
      <c r="D3398" s="204" t="s">
        <v>2659</v>
      </c>
      <c r="E3398" s="204" t="s">
        <v>1105</v>
      </c>
      <c r="F3398" s="4" t="s">
        <v>28</v>
      </c>
      <c r="G3398" s="204" t="s">
        <v>28</v>
      </c>
      <c r="H3398" s="4" t="s">
        <v>523</v>
      </c>
      <c r="I3398" s="204"/>
      <c r="J3398" s="21" t="s">
        <v>2276</v>
      </c>
      <c r="K3398" s="21" t="s">
        <v>2276</v>
      </c>
      <c r="L3398" s="21" t="s">
        <v>2276</v>
      </c>
      <c r="M3398" s="21" t="s">
        <v>2276</v>
      </c>
      <c r="N3398" s="21" t="s">
        <v>2276</v>
      </c>
      <c r="O3398" s="21" t="s">
        <v>2276</v>
      </c>
      <c r="P3398" s="21" t="s">
        <v>2276</v>
      </c>
      <c r="Q3398" s="21" t="s">
        <v>2276</v>
      </c>
      <c r="R3398" s="21" t="s">
        <v>2276</v>
      </c>
      <c r="S3398" s="21" t="s">
        <v>2276</v>
      </c>
      <c r="T3398" s="21">
        <f>'Record info'!K$1406*X3398</f>
        <v>308254.2</v>
      </c>
      <c r="U3398" s="21" t="s">
        <v>2276</v>
      </c>
      <c r="V3398" s="21">
        <f>47*0.261</f>
        <v>12.267000000000001</v>
      </c>
      <c r="W3398" s="21" t="s">
        <v>2276</v>
      </c>
      <c r="X3398" s="21">
        <f>V3397</f>
        <v>15.98</v>
      </c>
      <c r="Y3398" s="21" t="s">
        <v>2276</v>
      </c>
      <c r="Z3398" s="204" t="s">
        <v>399</v>
      </c>
      <c r="AA3398" s="204" t="s">
        <v>399</v>
      </c>
      <c r="AB3398" s="21" t="s">
        <v>2276</v>
      </c>
      <c r="AC3398" s="21"/>
      <c r="AD3398" s="21"/>
    </row>
    <row r="3399" spans="1:30" ht="46" customHeight="1">
      <c r="A3399" s="11" t="s">
        <v>9002</v>
      </c>
      <c r="B3399" s="11" t="s">
        <v>9039</v>
      </c>
      <c r="C3399" s="4" t="s">
        <v>24</v>
      </c>
      <c r="D3399" s="204" t="s">
        <v>2659</v>
      </c>
      <c r="E3399" s="204" t="s">
        <v>1105</v>
      </c>
      <c r="F3399" s="4" t="s">
        <v>28</v>
      </c>
      <c r="G3399" s="204" t="s">
        <v>28</v>
      </c>
      <c r="H3399" s="4" t="s">
        <v>523</v>
      </c>
      <c r="I3399" s="204"/>
      <c r="J3399" s="21" t="s">
        <v>2276</v>
      </c>
      <c r="K3399" s="21" t="s">
        <v>2276</v>
      </c>
      <c r="L3399" s="21" t="s">
        <v>2276</v>
      </c>
      <c r="M3399" s="21" t="s">
        <v>2276</v>
      </c>
      <c r="N3399" s="21" t="s">
        <v>2276</v>
      </c>
      <c r="O3399" s="21" t="s">
        <v>2276</v>
      </c>
      <c r="P3399" s="21" t="s">
        <v>2276</v>
      </c>
      <c r="Q3399" s="21" t="s">
        <v>2276</v>
      </c>
      <c r="R3399" s="21" t="s">
        <v>2276</v>
      </c>
      <c r="S3399" s="21" t="s">
        <v>2276</v>
      </c>
      <c r="T3399" s="21">
        <f>'Record info'!K$1406*X3399</f>
        <v>236630.43000000002</v>
      </c>
      <c r="U3399" s="21" t="s">
        <v>2276</v>
      </c>
      <c r="V3399" s="21">
        <f>47*0.004</f>
        <v>0.188</v>
      </c>
      <c r="W3399" s="21" t="s">
        <v>2276</v>
      </c>
      <c r="X3399" s="21">
        <f>V3398</f>
        <v>12.267000000000001</v>
      </c>
      <c r="Y3399" s="21" t="s">
        <v>2276</v>
      </c>
      <c r="Z3399" s="204" t="s">
        <v>188</v>
      </c>
      <c r="AA3399" s="204" t="s">
        <v>188</v>
      </c>
      <c r="AB3399" s="21" t="s">
        <v>2276</v>
      </c>
      <c r="AC3399" s="204"/>
      <c r="AD3399" s="204"/>
    </row>
    <row r="3400" spans="1:30" ht="46" customHeight="1">
      <c r="A3400" s="11" t="s">
        <v>9002</v>
      </c>
      <c r="B3400" s="11" t="s">
        <v>9040</v>
      </c>
      <c r="C3400" s="4" t="s">
        <v>24</v>
      </c>
      <c r="D3400" s="204" t="s">
        <v>2659</v>
      </c>
      <c r="E3400" s="204" t="s">
        <v>1105</v>
      </c>
      <c r="F3400" s="4" t="s">
        <v>28</v>
      </c>
      <c r="G3400" s="204" t="s">
        <v>28</v>
      </c>
      <c r="H3400" s="4" t="s">
        <v>523</v>
      </c>
      <c r="I3400" s="204"/>
      <c r="J3400" s="21" t="s">
        <v>2276</v>
      </c>
      <c r="K3400" s="21" t="s">
        <v>2276</v>
      </c>
      <c r="L3400" s="21" t="s">
        <v>2276</v>
      </c>
      <c r="M3400" s="21" t="s">
        <v>2276</v>
      </c>
      <c r="N3400" s="21" t="s">
        <v>2276</v>
      </c>
      <c r="O3400" s="21" t="s">
        <v>2276</v>
      </c>
      <c r="P3400" s="21" t="s">
        <v>2276</v>
      </c>
      <c r="Q3400" s="21" t="s">
        <v>2276</v>
      </c>
      <c r="R3400" s="21" t="s">
        <v>2276</v>
      </c>
      <c r="S3400" s="21" t="s">
        <v>2276</v>
      </c>
      <c r="T3400" s="21">
        <f>'Record info'!K$1406*X3400</f>
        <v>3626.52</v>
      </c>
      <c r="U3400" s="21" t="s">
        <v>2276</v>
      </c>
      <c r="V3400" s="21">
        <f>47*0.009</f>
        <v>0.42299999999999999</v>
      </c>
      <c r="W3400" s="21" t="s">
        <v>2276</v>
      </c>
      <c r="X3400" s="21">
        <f>V3399</f>
        <v>0.188</v>
      </c>
      <c r="Y3400" s="21" t="s">
        <v>2276</v>
      </c>
      <c r="Z3400" s="204" t="s">
        <v>189</v>
      </c>
      <c r="AA3400" s="204" t="s">
        <v>189</v>
      </c>
      <c r="AB3400" s="21" t="s">
        <v>2276</v>
      </c>
      <c r="AC3400" s="204"/>
      <c r="AD3400" s="204"/>
    </row>
    <row r="3401" spans="1:30" ht="46" customHeight="1">
      <c r="A3401" s="11" t="s">
        <v>9002</v>
      </c>
      <c r="B3401" s="11" t="s">
        <v>9041</v>
      </c>
      <c r="C3401" s="4" t="s">
        <v>24</v>
      </c>
      <c r="D3401" s="204" t="s">
        <v>2659</v>
      </c>
      <c r="E3401" s="204" t="s">
        <v>1105</v>
      </c>
      <c r="F3401" s="4" t="s">
        <v>28</v>
      </c>
      <c r="G3401" s="204" t="s">
        <v>28</v>
      </c>
      <c r="H3401" s="4" t="s">
        <v>523</v>
      </c>
      <c r="I3401" s="204"/>
      <c r="J3401" s="21" t="s">
        <v>2276</v>
      </c>
      <c r="K3401" s="21" t="s">
        <v>2276</v>
      </c>
      <c r="L3401" s="21" t="s">
        <v>2276</v>
      </c>
      <c r="M3401" s="21" t="s">
        <v>2276</v>
      </c>
      <c r="N3401" s="21" t="s">
        <v>2276</v>
      </c>
      <c r="O3401" s="21" t="s">
        <v>2276</v>
      </c>
      <c r="P3401" s="21" t="s">
        <v>2276</v>
      </c>
      <c r="Q3401" s="21" t="s">
        <v>2276</v>
      </c>
      <c r="R3401" s="21" t="s">
        <v>2276</v>
      </c>
      <c r="S3401" s="21" t="s">
        <v>2276</v>
      </c>
      <c r="T3401" s="21">
        <f>'Record info'!K$1406*X3401</f>
        <v>8159.67</v>
      </c>
      <c r="U3401" s="21" t="s">
        <v>2276</v>
      </c>
      <c r="V3401" s="21">
        <f>47*0.129</f>
        <v>6.0630000000000006</v>
      </c>
      <c r="W3401" s="21" t="s">
        <v>2276</v>
      </c>
      <c r="X3401" s="21">
        <f>V3400</f>
        <v>0.42299999999999999</v>
      </c>
      <c r="Y3401" s="21" t="s">
        <v>2276</v>
      </c>
      <c r="Z3401" s="204" t="s">
        <v>38</v>
      </c>
      <c r="AA3401" s="204" t="s">
        <v>38</v>
      </c>
      <c r="AB3401" s="21" t="s">
        <v>2276</v>
      </c>
      <c r="AC3401" s="204"/>
      <c r="AD3401" s="204"/>
    </row>
    <row r="3402" spans="1:30" ht="37" customHeight="1">
      <c r="A3402" s="11" t="s">
        <v>9009</v>
      </c>
      <c r="B3402" s="11" t="s">
        <v>9013</v>
      </c>
      <c r="C3402" s="4" t="s">
        <v>24</v>
      </c>
      <c r="D3402" s="204" t="s">
        <v>2659</v>
      </c>
      <c r="E3402" s="204" t="s">
        <v>1105</v>
      </c>
      <c r="F3402" s="4" t="s">
        <v>28</v>
      </c>
      <c r="G3402" s="204" t="s">
        <v>28</v>
      </c>
      <c r="H3402" s="4" t="s">
        <v>523</v>
      </c>
      <c r="I3402" s="204"/>
      <c r="J3402" s="21" t="s">
        <v>2276</v>
      </c>
      <c r="K3402" s="21" t="s">
        <v>2276</v>
      </c>
      <c r="L3402" s="21" t="s">
        <v>2276</v>
      </c>
      <c r="M3402" s="21" t="s">
        <v>2276</v>
      </c>
      <c r="N3402" s="21" t="s">
        <v>2276</v>
      </c>
      <c r="O3402" s="21" t="s">
        <v>2276</v>
      </c>
      <c r="P3402" s="21" t="s">
        <v>2276</v>
      </c>
      <c r="Q3402" s="21" t="s">
        <v>2276</v>
      </c>
      <c r="R3402" s="21" t="s">
        <v>2276</v>
      </c>
      <c r="S3402" s="21" t="s">
        <v>2276</v>
      </c>
      <c r="T3402" s="21">
        <f>'Record info'!K$1408*X3402</f>
        <v>198408.08</v>
      </c>
      <c r="U3402" s="21" t="s">
        <v>2276</v>
      </c>
      <c r="V3402" s="21">
        <f t="shared" ref="V3402" si="9">26*0.284</f>
        <v>7.3839999999999995</v>
      </c>
      <c r="W3402" s="21" t="s">
        <v>2276</v>
      </c>
      <c r="X3402" s="21">
        <f>V3402</f>
        <v>7.3839999999999995</v>
      </c>
      <c r="Y3402" s="21" t="s">
        <v>2276</v>
      </c>
      <c r="Z3402" s="204" t="s">
        <v>86</v>
      </c>
      <c r="AA3402" s="204" t="s">
        <v>86</v>
      </c>
      <c r="AB3402" s="21" t="s">
        <v>2276</v>
      </c>
      <c r="AC3402" s="204"/>
      <c r="AD3402" s="204"/>
    </row>
    <row r="3403" spans="1:30" ht="37" customHeight="1">
      <c r="A3403" s="11" t="s">
        <v>9009</v>
      </c>
      <c r="B3403" s="11" t="s">
        <v>9042</v>
      </c>
      <c r="C3403" s="4" t="s">
        <v>24</v>
      </c>
      <c r="D3403" s="204" t="s">
        <v>2659</v>
      </c>
      <c r="E3403" s="204" t="s">
        <v>1105</v>
      </c>
      <c r="F3403" s="4" t="s">
        <v>28</v>
      </c>
      <c r="G3403" s="204" t="s">
        <v>28</v>
      </c>
      <c r="H3403" s="4" t="s">
        <v>523</v>
      </c>
      <c r="I3403" s="204"/>
      <c r="J3403" s="21" t="s">
        <v>2276</v>
      </c>
      <c r="K3403" s="21" t="s">
        <v>2276</v>
      </c>
      <c r="L3403" s="21" t="s">
        <v>2276</v>
      </c>
      <c r="M3403" s="21" t="s">
        <v>2276</v>
      </c>
      <c r="N3403" s="21" t="s">
        <v>2276</v>
      </c>
      <c r="O3403" s="21" t="s">
        <v>2276</v>
      </c>
      <c r="P3403" s="21" t="s">
        <v>2276</v>
      </c>
      <c r="Q3403" s="21" t="s">
        <v>2276</v>
      </c>
      <c r="R3403" s="21" t="s">
        <v>2276</v>
      </c>
      <c r="S3403" s="21" t="s">
        <v>2276</v>
      </c>
      <c r="T3403" s="21">
        <f>'Record info'!K$1408*X3403</f>
        <v>74752.34</v>
      </c>
      <c r="U3403" s="21" t="s">
        <v>2276</v>
      </c>
      <c r="V3403" s="21">
        <f>26*0.107</f>
        <v>2.782</v>
      </c>
      <c r="W3403" s="21" t="s">
        <v>2276</v>
      </c>
      <c r="X3403" s="21">
        <f t="shared" ref="X3403:X3413" si="10">V3403</f>
        <v>2.782</v>
      </c>
      <c r="Y3403" s="21" t="s">
        <v>2276</v>
      </c>
      <c r="Z3403" s="204" t="s">
        <v>34</v>
      </c>
      <c r="AA3403" s="204" t="s">
        <v>34</v>
      </c>
      <c r="AB3403" s="21" t="s">
        <v>2276</v>
      </c>
      <c r="AC3403" s="204"/>
      <c r="AD3403" s="204"/>
    </row>
    <row r="3404" spans="1:30" ht="37" customHeight="1">
      <c r="A3404" s="11" t="s">
        <v>9009</v>
      </c>
      <c r="B3404" s="11" t="s">
        <v>9043</v>
      </c>
      <c r="C3404" s="4" t="s">
        <v>24</v>
      </c>
      <c r="D3404" s="204" t="s">
        <v>2659</v>
      </c>
      <c r="E3404" s="204" t="s">
        <v>1105</v>
      </c>
      <c r="F3404" s="4" t="s">
        <v>28</v>
      </c>
      <c r="G3404" s="204" t="s">
        <v>28</v>
      </c>
      <c r="H3404" s="4" t="s">
        <v>523</v>
      </c>
      <c r="I3404" s="204"/>
      <c r="J3404" s="21" t="s">
        <v>2276</v>
      </c>
      <c r="K3404" s="21" t="s">
        <v>2276</v>
      </c>
      <c r="L3404" s="21" t="s">
        <v>2276</v>
      </c>
      <c r="M3404" s="21" t="s">
        <v>2276</v>
      </c>
      <c r="N3404" s="21" t="s">
        <v>2276</v>
      </c>
      <c r="O3404" s="21" t="s">
        <v>2276</v>
      </c>
      <c r="P3404" s="21" t="s">
        <v>2276</v>
      </c>
      <c r="Q3404" s="21" t="s">
        <v>2276</v>
      </c>
      <c r="R3404" s="21" t="s">
        <v>2276</v>
      </c>
      <c r="S3404" s="21" t="s">
        <v>2276</v>
      </c>
      <c r="T3404" s="21">
        <f>'Record info'!K$1408*X3404</f>
        <v>15369.64</v>
      </c>
      <c r="U3404" s="21" t="s">
        <v>2276</v>
      </c>
      <c r="V3404" s="21">
        <f>26*0.022</f>
        <v>0.57199999999999995</v>
      </c>
      <c r="W3404" s="21" t="s">
        <v>2276</v>
      </c>
      <c r="X3404" s="21">
        <f t="shared" si="10"/>
        <v>0.57199999999999995</v>
      </c>
      <c r="Y3404" s="21" t="s">
        <v>2276</v>
      </c>
      <c r="Z3404" s="204" t="s">
        <v>404</v>
      </c>
      <c r="AA3404" s="204" t="s">
        <v>404</v>
      </c>
      <c r="AB3404" s="21" t="s">
        <v>2276</v>
      </c>
      <c r="AC3404" s="204"/>
      <c r="AD3404" s="204"/>
    </row>
    <row r="3405" spans="1:30" ht="37" customHeight="1">
      <c r="A3405" s="11" t="s">
        <v>9009</v>
      </c>
      <c r="B3405" s="11" t="s">
        <v>9044</v>
      </c>
      <c r="C3405" s="4" t="s">
        <v>24</v>
      </c>
      <c r="D3405" s="204" t="s">
        <v>2659</v>
      </c>
      <c r="E3405" s="204" t="s">
        <v>1105</v>
      </c>
      <c r="F3405" s="4" t="s">
        <v>28</v>
      </c>
      <c r="G3405" s="204" t="s">
        <v>28</v>
      </c>
      <c r="H3405" s="4" t="s">
        <v>524</v>
      </c>
      <c r="I3405" s="204"/>
      <c r="J3405" s="21">
        <v>0</v>
      </c>
      <c r="K3405" s="21">
        <v>0</v>
      </c>
      <c r="L3405" s="21">
        <v>0</v>
      </c>
      <c r="M3405" s="21">
        <v>0</v>
      </c>
      <c r="N3405" s="21">
        <v>0</v>
      </c>
      <c r="O3405" s="21">
        <v>0</v>
      </c>
      <c r="P3405" s="21">
        <v>0</v>
      </c>
      <c r="Q3405" s="21">
        <v>0</v>
      </c>
      <c r="R3405" s="21">
        <v>0</v>
      </c>
      <c r="S3405" s="21">
        <v>0</v>
      </c>
      <c r="T3405" s="21">
        <v>0</v>
      </c>
      <c r="U3405" s="21">
        <v>0</v>
      </c>
      <c r="V3405" s="21">
        <v>0</v>
      </c>
      <c r="W3405" s="21">
        <v>0</v>
      </c>
      <c r="X3405" s="21">
        <v>0</v>
      </c>
      <c r="Y3405" s="21" t="s">
        <v>2276</v>
      </c>
      <c r="Z3405" s="204" t="s">
        <v>405</v>
      </c>
      <c r="AA3405" s="204" t="s">
        <v>405</v>
      </c>
      <c r="AB3405" s="21" t="s">
        <v>2276</v>
      </c>
      <c r="AC3405" s="204"/>
      <c r="AD3405" s="204"/>
    </row>
    <row r="3406" spans="1:30" ht="37" customHeight="1">
      <c r="A3406" s="11" t="s">
        <v>9009</v>
      </c>
      <c r="B3406" s="11" t="s">
        <v>9045</v>
      </c>
      <c r="C3406" s="4" t="s">
        <v>24</v>
      </c>
      <c r="D3406" s="204" t="s">
        <v>2659</v>
      </c>
      <c r="E3406" s="204" t="s">
        <v>1105</v>
      </c>
      <c r="F3406" s="4" t="s">
        <v>28</v>
      </c>
      <c r="G3406" s="204" t="s">
        <v>28</v>
      </c>
      <c r="H3406" s="4" t="s">
        <v>524</v>
      </c>
      <c r="I3406" s="204"/>
      <c r="J3406" s="21">
        <v>0</v>
      </c>
      <c r="K3406" s="21">
        <v>0</v>
      </c>
      <c r="L3406" s="21">
        <v>0</v>
      </c>
      <c r="M3406" s="21">
        <v>0</v>
      </c>
      <c r="N3406" s="21">
        <v>0</v>
      </c>
      <c r="O3406" s="21">
        <v>0</v>
      </c>
      <c r="P3406" s="21">
        <v>0</v>
      </c>
      <c r="Q3406" s="21">
        <v>0</v>
      </c>
      <c r="R3406" s="21">
        <v>0</v>
      </c>
      <c r="S3406" s="21">
        <v>0</v>
      </c>
      <c r="T3406" s="21">
        <v>0</v>
      </c>
      <c r="U3406" s="21">
        <v>0</v>
      </c>
      <c r="V3406" s="21">
        <v>0</v>
      </c>
      <c r="W3406" s="21">
        <v>0</v>
      </c>
      <c r="X3406" s="21">
        <v>0</v>
      </c>
      <c r="Y3406" s="21" t="s">
        <v>2276</v>
      </c>
      <c r="Z3406" s="204" t="s">
        <v>425</v>
      </c>
      <c r="AA3406" s="204" t="s">
        <v>425</v>
      </c>
      <c r="AB3406" s="21" t="s">
        <v>2276</v>
      </c>
      <c r="AC3406" s="204"/>
      <c r="AD3406" s="204"/>
    </row>
    <row r="3407" spans="1:30" ht="37" customHeight="1">
      <c r="A3407" s="11" t="s">
        <v>9009</v>
      </c>
      <c r="B3407" s="11" t="s">
        <v>9046</v>
      </c>
      <c r="C3407" s="4" t="s">
        <v>24</v>
      </c>
      <c r="D3407" s="204" t="s">
        <v>2659</v>
      </c>
      <c r="E3407" s="204" t="s">
        <v>1105</v>
      </c>
      <c r="F3407" s="4" t="s">
        <v>28</v>
      </c>
      <c r="G3407" s="204" t="s">
        <v>28</v>
      </c>
      <c r="H3407" s="4" t="s">
        <v>524</v>
      </c>
      <c r="I3407" s="204"/>
      <c r="J3407" s="21">
        <v>0</v>
      </c>
      <c r="K3407" s="21">
        <v>0</v>
      </c>
      <c r="L3407" s="21">
        <v>0</v>
      </c>
      <c r="M3407" s="21">
        <v>0</v>
      </c>
      <c r="N3407" s="21">
        <v>0</v>
      </c>
      <c r="O3407" s="21">
        <v>0</v>
      </c>
      <c r="P3407" s="21">
        <v>0</v>
      </c>
      <c r="Q3407" s="21">
        <v>0</v>
      </c>
      <c r="R3407" s="21">
        <v>0</v>
      </c>
      <c r="S3407" s="21">
        <v>0</v>
      </c>
      <c r="T3407" s="21">
        <v>0</v>
      </c>
      <c r="U3407" s="21">
        <v>0</v>
      </c>
      <c r="V3407" s="21">
        <v>0</v>
      </c>
      <c r="W3407" s="21">
        <v>0</v>
      </c>
      <c r="X3407" s="21">
        <v>0</v>
      </c>
      <c r="Y3407" s="21" t="s">
        <v>2276</v>
      </c>
      <c r="Z3407" s="204" t="s">
        <v>68</v>
      </c>
      <c r="AA3407" s="204" t="s">
        <v>68</v>
      </c>
      <c r="AB3407" s="21" t="s">
        <v>2276</v>
      </c>
      <c r="AC3407" s="204"/>
      <c r="AD3407" s="204"/>
    </row>
    <row r="3408" spans="1:30" ht="37" customHeight="1">
      <c r="A3408" s="11" t="s">
        <v>9009</v>
      </c>
      <c r="B3408" s="11" t="s">
        <v>9047</v>
      </c>
      <c r="C3408" s="4" t="s">
        <v>24</v>
      </c>
      <c r="D3408" s="204" t="s">
        <v>2659</v>
      </c>
      <c r="E3408" s="204" t="s">
        <v>1105</v>
      </c>
      <c r="F3408" s="4" t="s">
        <v>28</v>
      </c>
      <c r="G3408" s="204" t="s">
        <v>28</v>
      </c>
      <c r="H3408" s="4" t="s">
        <v>523</v>
      </c>
      <c r="I3408" s="204"/>
      <c r="J3408" s="21" t="s">
        <v>2276</v>
      </c>
      <c r="K3408" s="21" t="s">
        <v>2276</v>
      </c>
      <c r="L3408" s="21" t="s">
        <v>2276</v>
      </c>
      <c r="M3408" s="21" t="s">
        <v>2276</v>
      </c>
      <c r="N3408" s="21" t="s">
        <v>2276</v>
      </c>
      <c r="O3408" s="21" t="s">
        <v>2276</v>
      </c>
      <c r="P3408" s="21" t="s">
        <v>2276</v>
      </c>
      <c r="Q3408" s="21" t="s">
        <v>2276</v>
      </c>
      <c r="R3408" s="21" t="s">
        <v>2276</v>
      </c>
      <c r="S3408" s="21" t="s">
        <v>2276</v>
      </c>
      <c r="T3408" s="21">
        <f>'Record info'!K$1408*X3408</f>
        <v>13273.78</v>
      </c>
      <c r="U3408" s="21" t="s">
        <v>2276</v>
      </c>
      <c r="V3408" s="21">
        <f>26*0.019</f>
        <v>0.49399999999999999</v>
      </c>
      <c r="W3408" s="21" t="s">
        <v>2276</v>
      </c>
      <c r="X3408" s="21">
        <f t="shared" si="10"/>
        <v>0.49399999999999999</v>
      </c>
      <c r="Y3408" s="21" t="s">
        <v>2276</v>
      </c>
      <c r="Z3408" s="204" t="s">
        <v>35</v>
      </c>
      <c r="AA3408" s="204" t="s">
        <v>35</v>
      </c>
      <c r="AB3408" s="21" t="s">
        <v>2276</v>
      </c>
      <c r="AC3408" s="204"/>
      <c r="AD3408" s="204"/>
    </row>
    <row r="3409" spans="1:30" ht="37" customHeight="1">
      <c r="A3409" s="11" t="s">
        <v>9009</v>
      </c>
      <c r="B3409" s="11" t="s">
        <v>9048</v>
      </c>
      <c r="C3409" s="4" t="s">
        <v>24</v>
      </c>
      <c r="D3409" s="204" t="s">
        <v>2659</v>
      </c>
      <c r="E3409" s="204" t="s">
        <v>1105</v>
      </c>
      <c r="F3409" s="4" t="s">
        <v>28</v>
      </c>
      <c r="G3409" s="204" t="s">
        <v>28</v>
      </c>
      <c r="H3409" s="4" t="s">
        <v>523</v>
      </c>
      <c r="I3409" s="204"/>
      <c r="J3409" s="21" t="s">
        <v>2276</v>
      </c>
      <c r="K3409" s="21" t="s">
        <v>2276</v>
      </c>
      <c r="L3409" s="21" t="s">
        <v>2276</v>
      </c>
      <c r="M3409" s="21" t="s">
        <v>2276</v>
      </c>
      <c r="N3409" s="21" t="s">
        <v>2276</v>
      </c>
      <c r="O3409" s="21" t="s">
        <v>2276</v>
      </c>
      <c r="P3409" s="21" t="s">
        <v>2276</v>
      </c>
      <c r="Q3409" s="21" t="s">
        <v>2276</v>
      </c>
      <c r="R3409" s="21" t="s">
        <v>2276</v>
      </c>
      <c r="S3409" s="21" t="s">
        <v>2276</v>
      </c>
      <c r="T3409" s="21">
        <f>'Record info'!K$1408*X3409</f>
        <v>113176.43999999999</v>
      </c>
      <c r="U3409" s="21" t="s">
        <v>2276</v>
      </c>
      <c r="V3409" s="21">
        <f>26*0.162</f>
        <v>4.2119999999999997</v>
      </c>
      <c r="W3409" s="21" t="s">
        <v>2276</v>
      </c>
      <c r="X3409" s="21">
        <f t="shared" si="10"/>
        <v>4.2119999999999997</v>
      </c>
      <c r="Y3409" s="21" t="s">
        <v>2276</v>
      </c>
      <c r="Z3409" s="204" t="s">
        <v>127</v>
      </c>
      <c r="AA3409" s="204" t="s">
        <v>127</v>
      </c>
      <c r="AB3409" s="21" t="s">
        <v>2276</v>
      </c>
      <c r="AC3409" s="204"/>
      <c r="AD3409" s="204"/>
    </row>
    <row r="3410" spans="1:30" ht="37" customHeight="1">
      <c r="A3410" s="11" t="s">
        <v>9009</v>
      </c>
      <c r="B3410" s="11" t="s">
        <v>9049</v>
      </c>
      <c r="C3410" s="4" t="s">
        <v>24</v>
      </c>
      <c r="D3410" s="204" t="s">
        <v>2659</v>
      </c>
      <c r="E3410" s="204" t="s">
        <v>1105</v>
      </c>
      <c r="F3410" s="4" t="s">
        <v>28</v>
      </c>
      <c r="G3410" s="204" t="s">
        <v>28</v>
      </c>
      <c r="H3410" s="4" t="s">
        <v>523</v>
      </c>
      <c r="I3410" s="204"/>
      <c r="J3410" s="21" t="s">
        <v>2276</v>
      </c>
      <c r="K3410" s="21" t="s">
        <v>2276</v>
      </c>
      <c r="L3410" s="21" t="s">
        <v>2276</v>
      </c>
      <c r="M3410" s="21" t="s">
        <v>2276</v>
      </c>
      <c r="N3410" s="21" t="s">
        <v>2276</v>
      </c>
      <c r="O3410" s="21" t="s">
        <v>2276</v>
      </c>
      <c r="P3410" s="21" t="s">
        <v>2276</v>
      </c>
      <c r="Q3410" s="21" t="s">
        <v>2276</v>
      </c>
      <c r="R3410" s="21" t="s">
        <v>2276</v>
      </c>
      <c r="S3410" s="21" t="s">
        <v>2276</v>
      </c>
      <c r="T3410" s="21">
        <f>'Record info'!K$1408*X3410</f>
        <v>114573.68000000001</v>
      </c>
      <c r="U3410" s="21" t="s">
        <v>2276</v>
      </c>
      <c r="V3410" s="21">
        <f>26*0.164</f>
        <v>4.2640000000000002</v>
      </c>
      <c r="W3410" s="21" t="s">
        <v>2276</v>
      </c>
      <c r="X3410" s="21">
        <f t="shared" si="10"/>
        <v>4.2640000000000002</v>
      </c>
      <c r="Y3410" s="21" t="s">
        <v>2276</v>
      </c>
      <c r="Z3410" s="204" t="s">
        <v>399</v>
      </c>
      <c r="AA3410" s="204" t="s">
        <v>399</v>
      </c>
      <c r="AB3410" s="21" t="s">
        <v>2276</v>
      </c>
      <c r="AC3410" s="204"/>
      <c r="AD3410" s="204"/>
    </row>
    <row r="3411" spans="1:30" ht="37" customHeight="1">
      <c r="A3411" s="11" t="s">
        <v>9009</v>
      </c>
      <c r="B3411" s="11" t="s">
        <v>9050</v>
      </c>
      <c r="C3411" s="4" t="s">
        <v>24</v>
      </c>
      <c r="D3411" s="204" t="s">
        <v>2659</v>
      </c>
      <c r="E3411" s="204" t="s">
        <v>1105</v>
      </c>
      <c r="F3411" s="4" t="s">
        <v>28</v>
      </c>
      <c r="G3411" s="204" t="s">
        <v>28</v>
      </c>
      <c r="H3411" s="4" t="s">
        <v>523</v>
      </c>
      <c r="I3411" s="204"/>
      <c r="J3411" s="21" t="s">
        <v>2276</v>
      </c>
      <c r="K3411" s="21" t="s">
        <v>2276</v>
      </c>
      <c r="L3411" s="21" t="s">
        <v>2276</v>
      </c>
      <c r="M3411" s="21" t="s">
        <v>2276</v>
      </c>
      <c r="N3411" s="21" t="s">
        <v>2276</v>
      </c>
      <c r="O3411" s="21" t="s">
        <v>2276</v>
      </c>
      <c r="P3411" s="21" t="s">
        <v>2276</v>
      </c>
      <c r="Q3411" s="21" t="s">
        <v>2276</v>
      </c>
      <c r="R3411" s="21" t="s">
        <v>2276</v>
      </c>
      <c r="S3411" s="21" t="s">
        <v>2276</v>
      </c>
      <c r="T3411" s="21">
        <f>'Record info'!K$1408*X3411</f>
        <v>4191.72</v>
      </c>
      <c r="U3411" s="21" t="s">
        <v>2276</v>
      </c>
      <c r="V3411" s="21">
        <f>26*0.006</f>
        <v>0.156</v>
      </c>
      <c r="W3411" s="21" t="s">
        <v>2276</v>
      </c>
      <c r="X3411" s="21">
        <f t="shared" si="10"/>
        <v>0.156</v>
      </c>
      <c r="Y3411" s="21" t="s">
        <v>2276</v>
      </c>
      <c r="Z3411" s="204" t="s">
        <v>188</v>
      </c>
      <c r="AA3411" s="204" t="s">
        <v>188</v>
      </c>
      <c r="AB3411" s="21" t="s">
        <v>2276</v>
      </c>
      <c r="AC3411" s="204"/>
      <c r="AD3411" s="204"/>
    </row>
    <row r="3412" spans="1:30" ht="37" customHeight="1">
      <c r="A3412" s="11" t="s">
        <v>9009</v>
      </c>
      <c r="B3412" s="11" t="s">
        <v>9051</v>
      </c>
      <c r="C3412" s="4" t="s">
        <v>24</v>
      </c>
      <c r="D3412" s="204" t="s">
        <v>2659</v>
      </c>
      <c r="E3412" s="204" t="s">
        <v>1105</v>
      </c>
      <c r="F3412" s="4" t="s">
        <v>28</v>
      </c>
      <c r="G3412" s="204" t="s">
        <v>28</v>
      </c>
      <c r="H3412" s="4" t="s">
        <v>523</v>
      </c>
      <c r="I3412" s="204"/>
      <c r="J3412" s="21" t="s">
        <v>2276</v>
      </c>
      <c r="K3412" s="21" t="s">
        <v>2276</v>
      </c>
      <c r="L3412" s="21" t="s">
        <v>2276</v>
      </c>
      <c r="M3412" s="21" t="s">
        <v>2276</v>
      </c>
      <c r="N3412" s="21" t="s">
        <v>2276</v>
      </c>
      <c r="O3412" s="21" t="s">
        <v>2276</v>
      </c>
      <c r="P3412" s="21" t="s">
        <v>2276</v>
      </c>
      <c r="Q3412" s="21" t="s">
        <v>2276</v>
      </c>
      <c r="R3412" s="21" t="s">
        <v>2276</v>
      </c>
      <c r="S3412" s="21" t="s">
        <v>2276</v>
      </c>
      <c r="T3412" s="21">
        <f>'Record info'!K$1408*X3412</f>
        <v>6287.58</v>
      </c>
      <c r="U3412" s="21" t="s">
        <v>2276</v>
      </c>
      <c r="V3412" s="21">
        <f>26*0.009</f>
        <v>0.23399999999999999</v>
      </c>
      <c r="W3412" s="21" t="s">
        <v>2276</v>
      </c>
      <c r="X3412" s="21">
        <f t="shared" si="10"/>
        <v>0.23399999999999999</v>
      </c>
      <c r="Y3412" s="21" t="s">
        <v>2276</v>
      </c>
      <c r="Z3412" s="204" t="s">
        <v>189</v>
      </c>
      <c r="AA3412" s="204" t="s">
        <v>189</v>
      </c>
      <c r="AB3412" s="21" t="s">
        <v>2276</v>
      </c>
      <c r="AC3412" s="204"/>
      <c r="AD3412" s="204"/>
    </row>
    <row r="3413" spans="1:30" ht="38" customHeight="1">
      <c r="A3413" s="11" t="s">
        <v>9009</v>
      </c>
      <c r="B3413" s="11" t="s">
        <v>9052</v>
      </c>
      <c r="C3413" s="4" t="s">
        <v>24</v>
      </c>
      <c r="D3413" s="204" t="s">
        <v>2659</v>
      </c>
      <c r="E3413" s="204" t="s">
        <v>1105</v>
      </c>
      <c r="F3413" s="4" t="s">
        <v>28</v>
      </c>
      <c r="G3413" s="204" t="s">
        <v>28</v>
      </c>
      <c r="H3413" s="4" t="s">
        <v>523</v>
      </c>
      <c r="I3413" s="204"/>
      <c r="J3413" s="21" t="s">
        <v>2276</v>
      </c>
      <c r="K3413" s="21" t="s">
        <v>2276</v>
      </c>
      <c r="L3413" s="21" t="s">
        <v>2276</v>
      </c>
      <c r="M3413" s="21" t="s">
        <v>2276</v>
      </c>
      <c r="N3413" s="21" t="s">
        <v>2276</v>
      </c>
      <c r="O3413" s="21" t="s">
        <v>2276</v>
      </c>
      <c r="P3413" s="21" t="s">
        <v>2276</v>
      </c>
      <c r="Q3413" s="21" t="s">
        <v>2276</v>
      </c>
      <c r="R3413" s="21" t="s">
        <v>2276</v>
      </c>
      <c r="S3413" s="21" t="s">
        <v>2276</v>
      </c>
      <c r="T3413" s="21">
        <f>'Record info'!K$1408*X3413</f>
        <v>90121.98</v>
      </c>
      <c r="U3413" s="21" t="s">
        <v>2276</v>
      </c>
      <c r="V3413" s="21">
        <f>26*0.129</f>
        <v>3.3540000000000001</v>
      </c>
      <c r="W3413" s="21" t="s">
        <v>2276</v>
      </c>
      <c r="X3413" s="21">
        <f t="shared" si="10"/>
        <v>3.3540000000000001</v>
      </c>
      <c r="Y3413" s="21" t="s">
        <v>2276</v>
      </c>
      <c r="Z3413" s="204" t="s">
        <v>38</v>
      </c>
      <c r="AA3413" s="204" t="s">
        <v>38</v>
      </c>
      <c r="AB3413" s="21" t="s">
        <v>2276</v>
      </c>
      <c r="AC3413" s="204"/>
      <c r="AD3413" s="204"/>
    </row>
    <row r="3414" spans="1:30" ht="38" customHeight="1">
      <c r="A3414" s="11" t="s">
        <v>9003</v>
      </c>
      <c r="B3414" s="11" t="s">
        <v>9014</v>
      </c>
      <c r="C3414" s="4" t="s">
        <v>24</v>
      </c>
      <c r="D3414" s="204" t="s">
        <v>2659</v>
      </c>
      <c r="E3414" s="204" t="s">
        <v>1105</v>
      </c>
      <c r="F3414" s="4" t="s">
        <v>28</v>
      </c>
      <c r="G3414" s="204" t="s">
        <v>28</v>
      </c>
      <c r="H3414" s="4" t="s">
        <v>523</v>
      </c>
      <c r="I3414" s="204"/>
      <c r="J3414" s="21" t="s">
        <v>2276</v>
      </c>
      <c r="K3414" s="21" t="s">
        <v>2276</v>
      </c>
      <c r="L3414" s="21" t="s">
        <v>2276</v>
      </c>
      <c r="M3414" s="21" t="s">
        <v>2276</v>
      </c>
      <c r="N3414" s="21" t="s">
        <v>2276</v>
      </c>
      <c r="O3414" s="21" t="s">
        <v>2276</v>
      </c>
      <c r="P3414" s="21" t="s">
        <v>2276</v>
      </c>
      <c r="Q3414" s="21" t="s">
        <v>2276</v>
      </c>
      <c r="R3414" s="21" t="s">
        <v>2276</v>
      </c>
      <c r="S3414" s="21" t="s">
        <v>2276</v>
      </c>
      <c r="T3414" s="21">
        <f>'Record info'!K$1409*X3414</f>
        <v>59313.919999999998</v>
      </c>
      <c r="U3414" s="21" t="s">
        <v>2276</v>
      </c>
      <c r="V3414" s="21">
        <f>16*0.149</f>
        <v>2.3839999999999999</v>
      </c>
      <c r="W3414" s="21" t="s">
        <v>2276</v>
      </c>
      <c r="X3414" s="21">
        <f>V3414</f>
        <v>2.3839999999999999</v>
      </c>
      <c r="Y3414" s="21" t="s">
        <v>2276</v>
      </c>
      <c r="Z3414" s="204" t="s">
        <v>86</v>
      </c>
      <c r="AA3414" s="204" t="s">
        <v>86</v>
      </c>
      <c r="AB3414" s="21" t="s">
        <v>2276</v>
      </c>
      <c r="AC3414" s="204"/>
      <c r="AD3414" s="204"/>
    </row>
    <row r="3415" spans="1:30" ht="38" customHeight="1">
      <c r="A3415" s="11" t="s">
        <v>9003</v>
      </c>
      <c r="B3415" s="11" t="s">
        <v>9053</v>
      </c>
      <c r="C3415" s="4" t="s">
        <v>24</v>
      </c>
      <c r="D3415" s="204" t="s">
        <v>2659</v>
      </c>
      <c r="E3415" s="204" t="s">
        <v>1105</v>
      </c>
      <c r="F3415" s="4" t="s">
        <v>28</v>
      </c>
      <c r="G3415" s="204" t="s">
        <v>28</v>
      </c>
      <c r="H3415" s="4" t="s">
        <v>523</v>
      </c>
      <c r="I3415" s="204"/>
      <c r="J3415" s="21" t="s">
        <v>2276</v>
      </c>
      <c r="K3415" s="21" t="s">
        <v>2276</v>
      </c>
      <c r="L3415" s="21" t="s">
        <v>2276</v>
      </c>
      <c r="M3415" s="21" t="s">
        <v>2276</v>
      </c>
      <c r="N3415" s="21" t="s">
        <v>2276</v>
      </c>
      <c r="O3415" s="21" t="s">
        <v>2276</v>
      </c>
      <c r="P3415" s="21" t="s">
        <v>2276</v>
      </c>
      <c r="Q3415" s="21" t="s">
        <v>2276</v>
      </c>
      <c r="R3415" s="21" t="s">
        <v>2276</v>
      </c>
      <c r="S3415" s="21" t="s">
        <v>2276</v>
      </c>
      <c r="T3415" s="21">
        <f>'Record info'!K$1409*X3415</f>
        <v>27865.600000000002</v>
      </c>
      <c r="U3415" s="21" t="s">
        <v>2276</v>
      </c>
      <c r="V3415" s="21">
        <f>16*0.07</f>
        <v>1.1200000000000001</v>
      </c>
      <c r="W3415" s="21" t="s">
        <v>2276</v>
      </c>
      <c r="X3415" s="21">
        <f t="shared" ref="X3415:X3419" si="11">V3415</f>
        <v>1.1200000000000001</v>
      </c>
      <c r="Y3415" s="21" t="s">
        <v>2276</v>
      </c>
      <c r="Z3415" s="204" t="s">
        <v>34</v>
      </c>
      <c r="AA3415" s="204" t="s">
        <v>34</v>
      </c>
      <c r="AB3415" s="21" t="s">
        <v>2276</v>
      </c>
      <c r="AC3415" s="204"/>
      <c r="AD3415" s="204"/>
    </row>
    <row r="3416" spans="1:30" ht="38" customHeight="1">
      <c r="A3416" s="11" t="s">
        <v>9003</v>
      </c>
      <c r="B3416" s="11" t="s">
        <v>9054</v>
      </c>
      <c r="C3416" s="4" t="s">
        <v>24</v>
      </c>
      <c r="D3416" s="204" t="s">
        <v>2659</v>
      </c>
      <c r="E3416" s="204" t="s">
        <v>1105</v>
      </c>
      <c r="F3416" s="4" t="s">
        <v>28</v>
      </c>
      <c r="G3416" s="204" t="s">
        <v>28</v>
      </c>
      <c r="H3416" s="4" t="s">
        <v>523</v>
      </c>
      <c r="I3416" s="204"/>
      <c r="J3416" s="21" t="s">
        <v>2276</v>
      </c>
      <c r="K3416" s="21" t="s">
        <v>2276</v>
      </c>
      <c r="L3416" s="21" t="s">
        <v>2276</v>
      </c>
      <c r="M3416" s="21" t="s">
        <v>2276</v>
      </c>
      <c r="N3416" s="21" t="s">
        <v>2276</v>
      </c>
      <c r="O3416" s="21" t="s">
        <v>2276</v>
      </c>
      <c r="P3416" s="21" t="s">
        <v>2276</v>
      </c>
      <c r="Q3416" s="21" t="s">
        <v>2276</v>
      </c>
      <c r="R3416" s="21" t="s">
        <v>2276</v>
      </c>
      <c r="S3416" s="21" t="s">
        <v>2276</v>
      </c>
      <c r="T3416" s="21">
        <f>'Record info'!K$1409*X3416</f>
        <v>2388.48</v>
      </c>
      <c r="U3416" s="21" t="s">
        <v>2276</v>
      </c>
      <c r="V3416" s="21">
        <f>16*0.006</f>
        <v>9.6000000000000002E-2</v>
      </c>
      <c r="W3416" s="21" t="s">
        <v>2276</v>
      </c>
      <c r="X3416" s="21">
        <f t="shared" si="11"/>
        <v>9.6000000000000002E-2</v>
      </c>
      <c r="Y3416" s="21" t="s">
        <v>2276</v>
      </c>
      <c r="Z3416" s="204" t="s">
        <v>404</v>
      </c>
      <c r="AA3416" s="204" t="s">
        <v>404</v>
      </c>
      <c r="AB3416" s="21" t="s">
        <v>2276</v>
      </c>
      <c r="AC3416" s="204"/>
      <c r="AD3416" s="204"/>
    </row>
    <row r="3417" spans="1:30" ht="38" customHeight="1">
      <c r="A3417" s="11" t="s">
        <v>9003</v>
      </c>
      <c r="B3417" s="11" t="s">
        <v>9055</v>
      </c>
      <c r="C3417" s="4" t="s">
        <v>24</v>
      </c>
      <c r="D3417" s="204" t="s">
        <v>2659</v>
      </c>
      <c r="E3417" s="204" t="s">
        <v>1105</v>
      </c>
      <c r="F3417" s="4" t="s">
        <v>28</v>
      </c>
      <c r="G3417" s="204" t="s">
        <v>28</v>
      </c>
      <c r="H3417" s="4" t="s">
        <v>524</v>
      </c>
      <c r="I3417" s="204"/>
      <c r="J3417" s="21">
        <v>0</v>
      </c>
      <c r="K3417" s="21">
        <v>0</v>
      </c>
      <c r="L3417" s="21">
        <v>0</v>
      </c>
      <c r="M3417" s="21">
        <v>0</v>
      </c>
      <c r="N3417" s="21">
        <v>0</v>
      </c>
      <c r="O3417" s="21">
        <v>0</v>
      </c>
      <c r="P3417" s="21">
        <v>0</v>
      </c>
      <c r="Q3417" s="21">
        <v>0</v>
      </c>
      <c r="R3417" s="21">
        <v>0</v>
      </c>
      <c r="S3417" s="21">
        <v>0</v>
      </c>
      <c r="T3417" s="21">
        <v>0</v>
      </c>
      <c r="U3417" s="21">
        <v>0</v>
      </c>
      <c r="V3417" s="21">
        <v>0</v>
      </c>
      <c r="W3417" s="21">
        <v>0</v>
      </c>
      <c r="X3417" s="21">
        <v>0</v>
      </c>
      <c r="Y3417" s="21" t="s">
        <v>2276</v>
      </c>
      <c r="Z3417" s="204" t="s">
        <v>405</v>
      </c>
      <c r="AA3417" s="204" t="s">
        <v>405</v>
      </c>
      <c r="AB3417" s="21" t="s">
        <v>2276</v>
      </c>
      <c r="AC3417" s="204"/>
      <c r="AD3417" s="204"/>
    </row>
    <row r="3418" spans="1:30" ht="38" customHeight="1">
      <c r="A3418" s="11" t="s">
        <v>9003</v>
      </c>
      <c r="B3418" s="11" t="s">
        <v>9056</v>
      </c>
      <c r="C3418" s="4" t="s">
        <v>24</v>
      </c>
      <c r="D3418" s="204" t="s">
        <v>2659</v>
      </c>
      <c r="E3418" s="204" t="s">
        <v>1105</v>
      </c>
      <c r="F3418" s="4" t="s">
        <v>28</v>
      </c>
      <c r="G3418" s="204" t="s">
        <v>28</v>
      </c>
      <c r="H3418" s="4" t="s">
        <v>524</v>
      </c>
      <c r="I3418" s="204"/>
      <c r="J3418" s="21">
        <v>0</v>
      </c>
      <c r="K3418" s="21">
        <v>0</v>
      </c>
      <c r="L3418" s="21">
        <v>0</v>
      </c>
      <c r="M3418" s="21">
        <v>0</v>
      </c>
      <c r="N3418" s="21">
        <v>0</v>
      </c>
      <c r="O3418" s="21">
        <v>0</v>
      </c>
      <c r="P3418" s="21">
        <v>0</v>
      </c>
      <c r="Q3418" s="21">
        <v>0</v>
      </c>
      <c r="R3418" s="21">
        <v>0</v>
      </c>
      <c r="S3418" s="21">
        <v>0</v>
      </c>
      <c r="T3418" s="21">
        <v>0</v>
      </c>
      <c r="U3418" s="21">
        <v>0</v>
      </c>
      <c r="V3418" s="21">
        <v>0</v>
      </c>
      <c r="W3418" s="21">
        <v>0</v>
      </c>
      <c r="X3418" s="21">
        <v>0</v>
      </c>
      <c r="Y3418" s="21" t="s">
        <v>2276</v>
      </c>
      <c r="Z3418" s="204" t="s">
        <v>425</v>
      </c>
      <c r="AA3418" s="204" t="s">
        <v>425</v>
      </c>
      <c r="AB3418" s="21" t="s">
        <v>2276</v>
      </c>
      <c r="AC3418" s="204"/>
      <c r="AD3418" s="204"/>
    </row>
    <row r="3419" spans="1:30" ht="38" customHeight="1">
      <c r="A3419" s="11" t="s">
        <v>9003</v>
      </c>
      <c r="B3419" s="11" t="s">
        <v>9057</v>
      </c>
      <c r="C3419" s="4" t="s">
        <v>24</v>
      </c>
      <c r="D3419" s="204" t="s">
        <v>2659</v>
      </c>
      <c r="E3419" s="204" t="s">
        <v>1105</v>
      </c>
      <c r="F3419" s="4" t="s">
        <v>28</v>
      </c>
      <c r="G3419" s="204" t="s">
        <v>28</v>
      </c>
      <c r="H3419" s="4" t="s">
        <v>523</v>
      </c>
      <c r="I3419" s="204"/>
      <c r="J3419" s="21" t="s">
        <v>2276</v>
      </c>
      <c r="K3419" s="21" t="s">
        <v>2276</v>
      </c>
      <c r="L3419" s="21" t="s">
        <v>2276</v>
      </c>
      <c r="M3419" s="21" t="s">
        <v>2276</v>
      </c>
      <c r="N3419" s="21" t="s">
        <v>2276</v>
      </c>
      <c r="O3419" s="21" t="s">
        <v>2276</v>
      </c>
      <c r="P3419" s="21" t="s">
        <v>2276</v>
      </c>
      <c r="Q3419" s="21" t="s">
        <v>2276</v>
      </c>
      <c r="R3419" s="21" t="s">
        <v>2276</v>
      </c>
      <c r="S3419" s="21" t="s">
        <v>2276</v>
      </c>
      <c r="T3419" s="21">
        <f>'Record info'!K$1409*X3419</f>
        <v>2388.48</v>
      </c>
      <c r="U3419" s="21" t="s">
        <v>2276</v>
      </c>
      <c r="V3419" s="21">
        <f>16*0.006</f>
        <v>9.6000000000000002E-2</v>
      </c>
      <c r="W3419" s="21" t="s">
        <v>2276</v>
      </c>
      <c r="X3419" s="21">
        <f t="shared" si="11"/>
        <v>9.6000000000000002E-2</v>
      </c>
      <c r="Y3419" s="21" t="s">
        <v>2276</v>
      </c>
      <c r="Z3419" s="204" t="s">
        <v>68</v>
      </c>
      <c r="AA3419" s="204" t="s">
        <v>68</v>
      </c>
      <c r="AB3419" s="21" t="s">
        <v>2276</v>
      </c>
      <c r="AC3419" s="204"/>
      <c r="AD3419" s="204"/>
    </row>
    <row r="3420" spans="1:30" ht="38" customHeight="1">
      <c r="A3420" s="11" t="s">
        <v>9003</v>
      </c>
      <c r="B3420" s="11" t="s">
        <v>9058</v>
      </c>
      <c r="C3420" s="4" t="s">
        <v>24</v>
      </c>
      <c r="D3420" s="204" t="s">
        <v>2659</v>
      </c>
      <c r="E3420" s="204" t="s">
        <v>1105</v>
      </c>
      <c r="F3420" s="4" t="s">
        <v>28</v>
      </c>
      <c r="G3420" s="204" t="s">
        <v>28</v>
      </c>
      <c r="H3420" s="4" t="s">
        <v>523</v>
      </c>
      <c r="I3420" s="204"/>
      <c r="J3420" s="21" t="s">
        <v>2276</v>
      </c>
      <c r="K3420" s="21" t="s">
        <v>2276</v>
      </c>
      <c r="L3420" s="21" t="s">
        <v>2276</v>
      </c>
      <c r="M3420" s="21" t="s">
        <v>2276</v>
      </c>
      <c r="N3420" s="21" t="s">
        <v>2276</v>
      </c>
      <c r="O3420" s="21" t="s">
        <v>2276</v>
      </c>
      <c r="P3420" s="21" t="s">
        <v>2276</v>
      </c>
      <c r="Q3420" s="21" t="s">
        <v>2276</v>
      </c>
      <c r="R3420" s="21" t="s">
        <v>2276</v>
      </c>
      <c r="S3420" s="21" t="s">
        <v>2276</v>
      </c>
      <c r="T3420" s="21">
        <f>'Record info'!K$1409*X3420</f>
        <v>9155.84</v>
      </c>
      <c r="U3420" s="21" t="s">
        <v>2276</v>
      </c>
      <c r="V3420" s="21">
        <f>16*0.023</f>
        <v>0.36799999999999999</v>
      </c>
      <c r="W3420" s="21" t="s">
        <v>2276</v>
      </c>
      <c r="X3420" s="21">
        <f t="shared" ref="X3420:X3425" si="12">V3420</f>
        <v>0.36799999999999999</v>
      </c>
      <c r="Y3420" s="21" t="s">
        <v>2276</v>
      </c>
      <c r="Z3420" s="204" t="s">
        <v>35</v>
      </c>
      <c r="AA3420" s="204" t="s">
        <v>35</v>
      </c>
      <c r="AB3420" s="21" t="s">
        <v>2276</v>
      </c>
      <c r="AC3420" s="204"/>
      <c r="AD3420" s="204"/>
    </row>
    <row r="3421" spans="1:30" ht="38" customHeight="1">
      <c r="A3421" s="11" t="s">
        <v>9003</v>
      </c>
      <c r="B3421" s="11" t="s">
        <v>9059</v>
      </c>
      <c r="C3421" s="4" t="s">
        <v>24</v>
      </c>
      <c r="D3421" s="204" t="s">
        <v>2659</v>
      </c>
      <c r="E3421" s="204" t="s">
        <v>1105</v>
      </c>
      <c r="F3421" s="4" t="s">
        <v>28</v>
      </c>
      <c r="G3421" s="204" t="s">
        <v>28</v>
      </c>
      <c r="H3421" s="4" t="s">
        <v>523</v>
      </c>
      <c r="I3421" s="204"/>
      <c r="J3421" s="21" t="s">
        <v>2276</v>
      </c>
      <c r="K3421" s="21" t="s">
        <v>2276</v>
      </c>
      <c r="L3421" s="21" t="s">
        <v>2276</v>
      </c>
      <c r="M3421" s="21" t="s">
        <v>2276</v>
      </c>
      <c r="N3421" s="21" t="s">
        <v>2276</v>
      </c>
      <c r="O3421" s="21" t="s">
        <v>2276</v>
      </c>
      <c r="P3421" s="21" t="s">
        <v>2276</v>
      </c>
      <c r="Q3421" s="21" t="s">
        <v>2276</v>
      </c>
      <c r="R3421" s="21" t="s">
        <v>2276</v>
      </c>
      <c r="S3421" s="21" t="s">
        <v>2276</v>
      </c>
      <c r="T3421" s="21">
        <f>'Record info'!K$1409*X3421</f>
        <v>91160.320000000007</v>
      </c>
      <c r="U3421" s="21" t="s">
        <v>2276</v>
      </c>
      <c r="V3421" s="21">
        <f>16*0.229</f>
        <v>3.6640000000000001</v>
      </c>
      <c r="W3421" s="21" t="s">
        <v>2276</v>
      </c>
      <c r="X3421" s="21">
        <f t="shared" si="12"/>
        <v>3.6640000000000001</v>
      </c>
      <c r="Y3421" s="21" t="s">
        <v>2276</v>
      </c>
      <c r="Z3421" s="204" t="s">
        <v>127</v>
      </c>
      <c r="AA3421" s="204" t="s">
        <v>127</v>
      </c>
      <c r="AB3421" s="21" t="s">
        <v>2276</v>
      </c>
      <c r="AC3421" s="204"/>
      <c r="AD3421" s="204"/>
    </row>
    <row r="3422" spans="1:30" ht="38" customHeight="1">
      <c r="A3422" s="11" t="s">
        <v>9003</v>
      </c>
      <c r="B3422" s="11" t="s">
        <v>9060</v>
      </c>
      <c r="C3422" s="4" t="s">
        <v>24</v>
      </c>
      <c r="D3422" s="204" t="s">
        <v>2659</v>
      </c>
      <c r="E3422" s="204" t="s">
        <v>1105</v>
      </c>
      <c r="F3422" s="4" t="s">
        <v>28</v>
      </c>
      <c r="G3422" s="204" t="s">
        <v>28</v>
      </c>
      <c r="H3422" s="4" t="s">
        <v>523</v>
      </c>
      <c r="I3422" s="204"/>
      <c r="J3422" s="21" t="s">
        <v>2276</v>
      </c>
      <c r="K3422" s="21" t="s">
        <v>2276</v>
      </c>
      <c r="L3422" s="21" t="s">
        <v>2276</v>
      </c>
      <c r="M3422" s="21" t="s">
        <v>2276</v>
      </c>
      <c r="N3422" s="21" t="s">
        <v>2276</v>
      </c>
      <c r="O3422" s="21" t="s">
        <v>2276</v>
      </c>
      <c r="P3422" s="21" t="s">
        <v>2276</v>
      </c>
      <c r="Q3422" s="21" t="s">
        <v>2276</v>
      </c>
      <c r="R3422" s="21" t="s">
        <v>2276</v>
      </c>
      <c r="S3422" s="21" t="s">
        <v>2276</v>
      </c>
      <c r="T3422" s="21">
        <f>'Record info'!K$1409*X3422</f>
        <v>58517.759999999995</v>
      </c>
      <c r="U3422" s="21" t="s">
        <v>2276</v>
      </c>
      <c r="V3422" s="21">
        <f>16*0.147</f>
        <v>2.3519999999999999</v>
      </c>
      <c r="W3422" s="21" t="s">
        <v>2276</v>
      </c>
      <c r="X3422" s="21">
        <f t="shared" si="12"/>
        <v>2.3519999999999999</v>
      </c>
      <c r="Y3422" s="21" t="s">
        <v>2276</v>
      </c>
      <c r="Z3422" s="204" t="s">
        <v>399</v>
      </c>
      <c r="AA3422" s="204" t="s">
        <v>399</v>
      </c>
      <c r="AB3422" s="21" t="s">
        <v>2276</v>
      </c>
      <c r="AC3422" s="204"/>
      <c r="AD3422" s="204"/>
    </row>
    <row r="3423" spans="1:30" ht="38" customHeight="1">
      <c r="A3423" s="11" t="s">
        <v>9003</v>
      </c>
      <c r="B3423" s="11" t="s">
        <v>9061</v>
      </c>
      <c r="C3423" s="4" t="s">
        <v>24</v>
      </c>
      <c r="D3423" s="204" t="s">
        <v>2659</v>
      </c>
      <c r="E3423" s="204" t="s">
        <v>1105</v>
      </c>
      <c r="F3423" s="4" t="s">
        <v>28</v>
      </c>
      <c r="G3423" s="204" t="s">
        <v>28</v>
      </c>
      <c r="H3423" s="4" t="s">
        <v>523</v>
      </c>
      <c r="I3423" s="204"/>
      <c r="J3423" s="21" t="s">
        <v>2276</v>
      </c>
      <c r="K3423" s="21" t="s">
        <v>2276</v>
      </c>
      <c r="L3423" s="21" t="s">
        <v>2276</v>
      </c>
      <c r="M3423" s="21" t="s">
        <v>2276</v>
      </c>
      <c r="N3423" s="21" t="s">
        <v>2276</v>
      </c>
      <c r="O3423" s="21" t="s">
        <v>2276</v>
      </c>
      <c r="P3423" s="21" t="s">
        <v>2276</v>
      </c>
      <c r="Q3423" s="21" t="s">
        <v>2276</v>
      </c>
      <c r="R3423" s="21" t="s">
        <v>2276</v>
      </c>
      <c r="S3423" s="21" t="s">
        <v>2276</v>
      </c>
      <c r="T3423" s="21">
        <f>'Record info'!K$1409*X3423</f>
        <v>1592.32</v>
      </c>
      <c r="U3423" s="21" t="s">
        <v>2276</v>
      </c>
      <c r="V3423" s="21">
        <f>16*0.004</f>
        <v>6.4000000000000001E-2</v>
      </c>
      <c r="W3423" s="21" t="s">
        <v>2276</v>
      </c>
      <c r="X3423" s="21">
        <f t="shared" si="12"/>
        <v>6.4000000000000001E-2</v>
      </c>
      <c r="Y3423" s="21" t="s">
        <v>2276</v>
      </c>
      <c r="Z3423" s="204" t="s">
        <v>188</v>
      </c>
      <c r="AA3423" s="204" t="s">
        <v>188</v>
      </c>
      <c r="AB3423" s="21" t="s">
        <v>2276</v>
      </c>
      <c r="AC3423" s="204"/>
      <c r="AD3423" s="204"/>
    </row>
    <row r="3424" spans="1:30" ht="38" customHeight="1">
      <c r="A3424" s="11" t="s">
        <v>9003</v>
      </c>
      <c r="B3424" s="11" t="s">
        <v>9062</v>
      </c>
      <c r="C3424" s="4" t="s">
        <v>24</v>
      </c>
      <c r="D3424" s="204" t="s">
        <v>2659</v>
      </c>
      <c r="E3424" s="204" t="s">
        <v>1105</v>
      </c>
      <c r="F3424" s="4" t="s">
        <v>28</v>
      </c>
      <c r="G3424" s="204" t="s">
        <v>28</v>
      </c>
      <c r="H3424" s="4" t="s">
        <v>523</v>
      </c>
      <c r="I3424" s="204"/>
      <c r="J3424" s="21" t="s">
        <v>2276</v>
      </c>
      <c r="K3424" s="21" t="s">
        <v>2276</v>
      </c>
      <c r="L3424" s="21" t="s">
        <v>2276</v>
      </c>
      <c r="M3424" s="21" t="s">
        <v>2276</v>
      </c>
      <c r="N3424" s="21" t="s">
        <v>2276</v>
      </c>
      <c r="O3424" s="21" t="s">
        <v>2276</v>
      </c>
      <c r="P3424" s="21" t="s">
        <v>2276</v>
      </c>
      <c r="Q3424" s="21" t="s">
        <v>2276</v>
      </c>
      <c r="R3424" s="21" t="s">
        <v>2276</v>
      </c>
      <c r="S3424" s="21" t="s">
        <v>2276</v>
      </c>
      <c r="T3424" s="21">
        <f>'Record info'!K$1409*X3424</f>
        <v>18709.759999999998</v>
      </c>
      <c r="U3424" s="21" t="s">
        <v>2276</v>
      </c>
      <c r="V3424" s="21">
        <f>16*0.047</f>
        <v>0.752</v>
      </c>
      <c r="W3424" s="21" t="s">
        <v>2276</v>
      </c>
      <c r="X3424" s="21">
        <f t="shared" si="12"/>
        <v>0.752</v>
      </c>
      <c r="Y3424" s="21" t="s">
        <v>2276</v>
      </c>
      <c r="Z3424" s="204" t="s">
        <v>189</v>
      </c>
      <c r="AA3424" s="204" t="s">
        <v>189</v>
      </c>
      <c r="AB3424" s="21" t="s">
        <v>2276</v>
      </c>
      <c r="AC3424" s="204"/>
      <c r="AD3424" s="204"/>
    </row>
    <row r="3425" spans="1:30" ht="39" customHeight="1">
      <c r="A3425" s="11" t="s">
        <v>9003</v>
      </c>
      <c r="B3425" s="11" t="s">
        <v>9063</v>
      </c>
      <c r="C3425" s="4" t="s">
        <v>24</v>
      </c>
      <c r="D3425" s="204" t="s">
        <v>2659</v>
      </c>
      <c r="E3425" s="204" t="s">
        <v>1105</v>
      </c>
      <c r="F3425" s="4" t="s">
        <v>28</v>
      </c>
      <c r="G3425" s="204" t="s">
        <v>28</v>
      </c>
      <c r="H3425" s="4" t="s">
        <v>523</v>
      </c>
      <c r="I3425" s="204"/>
      <c r="J3425" s="21" t="s">
        <v>2276</v>
      </c>
      <c r="K3425" s="21" t="s">
        <v>2276</v>
      </c>
      <c r="L3425" s="21" t="s">
        <v>2276</v>
      </c>
      <c r="M3425" s="21" t="s">
        <v>2276</v>
      </c>
      <c r="N3425" s="21" t="s">
        <v>2276</v>
      </c>
      <c r="O3425" s="21" t="s">
        <v>2276</v>
      </c>
      <c r="P3425" s="21" t="s">
        <v>2276</v>
      </c>
      <c r="Q3425" s="21" t="s">
        <v>2276</v>
      </c>
      <c r="R3425" s="21" t="s">
        <v>2276</v>
      </c>
      <c r="S3425" s="21" t="s">
        <v>2276</v>
      </c>
      <c r="T3425" s="21">
        <f>'Record info'!K$1409*X3425</f>
        <v>127385.60000000001</v>
      </c>
      <c r="U3425" s="21" t="s">
        <v>2276</v>
      </c>
      <c r="V3425" s="21">
        <f>16*0.32</f>
        <v>5.12</v>
      </c>
      <c r="W3425" s="21" t="s">
        <v>2276</v>
      </c>
      <c r="X3425" s="21">
        <f t="shared" si="12"/>
        <v>5.12</v>
      </c>
      <c r="Y3425" s="21" t="s">
        <v>2276</v>
      </c>
      <c r="Z3425" s="204" t="s">
        <v>38</v>
      </c>
      <c r="AA3425" s="204" t="s">
        <v>38</v>
      </c>
      <c r="AB3425" s="21" t="s">
        <v>2276</v>
      </c>
      <c r="AC3425" s="204"/>
      <c r="AD3425" s="204"/>
    </row>
    <row r="3426" spans="1:30" ht="39" customHeight="1">
      <c r="A3426" s="11" t="s">
        <v>9004</v>
      </c>
      <c r="B3426" s="11" t="s">
        <v>9015</v>
      </c>
      <c r="C3426" s="4" t="s">
        <v>24</v>
      </c>
      <c r="D3426" s="204" t="s">
        <v>2659</v>
      </c>
      <c r="E3426" s="204" t="s">
        <v>1105</v>
      </c>
      <c r="F3426" s="4" t="s">
        <v>28</v>
      </c>
      <c r="G3426" s="204" t="s">
        <v>28</v>
      </c>
      <c r="H3426" s="4" t="s">
        <v>523</v>
      </c>
      <c r="I3426" s="204"/>
      <c r="J3426" s="21" t="s">
        <v>2276</v>
      </c>
      <c r="K3426" s="21" t="s">
        <v>2276</v>
      </c>
      <c r="L3426" s="21" t="s">
        <v>2276</v>
      </c>
      <c r="M3426" s="21" t="s">
        <v>2276</v>
      </c>
      <c r="N3426" s="21" t="s">
        <v>2276</v>
      </c>
      <c r="O3426" s="21" t="s">
        <v>2276</v>
      </c>
      <c r="P3426" s="21" t="s">
        <v>2276</v>
      </c>
      <c r="Q3426" s="21" t="s">
        <v>2276</v>
      </c>
      <c r="R3426" s="21" t="s">
        <v>2276</v>
      </c>
      <c r="S3426" s="21" t="s">
        <v>2276</v>
      </c>
      <c r="T3426" s="21">
        <f>'Record info'!K$1406*X3426</f>
        <v>160685.70000000001</v>
      </c>
      <c r="U3426" s="21" t="s">
        <v>2276</v>
      </c>
      <c r="V3426" s="21">
        <f>70*0.119</f>
        <v>8.33</v>
      </c>
      <c r="W3426" s="21" t="s">
        <v>2276</v>
      </c>
      <c r="X3426" s="21">
        <f>V3426</f>
        <v>8.33</v>
      </c>
      <c r="Y3426" s="21" t="s">
        <v>2276</v>
      </c>
      <c r="Z3426" s="204" t="s">
        <v>86</v>
      </c>
      <c r="AA3426" s="204" t="s">
        <v>86</v>
      </c>
      <c r="AB3426" s="21" t="s">
        <v>2276</v>
      </c>
      <c r="AC3426" s="21"/>
      <c r="AD3426" s="21"/>
    </row>
    <row r="3427" spans="1:30" ht="39" customHeight="1">
      <c r="A3427" s="11" t="s">
        <v>9004</v>
      </c>
      <c r="B3427" s="11" t="s">
        <v>9064</v>
      </c>
      <c r="C3427" s="4" t="s">
        <v>24</v>
      </c>
      <c r="D3427" s="204" t="s">
        <v>2659</v>
      </c>
      <c r="E3427" s="204" t="s">
        <v>1105</v>
      </c>
      <c r="F3427" s="4" t="s">
        <v>28</v>
      </c>
      <c r="G3427" s="204" t="s">
        <v>28</v>
      </c>
      <c r="H3427" s="4" t="s">
        <v>523</v>
      </c>
      <c r="I3427" s="204"/>
      <c r="J3427" s="21" t="s">
        <v>2276</v>
      </c>
      <c r="K3427" s="21" t="s">
        <v>2276</v>
      </c>
      <c r="L3427" s="21" t="s">
        <v>2276</v>
      </c>
      <c r="M3427" s="21" t="s">
        <v>2276</v>
      </c>
      <c r="N3427" s="21" t="s">
        <v>2276</v>
      </c>
      <c r="O3427" s="21" t="s">
        <v>2276</v>
      </c>
      <c r="P3427" s="21" t="s">
        <v>2276</v>
      </c>
      <c r="Q3427" s="21" t="s">
        <v>2276</v>
      </c>
      <c r="R3427" s="21" t="s">
        <v>2276</v>
      </c>
      <c r="S3427" s="21" t="s">
        <v>2276</v>
      </c>
      <c r="T3427" s="21">
        <f>'Record info'!K$1406*X3427</f>
        <v>175539</v>
      </c>
      <c r="U3427" s="21" t="s">
        <v>2276</v>
      </c>
      <c r="V3427" s="21">
        <f>70*0.13</f>
        <v>9.1</v>
      </c>
      <c r="W3427" s="21" t="s">
        <v>2276</v>
      </c>
      <c r="X3427" s="21">
        <f t="shared" ref="X3427:X3437" si="13">V3427</f>
        <v>9.1</v>
      </c>
      <c r="Y3427" s="21" t="s">
        <v>2276</v>
      </c>
      <c r="Z3427" s="204" t="s">
        <v>34</v>
      </c>
      <c r="AA3427" s="204" t="s">
        <v>34</v>
      </c>
      <c r="AB3427" s="21" t="s">
        <v>2276</v>
      </c>
      <c r="AC3427" s="21"/>
      <c r="AD3427" s="21"/>
    </row>
    <row r="3428" spans="1:30" ht="39" customHeight="1">
      <c r="A3428" s="11" t="s">
        <v>9004</v>
      </c>
      <c r="B3428" s="11" t="s">
        <v>9065</v>
      </c>
      <c r="C3428" s="4" t="s">
        <v>24</v>
      </c>
      <c r="D3428" s="204" t="s">
        <v>2659</v>
      </c>
      <c r="E3428" s="204" t="s">
        <v>1105</v>
      </c>
      <c r="F3428" s="4" t="s">
        <v>28</v>
      </c>
      <c r="G3428" s="204" t="s">
        <v>28</v>
      </c>
      <c r="H3428" s="4" t="s">
        <v>523</v>
      </c>
      <c r="I3428" s="204"/>
      <c r="J3428" s="21" t="s">
        <v>2276</v>
      </c>
      <c r="K3428" s="21" t="s">
        <v>2276</v>
      </c>
      <c r="L3428" s="21" t="s">
        <v>2276</v>
      </c>
      <c r="M3428" s="21" t="s">
        <v>2276</v>
      </c>
      <c r="N3428" s="21" t="s">
        <v>2276</v>
      </c>
      <c r="O3428" s="21" t="s">
        <v>2276</v>
      </c>
      <c r="P3428" s="21" t="s">
        <v>2276</v>
      </c>
      <c r="Q3428" s="21" t="s">
        <v>2276</v>
      </c>
      <c r="R3428" s="21" t="s">
        <v>2276</v>
      </c>
      <c r="S3428" s="21" t="s">
        <v>2276</v>
      </c>
      <c r="T3428" s="21">
        <f>'Record info'!K$1406*X3428</f>
        <v>136380.30000000002</v>
      </c>
      <c r="U3428" s="21" t="s">
        <v>2276</v>
      </c>
      <c r="V3428" s="21">
        <f>70*0.101</f>
        <v>7.07</v>
      </c>
      <c r="W3428" s="21" t="s">
        <v>2276</v>
      </c>
      <c r="X3428" s="21">
        <f t="shared" si="13"/>
        <v>7.07</v>
      </c>
      <c r="Y3428" s="21" t="s">
        <v>2276</v>
      </c>
      <c r="Z3428" s="204" t="s">
        <v>404</v>
      </c>
      <c r="AA3428" s="204" t="s">
        <v>404</v>
      </c>
      <c r="AB3428" s="21" t="s">
        <v>2276</v>
      </c>
      <c r="AC3428" s="21"/>
      <c r="AD3428" s="21"/>
    </row>
    <row r="3429" spans="1:30" ht="39" customHeight="1">
      <c r="A3429" s="11" t="s">
        <v>9004</v>
      </c>
      <c r="B3429" s="11" t="s">
        <v>9066</v>
      </c>
      <c r="C3429" s="4" t="s">
        <v>24</v>
      </c>
      <c r="D3429" s="204" t="s">
        <v>2659</v>
      </c>
      <c r="E3429" s="204" t="s">
        <v>1105</v>
      </c>
      <c r="F3429" s="4" t="s">
        <v>28</v>
      </c>
      <c r="G3429" s="204" t="s">
        <v>28</v>
      </c>
      <c r="H3429" s="4" t="s">
        <v>523</v>
      </c>
      <c r="I3429" s="204"/>
      <c r="J3429" s="21" t="s">
        <v>2276</v>
      </c>
      <c r="K3429" s="21" t="s">
        <v>2276</v>
      </c>
      <c r="L3429" s="21" t="s">
        <v>2276</v>
      </c>
      <c r="M3429" s="21" t="s">
        <v>2276</v>
      </c>
      <c r="N3429" s="21" t="s">
        <v>2276</v>
      </c>
      <c r="O3429" s="21" t="s">
        <v>2276</v>
      </c>
      <c r="P3429" s="21" t="s">
        <v>2276</v>
      </c>
      <c r="Q3429" s="21" t="s">
        <v>2276</v>
      </c>
      <c r="R3429" s="21" t="s">
        <v>2276</v>
      </c>
      <c r="S3429" s="21" t="s">
        <v>2276</v>
      </c>
      <c r="T3429" s="21">
        <f>'Record info'!K$1406*X3429</f>
        <v>24305.4</v>
      </c>
      <c r="U3429" s="21" t="s">
        <v>2276</v>
      </c>
      <c r="V3429" s="21">
        <f>70*0.018</f>
        <v>1.26</v>
      </c>
      <c r="W3429" s="21" t="s">
        <v>2276</v>
      </c>
      <c r="X3429" s="21">
        <f t="shared" si="13"/>
        <v>1.26</v>
      </c>
      <c r="Y3429" s="21" t="s">
        <v>2276</v>
      </c>
      <c r="Z3429" s="204" t="s">
        <v>405</v>
      </c>
      <c r="AA3429" s="204" t="s">
        <v>405</v>
      </c>
      <c r="AB3429" s="21" t="s">
        <v>2276</v>
      </c>
      <c r="AC3429" s="21"/>
      <c r="AD3429" s="21"/>
    </row>
    <row r="3430" spans="1:30" ht="39" customHeight="1">
      <c r="A3430" s="11" t="s">
        <v>9004</v>
      </c>
      <c r="B3430" s="11" t="s">
        <v>9067</v>
      </c>
      <c r="C3430" s="4" t="s">
        <v>24</v>
      </c>
      <c r="D3430" s="204" t="s">
        <v>2659</v>
      </c>
      <c r="E3430" s="204" t="s">
        <v>1105</v>
      </c>
      <c r="F3430" s="4" t="s">
        <v>28</v>
      </c>
      <c r="G3430" s="204" t="s">
        <v>28</v>
      </c>
      <c r="H3430" s="4" t="s">
        <v>523</v>
      </c>
      <c r="I3430" s="204"/>
      <c r="J3430" s="21" t="s">
        <v>2276</v>
      </c>
      <c r="K3430" s="21" t="s">
        <v>2276</v>
      </c>
      <c r="L3430" s="21" t="s">
        <v>2276</v>
      </c>
      <c r="M3430" s="21" t="s">
        <v>2276</v>
      </c>
      <c r="N3430" s="21" t="s">
        <v>2276</v>
      </c>
      <c r="O3430" s="21" t="s">
        <v>2276</v>
      </c>
      <c r="P3430" s="21" t="s">
        <v>2276</v>
      </c>
      <c r="Q3430" s="21" t="s">
        <v>2276</v>
      </c>
      <c r="R3430" s="21" t="s">
        <v>2276</v>
      </c>
      <c r="S3430" s="21" t="s">
        <v>2276</v>
      </c>
      <c r="T3430" s="21">
        <f>'Record info'!K$1406*X3430</f>
        <v>52661.7</v>
      </c>
      <c r="U3430" s="21" t="s">
        <v>2276</v>
      </c>
      <c r="V3430" s="21">
        <f>70*0.039</f>
        <v>2.73</v>
      </c>
      <c r="W3430" s="21" t="s">
        <v>2276</v>
      </c>
      <c r="X3430" s="21">
        <f t="shared" si="13"/>
        <v>2.73</v>
      </c>
      <c r="Y3430" s="21" t="s">
        <v>2276</v>
      </c>
      <c r="Z3430" s="204" t="s">
        <v>425</v>
      </c>
      <c r="AA3430" s="204" t="s">
        <v>425</v>
      </c>
      <c r="AB3430" s="21" t="s">
        <v>2276</v>
      </c>
      <c r="AC3430" s="21"/>
      <c r="AD3430" s="21"/>
    </row>
    <row r="3431" spans="1:30" ht="39" customHeight="1">
      <c r="A3431" s="11" t="s">
        <v>9004</v>
      </c>
      <c r="B3431" s="11" t="s">
        <v>9068</v>
      </c>
      <c r="C3431" s="4" t="s">
        <v>24</v>
      </c>
      <c r="D3431" s="204" t="s">
        <v>2659</v>
      </c>
      <c r="E3431" s="204" t="s">
        <v>1105</v>
      </c>
      <c r="F3431" s="4" t="s">
        <v>28</v>
      </c>
      <c r="G3431" s="204" t="s">
        <v>28</v>
      </c>
      <c r="H3431" s="4" t="s">
        <v>523</v>
      </c>
      <c r="I3431" s="204"/>
      <c r="J3431" s="21" t="s">
        <v>2276</v>
      </c>
      <c r="K3431" s="21" t="s">
        <v>2276</v>
      </c>
      <c r="L3431" s="21" t="s">
        <v>2276</v>
      </c>
      <c r="M3431" s="21" t="s">
        <v>2276</v>
      </c>
      <c r="N3431" s="21" t="s">
        <v>2276</v>
      </c>
      <c r="O3431" s="21" t="s">
        <v>2276</v>
      </c>
      <c r="P3431" s="21" t="s">
        <v>2276</v>
      </c>
      <c r="Q3431" s="21" t="s">
        <v>2276</v>
      </c>
      <c r="R3431" s="21" t="s">
        <v>2276</v>
      </c>
      <c r="S3431" s="21" t="s">
        <v>2276</v>
      </c>
      <c r="T3431" s="21">
        <f>'Record info'!K$1406*X3431</f>
        <v>37808.400000000001</v>
      </c>
      <c r="U3431" s="21" t="s">
        <v>2276</v>
      </c>
      <c r="V3431" s="21">
        <f>70*0.028</f>
        <v>1.96</v>
      </c>
      <c r="W3431" s="21" t="s">
        <v>2276</v>
      </c>
      <c r="X3431" s="21">
        <f t="shared" si="13"/>
        <v>1.96</v>
      </c>
      <c r="Y3431" s="21" t="s">
        <v>2276</v>
      </c>
      <c r="Z3431" s="204" t="s">
        <v>68</v>
      </c>
      <c r="AA3431" s="204" t="s">
        <v>68</v>
      </c>
      <c r="AB3431" s="21" t="s">
        <v>2276</v>
      </c>
      <c r="AC3431" s="21"/>
      <c r="AD3431" s="21"/>
    </row>
    <row r="3432" spans="1:30" ht="39" customHeight="1">
      <c r="A3432" s="11" t="s">
        <v>9004</v>
      </c>
      <c r="B3432" s="11" t="s">
        <v>9069</v>
      </c>
      <c r="C3432" s="4" t="s">
        <v>24</v>
      </c>
      <c r="D3432" s="204" t="s">
        <v>2659</v>
      </c>
      <c r="E3432" s="204" t="s">
        <v>1105</v>
      </c>
      <c r="F3432" s="4" t="s">
        <v>28</v>
      </c>
      <c r="G3432" s="204" t="s">
        <v>28</v>
      </c>
      <c r="H3432" s="4" t="s">
        <v>523</v>
      </c>
      <c r="I3432" s="204"/>
      <c r="J3432" s="21" t="s">
        <v>2276</v>
      </c>
      <c r="K3432" s="21" t="s">
        <v>2276</v>
      </c>
      <c r="L3432" s="21" t="s">
        <v>2276</v>
      </c>
      <c r="M3432" s="21" t="s">
        <v>2276</v>
      </c>
      <c r="N3432" s="21" t="s">
        <v>2276</v>
      </c>
      <c r="O3432" s="21" t="s">
        <v>2276</v>
      </c>
      <c r="P3432" s="21" t="s">
        <v>2276</v>
      </c>
      <c r="Q3432" s="21" t="s">
        <v>2276</v>
      </c>
      <c r="R3432" s="21" t="s">
        <v>2276</v>
      </c>
      <c r="S3432" s="21" t="s">
        <v>2276</v>
      </c>
      <c r="T3432" s="21">
        <f>'Record info'!K$1406*X3432</f>
        <v>35107.799999999996</v>
      </c>
      <c r="U3432" s="21" t="s">
        <v>2276</v>
      </c>
      <c r="V3432" s="21">
        <f>70*0.026</f>
        <v>1.8199999999999998</v>
      </c>
      <c r="W3432" s="21" t="s">
        <v>2276</v>
      </c>
      <c r="X3432" s="21">
        <f t="shared" si="13"/>
        <v>1.8199999999999998</v>
      </c>
      <c r="Y3432" s="21" t="s">
        <v>2276</v>
      </c>
      <c r="Z3432" s="204" t="s">
        <v>35</v>
      </c>
      <c r="AA3432" s="204" t="s">
        <v>35</v>
      </c>
      <c r="AB3432" s="21" t="s">
        <v>2276</v>
      </c>
      <c r="AC3432" s="21"/>
      <c r="AD3432" s="21"/>
    </row>
    <row r="3433" spans="1:30" ht="39" customHeight="1">
      <c r="A3433" s="11" t="s">
        <v>9004</v>
      </c>
      <c r="B3433" s="11" t="s">
        <v>9070</v>
      </c>
      <c r="C3433" s="4" t="s">
        <v>24</v>
      </c>
      <c r="D3433" s="204" t="s">
        <v>2659</v>
      </c>
      <c r="E3433" s="204" t="s">
        <v>1105</v>
      </c>
      <c r="F3433" s="4" t="s">
        <v>28</v>
      </c>
      <c r="G3433" s="204" t="s">
        <v>28</v>
      </c>
      <c r="H3433" s="4" t="s">
        <v>523</v>
      </c>
      <c r="I3433" s="204"/>
      <c r="J3433" s="21" t="s">
        <v>2276</v>
      </c>
      <c r="K3433" s="21" t="s">
        <v>2276</v>
      </c>
      <c r="L3433" s="21" t="s">
        <v>2276</v>
      </c>
      <c r="M3433" s="21" t="s">
        <v>2276</v>
      </c>
      <c r="N3433" s="21" t="s">
        <v>2276</v>
      </c>
      <c r="O3433" s="21" t="s">
        <v>2276</v>
      </c>
      <c r="P3433" s="21" t="s">
        <v>2276</v>
      </c>
      <c r="Q3433" s="21" t="s">
        <v>2276</v>
      </c>
      <c r="R3433" s="21" t="s">
        <v>2276</v>
      </c>
      <c r="S3433" s="21" t="s">
        <v>2276</v>
      </c>
      <c r="T3433" s="21">
        <f>'Record info'!K$1406*X3433</f>
        <v>253856.4</v>
      </c>
      <c r="U3433" s="21" t="s">
        <v>2276</v>
      </c>
      <c r="V3433" s="21">
        <f>70*0.188</f>
        <v>13.16</v>
      </c>
      <c r="W3433" s="21" t="s">
        <v>2276</v>
      </c>
      <c r="X3433" s="21">
        <f t="shared" si="13"/>
        <v>13.16</v>
      </c>
      <c r="Y3433" s="21" t="s">
        <v>2276</v>
      </c>
      <c r="Z3433" s="204" t="s">
        <v>127</v>
      </c>
      <c r="AA3433" s="204" t="s">
        <v>127</v>
      </c>
      <c r="AB3433" s="21" t="s">
        <v>2276</v>
      </c>
      <c r="AC3433" s="21"/>
      <c r="AD3433" s="21"/>
    </row>
    <row r="3434" spans="1:30" ht="39" customHeight="1">
      <c r="A3434" s="11" t="s">
        <v>9004</v>
      </c>
      <c r="B3434" s="11" t="s">
        <v>9071</v>
      </c>
      <c r="C3434" s="168" t="s">
        <v>24</v>
      </c>
      <c r="D3434" s="38" t="s">
        <v>2659</v>
      </c>
      <c r="E3434" s="38" t="s">
        <v>1105</v>
      </c>
      <c r="F3434" s="168" t="s">
        <v>28</v>
      </c>
      <c r="G3434" s="38" t="s">
        <v>28</v>
      </c>
      <c r="H3434" s="168" t="s">
        <v>523</v>
      </c>
      <c r="I3434" s="204"/>
      <c r="J3434" s="21" t="s">
        <v>2276</v>
      </c>
      <c r="K3434" s="21" t="s">
        <v>2276</v>
      </c>
      <c r="L3434" s="21" t="s">
        <v>2276</v>
      </c>
      <c r="M3434" s="21" t="s">
        <v>2276</v>
      </c>
      <c r="N3434" s="21" t="s">
        <v>2276</v>
      </c>
      <c r="O3434" s="21" t="s">
        <v>2276</v>
      </c>
      <c r="P3434" s="21" t="s">
        <v>2276</v>
      </c>
      <c r="Q3434" s="21" t="s">
        <v>2276</v>
      </c>
      <c r="R3434" s="21" t="s">
        <v>2276</v>
      </c>
      <c r="S3434" s="21" t="s">
        <v>2276</v>
      </c>
      <c r="T3434" s="21">
        <f>'Record info'!K$1406*X3434</f>
        <v>324072</v>
      </c>
      <c r="U3434" s="21" t="s">
        <v>2276</v>
      </c>
      <c r="V3434" s="21">
        <f>70*0.24</f>
        <v>16.8</v>
      </c>
      <c r="W3434" s="21" t="s">
        <v>2276</v>
      </c>
      <c r="X3434" s="21">
        <f t="shared" si="13"/>
        <v>16.8</v>
      </c>
      <c r="Y3434" s="21" t="s">
        <v>2276</v>
      </c>
      <c r="Z3434" s="204" t="s">
        <v>399</v>
      </c>
      <c r="AA3434" s="204" t="s">
        <v>399</v>
      </c>
      <c r="AB3434" s="21" t="s">
        <v>2276</v>
      </c>
      <c r="AC3434" s="21"/>
      <c r="AD3434" s="21"/>
    </row>
    <row r="3435" spans="1:30" ht="39" customHeight="1">
      <c r="A3435" s="11" t="s">
        <v>9004</v>
      </c>
      <c r="B3435" s="11" t="s">
        <v>9072</v>
      </c>
      <c r="C3435" s="168" t="s">
        <v>24</v>
      </c>
      <c r="D3435" s="38" t="s">
        <v>2659</v>
      </c>
      <c r="E3435" s="38" t="s">
        <v>1105</v>
      </c>
      <c r="F3435" s="168" t="s">
        <v>28</v>
      </c>
      <c r="G3435" s="38" t="s">
        <v>28</v>
      </c>
      <c r="H3435" s="168" t="s">
        <v>523</v>
      </c>
      <c r="I3435" s="204"/>
      <c r="J3435" s="21" t="s">
        <v>2276</v>
      </c>
      <c r="K3435" s="21" t="s">
        <v>2276</v>
      </c>
      <c r="L3435" s="21" t="s">
        <v>2276</v>
      </c>
      <c r="M3435" s="21" t="s">
        <v>2276</v>
      </c>
      <c r="N3435" s="21" t="s">
        <v>2276</v>
      </c>
      <c r="O3435" s="21" t="s">
        <v>2276</v>
      </c>
      <c r="P3435" s="21" t="s">
        <v>2276</v>
      </c>
      <c r="Q3435" s="21" t="s">
        <v>2276</v>
      </c>
      <c r="R3435" s="21" t="s">
        <v>2276</v>
      </c>
      <c r="S3435" s="21" t="s">
        <v>2276</v>
      </c>
      <c r="T3435" s="21">
        <f>'Record info'!K$1406*X3435</f>
        <v>48610.8</v>
      </c>
      <c r="U3435" s="21" t="s">
        <v>2276</v>
      </c>
      <c r="V3435" s="21">
        <f>70*0.036</f>
        <v>2.52</v>
      </c>
      <c r="W3435" s="21" t="s">
        <v>2276</v>
      </c>
      <c r="X3435" s="21">
        <f t="shared" si="13"/>
        <v>2.52</v>
      </c>
      <c r="Y3435" s="21" t="s">
        <v>2276</v>
      </c>
      <c r="Z3435" s="204" t="s">
        <v>188</v>
      </c>
      <c r="AA3435" s="204" t="s">
        <v>188</v>
      </c>
      <c r="AB3435" s="21" t="s">
        <v>2276</v>
      </c>
      <c r="AC3435" s="204"/>
      <c r="AD3435" s="204"/>
    </row>
    <row r="3436" spans="1:30" ht="39" customHeight="1">
      <c r="A3436" s="11" t="s">
        <v>9004</v>
      </c>
      <c r="B3436" s="11" t="s">
        <v>9073</v>
      </c>
      <c r="C3436" s="4" t="s">
        <v>24</v>
      </c>
      <c r="D3436" s="204" t="s">
        <v>2659</v>
      </c>
      <c r="E3436" s="204" t="s">
        <v>1105</v>
      </c>
      <c r="F3436" s="4" t="s">
        <v>28</v>
      </c>
      <c r="G3436" s="204" t="s">
        <v>28</v>
      </c>
      <c r="H3436" s="4" t="s">
        <v>523</v>
      </c>
      <c r="I3436" s="204"/>
      <c r="J3436" s="21" t="s">
        <v>2276</v>
      </c>
      <c r="K3436" s="21" t="s">
        <v>2276</v>
      </c>
      <c r="L3436" s="21" t="s">
        <v>2276</v>
      </c>
      <c r="M3436" s="21" t="s">
        <v>2276</v>
      </c>
      <c r="N3436" s="21" t="s">
        <v>2276</v>
      </c>
      <c r="O3436" s="21" t="s">
        <v>2276</v>
      </c>
      <c r="P3436" s="21" t="s">
        <v>2276</v>
      </c>
      <c r="Q3436" s="21" t="s">
        <v>2276</v>
      </c>
      <c r="R3436" s="21" t="s">
        <v>2276</v>
      </c>
      <c r="S3436" s="21" t="s">
        <v>2276</v>
      </c>
      <c r="T3436" s="21">
        <f>'Record info'!K$1406*X3436</f>
        <v>22955.100000000002</v>
      </c>
      <c r="U3436" s="21" t="s">
        <v>2276</v>
      </c>
      <c r="V3436" s="21">
        <f>70*0.017</f>
        <v>1.1900000000000002</v>
      </c>
      <c r="W3436" s="21" t="s">
        <v>2276</v>
      </c>
      <c r="X3436" s="21">
        <f t="shared" si="13"/>
        <v>1.1900000000000002</v>
      </c>
      <c r="Y3436" s="21" t="s">
        <v>2276</v>
      </c>
      <c r="Z3436" s="204" t="s">
        <v>189</v>
      </c>
      <c r="AA3436" s="204" t="s">
        <v>189</v>
      </c>
      <c r="AB3436" s="21" t="s">
        <v>2276</v>
      </c>
      <c r="AC3436" s="204"/>
      <c r="AD3436" s="204"/>
    </row>
    <row r="3437" spans="1:30" ht="41" customHeight="1">
      <c r="A3437" s="11" t="s">
        <v>9004</v>
      </c>
      <c r="B3437" s="11" t="s">
        <v>9074</v>
      </c>
      <c r="C3437" s="4" t="s">
        <v>24</v>
      </c>
      <c r="D3437" s="204" t="s">
        <v>2659</v>
      </c>
      <c r="E3437" s="204" t="s">
        <v>1105</v>
      </c>
      <c r="F3437" s="4" t="s">
        <v>28</v>
      </c>
      <c r="G3437" s="204" t="s">
        <v>28</v>
      </c>
      <c r="H3437" s="4" t="s">
        <v>523</v>
      </c>
      <c r="I3437" s="204"/>
      <c r="J3437" s="21" t="s">
        <v>2276</v>
      </c>
      <c r="K3437" s="21" t="s">
        <v>2276</v>
      </c>
      <c r="L3437" s="21" t="s">
        <v>2276</v>
      </c>
      <c r="M3437" s="21" t="s">
        <v>2276</v>
      </c>
      <c r="N3437" s="21" t="s">
        <v>2276</v>
      </c>
      <c r="O3437" s="21" t="s">
        <v>2276</v>
      </c>
      <c r="P3437" s="21" t="s">
        <v>2276</v>
      </c>
      <c r="Q3437" s="21" t="s">
        <v>2276</v>
      </c>
      <c r="R3437" s="21" t="s">
        <v>2276</v>
      </c>
      <c r="S3437" s="21" t="s">
        <v>2276</v>
      </c>
      <c r="T3437" s="21">
        <f>'Record info'!K$1406*X3437</f>
        <v>75616.800000000003</v>
      </c>
      <c r="U3437" s="21" t="s">
        <v>2276</v>
      </c>
      <c r="V3437" s="21">
        <f>70*0.056</f>
        <v>3.92</v>
      </c>
      <c r="W3437" s="21" t="s">
        <v>2276</v>
      </c>
      <c r="X3437" s="21">
        <f t="shared" si="13"/>
        <v>3.92</v>
      </c>
      <c r="Y3437" s="21" t="s">
        <v>2276</v>
      </c>
      <c r="Z3437" s="204" t="s">
        <v>38</v>
      </c>
      <c r="AA3437" s="204" t="s">
        <v>38</v>
      </c>
      <c r="AB3437" s="21" t="s">
        <v>2276</v>
      </c>
      <c r="AC3437" s="204"/>
      <c r="AD3437" s="204"/>
    </row>
    <row r="3438" spans="1:30" ht="41" customHeight="1">
      <c r="A3438" s="11" t="s">
        <v>9005</v>
      </c>
      <c r="B3438" s="11" t="s">
        <v>9016</v>
      </c>
      <c r="C3438" s="4" t="s">
        <v>24</v>
      </c>
      <c r="D3438" s="204" t="s">
        <v>2659</v>
      </c>
      <c r="E3438" s="204" t="s">
        <v>1105</v>
      </c>
      <c r="F3438" s="4" t="s">
        <v>28</v>
      </c>
      <c r="G3438" s="204" t="s">
        <v>28</v>
      </c>
      <c r="H3438" s="4" t="s">
        <v>523</v>
      </c>
      <c r="I3438" s="204"/>
      <c r="J3438" s="21" t="s">
        <v>2276</v>
      </c>
      <c r="K3438" s="21" t="s">
        <v>2276</v>
      </c>
      <c r="L3438" s="21" t="s">
        <v>2276</v>
      </c>
      <c r="M3438" s="21" t="s">
        <v>2276</v>
      </c>
      <c r="N3438" s="21" t="s">
        <v>2276</v>
      </c>
      <c r="O3438" s="21" t="s">
        <v>2276</v>
      </c>
      <c r="P3438" s="21" t="s">
        <v>2276</v>
      </c>
      <c r="Q3438" s="21" t="s">
        <v>2276</v>
      </c>
      <c r="R3438" s="21" t="s">
        <v>2276</v>
      </c>
      <c r="S3438" s="21" t="s">
        <v>2276</v>
      </c>
      <c r="T3438" s="21">
        <f>'Record info'!K$1406*X3438</f>
        <v>139428.12000000002</v>
      </c>
      <c r="U3438" s="21" t="s">
        <v>2276</v>
      </c>
      <c r="V3438" s="21">
        <f>52*0.139</f>
        <v>7.2280000000000006</v>
      </c>
      <c r="W3438" s="21" t="s">
        <v>2276</v>
      </c>
      <c r="X3438" s="21">
        <f>V3438</f>
        <v>7.2280000000000006</v>
      </c>
      <c r="Y3438" s="21" t="s">
        <v>2276</v>
      </c>
      <c r="Z3438" s="204" t="s">
        <v>86</v>
      </c>
      <c r="AA3438" s="204" t="s">
        <v>86</v>
      </c>
      <c r="AB3438" s="21" t="s">
        <v>2276</v>
      </c>
      <c r="AC3438" s="21"/>
      <c r="AD3438" s="21"/>
    </row>
    <row r="3439" spans="1:30" ht="41" customHeight="1">
      <c r="A3439" s="11" t="s">
        <v>9005</v>
      </c>
      <c r="B3439" s="11" t="s">
        <v>9075</v>
      </c>
      <c r="C3439" s="4" t="s">
        <v>24</v>
      </c>
      <c r="D3439" s="204" t="s">
        <v>2659</v>
      </c>
      <c r="E3439" s="204" t="s">
        <v>1105</v>
      </c>
      <c r="F3439" s="4" t="s">
        <v>28</v>
      </c>
      <c r="G3439" s="204" t="s">
        <v>28</v>
      </c>
      <c r="H3439" s="4" t="s">
        <v>523</v>
      </c>
      <c r="I3439" s="204"/>
      <c r="J3439" s="21" t="s">
        <v>2276</v>
      </c>
      <c r="K3439" s="21" t="s">
        <v>2276</v>
      </c>
      <c r="L3439" s="21" t="s">
        <v>2276</v>
      </c>
      <c r="M3439" s="21" t="s">
        <v>2276</v>
      </c>
      <c r="N3439" s="21" t="s">
        <v>2276</v>
      </c>
      <c r="O3439" s="21" t="s">
        <v>2276</v>
      </c>
      <c r="P3439" s="21" t="s">
        <v>2276</v>
      </c>
      <c r="Q3439" s="21" t="s">
        <v>2276</v>
      </c>
      <c r="R3439" s="21" t="s">
        <v>2276</v>
      </c>
      <c r="S3439" s="21" t="s">
        <v>2276</v>
      </c>
      <c r="T3439" s="21">
        <f>'Record info'!K$1406*X3439</f>
        <v>72221.759999999995</v>
      </c>
      <c r="U3439" s="21" t="s">
        <v>2276</v>
      </c>
      <c r="V3439" s="21">
        <f>52*0.072</f>
        <v>3.7439999999999998</v>
      </c>
      <c r="W3439" s="21" t="s">
        <v>2276</v>
      </c>
      <c r="X3439" s="21">
        <f t="shared" ref="X3439:X3449" si="14">V3439</f>
        <v>3.7439999999999998</v>
      </c>
      <c r="Y3439" s="21" t="s">
        <v>2276</v>
      </c>
      <c r="Z3439" s="204" t="s">
        <v>34</v>
      </c>
      <c r="AA3439" s="204" t="s">
        <v>34</v>
      </c>
      <c r="AB3439" s="21" t="s">
        <v>2276</v>
      </c>
      <c r="AC3439" s="21"/>
      <c r="AD3439" s="21"/>
    </row>
    <row r="3440" spans="1:30" ht="41" customHeight="1">
      <c r="A3440" s="11" t="s">
        <v>9005</v>
      </c>
      <c r="B3440" s="11" t="s">
        <v>9076</v>
      </c>
      <c r="C3440" s="4" t="s">
        <v>24</v>
      </c>
      <c r="D3440" s="204" t="s">
        <v>2659</v>
      </c>
      <c r="E3440" s="204" t="s">
        <v>1105</v>
      </c>
      <c r="F3440" s="4" t="s">
        <v>28</v>
      </c>
      <c r="G3440" s="204" t="s">
        <v>28</v>
      </c>
      <c r="H3440" s="4" t="s">
        <v>523</v>
      </c>
      <c r="I3440" s="204"/>
      <c r="J3440" s="21" t="s">
        <v>2276</v>
      </c>
      <c r="K3440" s="21" t="s">
        <v>2276</v>
      </c>
      <c r="L3440" s="21" t="s">
        <v>2276</v>
      </c>
      <c r="M3440" s="21" t="s">
        <v>2276</v>
      </c>
      <c r="N3440" s="21" t="s">
        <v>2276</v>
      </c>
      <c r="O3440" s="21" t="s">
        <v>2276</v>
      </c>
      <c r="P3440" s="21" t="s">
        <v>2276</v>
      </c>
      <c r="Q3440" s="21" t="s">
        <v>2276</v>
      </c>
      <c r="R3440" s="21" t="s">
        <v>2276</v>
      </c>
      <c r="S3440" s="21" t="s">
        <v>2276</v>
      </c>
      <c r="T3440" s="21">
        <f>'Record info'!K$1406*X3440</f>
        <v>70215.600000000006</v>
      </c>
      <c r="U3440" s="21" t="s">
        <v>2276</v>
      </c>
      <c r="V3440" s="21">
        <f>52*0.07</f>
        <v>3.6400000000000006</v>
      </c>
      <c r="W3440" s="21" t="s">
        <v>2276</v>
      </c>
      <c r="X3440" s="21">
        <f t="shared" si="14"/>
        <v>3.6400000000000006</v>
      </c>
      <c r="Y3440" s="21" t="s">
        <v>2276</v>
      </c>
      <c r="Z3440" s="204" t="s">
        <v>404</v>
      </c>
      <c r="AA3440" s="204" t="s">
        <v>404</v>
      </c>
      <c r="AB3440" s="21" t="s">
        <v>2276</v>
      </c>
      <c r="AC3440" s="21"/>
      <c r="AD3440" s="21"/>
    </row>
    <row r="3441" spans="1:30" ht="41" customHeight="1">
      <c r="A3441" s="11" t="s">
        <v>9005</v>
      </c>
      <c r="B3441" s="11" t="s">
        <v>9077</v>
      </c>
      <c r="C3441" s="4" t="s">
        <v>24</v>
      </c>
      <c r="D3441" s="204" t="s">
        <v>2659</v>
      </c>
      <c r="E3441" s="204" t="s">
        <v>1105</v>
      </c>
      <c r="F3441" s="4" t="s">
        <v>28</v>
      </c>
      <c r="G3441" s="204" t="s">
        <v>28</v>
      </c>
      <c r="H3441" s="4" t="s">
        <v>523</v>
      </c>
      <c r="I3441" s="204"/>
      <c r="J3441" s="21" t="s">
        <v>2276</v>
      </c>
      <c r="K3441" s="21" t="s">
        <v>2276</v>
      </c>
      <c r="L3441" s="21" t="s">
        <v>2276</v>
      </c>
      <c r="M3441" s="21" t="s">
        <v>2276</v>
      </c>
      <c r="N3441" s="21" t="s">
        <v>2276</v>
      </c>
      <c r="O3441" s="21" t="s">
        <v>2276</v>
      </c>
      <c r="P3441" s="21" t="s">
        <v>2276</v>
      </c>
      <c r="Q3441" s="21" t="s">
        <v>2276</v>
      </c>
      <c r="R3441" s="21" t="s">
        <v>2276</v>
      </c>
      <c r="S3441" s="21" t="s">
        <v>2276</v>
      </c>
      <c r="T3441" s="21">
        <f>'Record info'!K$1406*X3441</f>
        <v>40123.200000000004</v>
      </c>
      <c r="U3441" s="21" t="s">
        <v>2276</v>
      </c>
      <c r="V3441" s="21">
        <f>52*0.04</f>
        <v>2.08</v>
      </c>
      <c r="W3441" s="21" t="s">
        <v>2276</v>
      </c>
      <c r="X3441" s="21">
        <f t="shared" si="14"/>
        <v>2.08</v>
      </c>
      <c r="Y3441" s="21" t="s">
        <v>2276</v>
      </c>
      <c r="Z3441" s="204" t="s">
        <v>405</v>
      </c>
      <c r="AA3441" s="204" t="s">
        <v>405</v>
      </c>
      <c r="AB3441" s="21" t="s">
        <v>2276</v>
      </c>
      <c r="AC3441" s="21"/>
      <c r="AD3441" s="21"/>
    </row>
    <row r="3442" spans="1:30" ht="41" customHeight="1">
      <c r="A3442" s="11" t="s">
        <v>9005</v>
      </c>
      <c r="B3442" s="11" t="s">
        <v>9078</v>
      </c>
      <c r="C3442" s="4" t="s">
        <v>24</v>
      </c>
      <c r="D3442" s="204" t="s">
        <v>2659</v>
      </c>
      <c r="E3442" s="204" t="s">
        <v>1105</v>
      </c>
      <c r="F3442" s="4" t="s">
        <v>28</v>
      </c>
      <c r="G3442" s="204" t="s">
        <v>28</v>
      </c>
      <c r="H3442" s="4" t="s">
        <v>523</v>
      </c>
      <c r="I3442" s="204"/>
      <c r="J3442" s="21" t="s">
        <v>2276</v>
      </c>
      <c r="K3442" s="21" t="s">
        <v>2276</v>
      </c>
      <c r="L3442" s="21" t="s">
        <v>2276</v>
      </c>
      <c r="M3442" s="21" t="s">
        <v>2276</v>
      </c>
      <c r="N3442" s="21" t="s">
        <v>2276</v>
      </c>
      <c r="O3442" s="21" t="s">
        <v>2276</v>
      </c>
      <c r="P3442" s="21" t="s">
        <v>2276</v>
      </c>
      <c r="Q3442" s="21" t="s">
        <v>2276</v>
      </c>
      <c r="R3442" s="21" t="s">
        <v>2276</v>
      </c>
      <c r="S3442" s="21" t="s">
        <v>2276</v>
      </c>
      <c r="T3442" s="21">
        <f>'Record info'!K$1406*X3442</f>
        <v>44135.519999999997</v>
      </c>
      <c r="U3442" s="21" t="s">
        <v>2276</v>
      </c>
      <c r="V3442" s="21">
        <f>52*0.044</f>
        <v>2.2879999999999998</v>
      </c>
      <c r="W3442" s="21" t="s">
        <v>2276</v>
      </c>
      <c r="X3442" s="21">
        <f t="shared" si="14"/>
        <v>2.2879999999999998</v>
      </c>
      <c r="Y3442" s="21" t="s">
        <v>2276</v>
      </c>
      <c r="Z3442" s="204" t="s">
        <v>425</v>
      </c>
      <c r="AA3442" s="204" t="s">
        <v>425</v>
      </c>
      <c r="AB3442" s="21" t="s">
        <v>2276</v>
      </c>
      <c r="AC3442" s="21"/>
      <c r="AD3442" s="21"/>
    </row>
    <row r="3443" spans="1:30" ht="41" customHeight="1">
      <c r="A3443" s="11" t="s">
        <v>9005</v>
      </c>
      <c r="B3443" s="11" t="s">
        <v>9079</v>
      </c>
      <c r="C3443" s="4" t="s">
        <v>24</v>
      </c>
      <c r="D3443" s="204" t="s">
        <v>2659</v>
      </c>
      <c r="E3443" s="204" t="s">
        <v>1105</v>
      </c>
      <c r="F3443" s="4" t="s">
        <v>28</v>
      </c>
      <c r="G3443" s="204" t="s">
        <v>28</v>
      </c>
      <c r="H3443" s="4" t="s">
        <v>523</v>
      </c>
      <c r="I3443" s="204"/>
      <c r="J3443" s="21" t="s">
        <v>2276</v>
      </c>
      <c r="K3443" s="21" t="s">
        <v>2276</v>
      </c>
      <c r="L3443" s="21" t="s">
        <v>2276</v>
      </c>
      <c r="M3443" s="21" t="s">
        <v>2276</v>
      </c>
      <c r="N3443" s="21" t="s">
        <v>2276</v>
      </c>
      <c r="O3443" s="21" t="s">
        <v>2276</v>
      </c>
      <c r="P3443" s="21" t="s">
        <v>2276</v>
      </c>
      <c r="Q3443" s="21" t="s">
        <v>2276</v>
      </c>
      <c r="R3443" s="21" t="s">
        <v>2276</v>
      </c>
      <c r="S3443" s="21" t="s">
        <v>2276</v>
      </c>
      <c r="T3443" s="21">
        <f>'Record info'!K$1406*X3443</f>
        <v>65200.2</v>
      </c>
      <c r="U3443" s="21" t="s">
        <v>2276</v>
      </c>
      <c r="V3443" s="21">
        <f>52*0.065</f>
        <v>3.38</v>
      </c>
      <c r="W3443" s="21" t="s">
        <v>2276</v>
      </c>
      <c r="X3443" s="21">
        <f t="shared" si="14"/>
        <v>3.38</v>
      </c>
      <c r="Y3443" s="21" t="s">
        <v>2276</v>
      </c>
      <c r="Z3443" s="204" t="s">
        <v>68</v>
      </c>
      <c r="AA3443" s="204" t="s">
        <v>68</v>
      </c>
      <c r="AB3443" s="21" t="s">
        <v>2276</v>
      </c>
      <c r="AC3443" s="21"/>
      <c r="AD3443" s="21"/>
    </row>
    <row r="3444" spans="1:30" ht="41" customHeight="1">
      <c r="A3444" s="11" t="s">
        <v>9005</v>
      </c>
      <c r="B3444" s="11" t="s">
        <v>9080</v>
      </c>
      <c r="C3444" s="4" t="s">
        <v>24</v>
      </c>
      <c r="D3444" s="204" t="s">
        <v>2659</v>
      </c>
      <c r="E3444" s="204" t="s">
        <v>1105</v>
      </c>
      <c r="F3444" s="4" t="s">
        <v>28</v>
      </c>
      <c r="G3444" s="204" t="s">
        <v>28</v>
      </c>
      <c r="H3444" s="4" t="s">
        <v>523</v>
      </c>
      <c r="I3444" s="204"/>
      <c r="J3444" s="21" t="s">
        <v>2276</v>
      </c>
      <c r="K3444" s="21" t="s">
        <v>2276</v>
      </c>
      <c r="L3444" s="21" t="s">
        <v>2276</v>
      </c>
      <c r="M3444" s="21" t="s">
        <v>2276</v>
      </c>
      <c r="N3444" s="21" t="s">
        <v>2276</v>
      </c>
      <c r="O3444" s="21" t="s">
        <v>2276</v>
      </c>
      <c r="P3444" s="21" t="s">
        <v>2276</v>
      </c>
      <c r="Q3444" s="21" t="s">
        <v>2276</v>
      </c>
      <c r="R3444" s="21" t="s">
        <v>2276</v>
      </c>
      <c r="S3444" s="21" t="s">
        <v>2276</v>
      </c>
      <c r="T3444" s="21">
        <f>'Record info'!K$1406*X3444</f>
        <v>100308</v>
      </c>
      <c r="U3444" s="21" t="s">
        <v>2276</v>
      </c>
      <c r="V3444" s="21">
        <f>52*0.1</f>
        <v>5.2</v>
      </c>
      <c r="W3444" s="21" t="s">
        <v>2276</v>
      </c>
      <c r="X3444" s="21">
        <f t="shared" si="14"/>
        <v>5.2</v>
      </c>
      <c r="Y3444" s="21" t="s">
        <v>2276</v>
      </c>
      <c r="Z3444" s="204" t="s">
        <v>35</v>
      </c>
      <c r="AA3444" s="204" t="s">
        <v>35</v>
      </c>
      <c r="AB3444" s="21" t="s">
        <v>2276</v>
      </c>
      <c r="AC3444" s="21"/>
      <c r="AD3444" s="21"/>
    </row>
    <row r="3445" spans="1:30" ht="41" customHeight="1">
      <c r="A3445" s="11" t="s">
        <v>9005</v>
      </c>
      <c r="B3445" s="11" t="s">
        <v>9081</v>
      </c>
      <c r="C3445" s="4" t="s">
        <v>24</v>
      </c>
      <c r="D3445" s="204" t="s">
        <v>2659</v>
      </c>
      <c r="E3445" s="204" t="s">
        <v>1105</v>
      </c>
      <c r="F3445" s="4" t="s">
        <v>28</v>
      </c>
      <c r="G3445" s="204" t="s">
        <v>28</v>
      </c>
      <c r="H3445" s="4" t="s">
        <v>523</v>
      </c>
      <c r="I3445" s="204"/>
      <c r="J3445" s="21" t="s">
        <v>2276</v>
      </c>
      <c r="K3445" s="21" t="s">
        <v>2276</v>
      </c>
      <c r="L3445" s="21" t="s">
        <v>2276</v>
      </c>
      <c r="M3445" s="21" t="s">
        <v>2276</v>
      </c>
      <c r="N3445" s="21" t="s">
        <v>2276</v>
      </c>
      <c r="O3445" s="21" t="s">
        <v>2276</v>
      </c>
      <c r="P3445" s="21" t="s">
        <v>2276</v>
      </c>
      <c r="Q3445" s="21" t="s">
        <v>2276</v>
      </c>
      <c r="R3445" s="21" t="s">
        <v>2276</v>
      </c>
      <c r="S3445" s="21" t="s">
        <v>2276</v>
      </c>
      <c r="T3445" s="21">
        <f>'Record info'!K$1406*X3445</f>
        <v>129397.32</v>
      </c>
      <c r="U3445" s="21" t="s">
        <v>2276</v>
      </c>
      <c r="V3445" s="21">
        <f>52*0.129</f>
        <v>6.7080000000000002</v>
      </c>
      <c r="W3445" s="21" t="s">
        <v>2276</v>
      </c>
      <c r="X3445" s="21">
        <f t="shared" si="14"/>
        <v>6.7080000000000002</v>
      </c>
      <c r="Y3445" s="21" t="s">
        <v>2276</v>
      </c>
      <c r="Z3445" s="204" t="s">
        <v>127</v>
      </c>
      <c r="AA3445" s="204" t="s">
        <v>127</v>
      </c>
      <c r="AB3445" s="21" t="s">
        <v>2276</v>
      </c>
      <c r="AC3445" s="21"/>
      <c r="AD3445" s="21"/>
    </row>
    <row r="3446" spans="1:30" ht="41" customHeight="1">
      <c r="A3446" s="11" t="s">
        <v>9005</v>
      </c>
      <c r="B3446" s="11" t="s">
        <v>9082</v>
      </c>
      <c r="C3446" s="168" t="s">
        <v>24</v>
      </c>
      <c r="D3446" s="38" t="s">
        <v>2659</v>
      </c>
      <c r="E3446" s="38" t="s">
        <v>1105</v>
      </c>
      <c r="F3446" s="168" t="s">
        <v>28</v>
      </c>
      <c r="G3446" s="38" t="s">
        <v>28</v>
      </c>
      <c r="H3446" s="168" t="s">
        <v>523</v>
      </c>
      <c r="I3446" s="204"/>
      <c r="J3446" s="21" t="s">
        <v>2276</v>
      </c>
      <c r="K3446" s="21" t="s">
        <v>2276</v>
      </c>
      <c r="L3446" s="21" t="s">
        <v>2276</v>
      </c>
      <c r="M3446" s="21" t="s">
        <v>2276</v>
      </c>
      <c r="N3446" s="21" t="s">
        <v>2276</v>
      </c>
      <c r="O3446" s="21" t="s">
        <v>2276</v>
      </c>
      <c r="P3446" s="21" t="s">
        <v>2276</v>
      </c>
      <c r="Q3446" s="21" t="s">
        <v>2276</v>
      </c>
      <c r="R3446" s="21" t="s">
        <v>2276</v>
      </c>
      <c r="S3446" s="21" t="s">
        <v>2276</v>
      </c>
      <c r="T3446" s="21">
        <f>'Record info'!K$1406*X3446</f>
        <v>78240.240000000005</v>
      </c>
      <c r="U3446" s="21" t="s">
        <v>2276</v>
      </c>
      <c r="V3446" s="21">
        <f>52*0.078</f>
        <v>4.056</v>
      </c>
      <c r="W3446" s="21" t="s">
        <v>2276</v>
      </c>
      <c r="X3446" s="21">
        <f t="shared" si="14"/>
        <v>4.056</v>
      </c>
      <c r="Y3446" s="21" t="s">
        <v>2276</v>
      </c>
      <c r="Z3446" s="204" t="s">
        <v>399</v>
      </c>
      <c r="AA3446" s="204" t="s">
        <v>399</v>
      </c>
      <c r="AB3446" s="21" t="s">
        <v>2276</v>
      </c>
      <c r="AC3446" s="21"/>
      <c r="AD3446" s="21"/>
    </row>
    <row r="3447" spans="1:30" ht="41" customHeight="1">
      <c r="A3447" s="11" t="s">
        <v>9005</v>
      </c>
      <c r="B3447" s="11" t="s">
        <v>9083</v>
      </c>
      <c r="C3447" s="168" t="s">
        <v>24</v>
      </c>
      <c r="D3447" s="38" t="s">
        <v>2659</v>
      </c>
      <c r="E3447" s="38" t="s">
        <v>1105</v>
      </c>
      <c r="F3447" s="168" t="s">
        <v>28</v>
      </c>
      <c r="G3447" s="38" t="s">
        <v>28</v>
      </c>
      <c r="H3447" s="168" t="s">
        <v>523</v>
      </c>
      <c r="I3447" s="204"/>
      <c r="J3447" s="21" t="s">
        <v>2276</v>
      </c>
      <c r="K3447" s="21" t="s">
        <v>2276</v>
      </c>
      <c r="L3447" s="21" t="s">
        <v>2276</v>
      </c>
      <c r="M3447" s="21" t="s">
        <v>2276</v>
      </c>
      <c r="N3447" s="21" t="s">
        <v>2276</v>
      </c>
      <c r="O3447" s="21" t="s">
        <v>2276</v>
      </c>
      <c r="P3447" s="21" t="s">
        <v>2276</v>
      </c>
      <c r="Q3447" s="21" t="s">
        <v>2276</v>
      </c>
      <c r="R3447" s="21" t="s">
        <v>2276</v>
      </c>
      <c r="S3447" s="21" t="s">
        <v>2276</v>
      </c>
      <c r="T3447" s="21">
        <f>'Record info'!K$1406*X3447</f>
        <v>91280.28</v>
      </c>
      <c r="U3447" s="21" t="s">
        <v>2276</v>
      </c>
      <c r="V3447" s="21">
        <f>52*0.091</f>
        <v>4.7320000000000002</v>
      </c>
      <c r="W3447" s="21" t="s">
        <v>2276</v>
      </c>
      <c r="X3447" s="21">
        <f t="shared" si="14"/>
        <v>4.7320000000000002</v>
      </c>
      <c r="Y3447" s="21" t="s">
        <v>2276</v>
      </c>
      <c r="Z3447" s="204" t="s">
        <v>188</v>
      </c>
      <c r="AA3447" s="204" t="s">
        <v>188</v>
      </c>
      <c r="AB3447" s="21" t="s">
        <v>2276</v>
      </c>
      <c r="AC3447" s="204"/>
      <c r="AD3447" s="204"/>
    </row>
    <row r="3448" spans="1:30" ht="41" customHeight="1">
      <c r="A3448" s="11" t="s">
        <v>9005</v>
      </c>
      <c r="B3448" s="11" t="s">
        <v>9084</v>
      </c>
      <c r="C3448" s="4" t="s">
        <v>24</v>
      </c>
      <c r="D3448" s="204" t="s">
        <v>2659</v>
      </c>
      <c r="E3448" s="204" t="s">
        <v>1105</v>
      </c>
      <c r="F3448" s="4" t="s">
        <v>28</v>
      </c>
      <c r="G3448" s="204" t="s">
        <v>28</v>
      </c>
      <c r="H3448" s="4" t="s">
        <v>523</v>
      </c>
      <c r="I3448" s="204"/>
      <c r="J3448" s="21" t="s">
        <v>2276</v>
      </c>
      <c r="K3448" s="21" t="s">
        <v>2276</v>
      </c>
      <c r="L3448" s="21" t="s">
        <v>2276</v>
      </c>
      <c r="M3448" s="21" t="s">
        <v>2276</v>
      </c>
      <c r="N3448" s="21" t="s">
        <v>2276</v>
      </c>
      <c r="O3448" s="21" t="s">
        <v>2276</v>
      </c>
      <c r="P3448" s="21" t="s">
        <v>2276</v>
      </c>
      <c r="Q3448" s="21" t="s">
        <v>2276</v>
      </c>
      <c r="R3448" s="21" t="s">
        <v>2276</v>
      </c>
      <c r="S3448" s="21" t="s">
        <v>2276</v>
      </c>
      <c r="T3448" s="21">
        <f>'Record info'!K$1406*X3448</f>
        <v>55169.399999999994</v>
      </c>
      <c r="U3448" s="21" t="s">
        <v>2276</v>
      </c>
      <c r="V3448" s="21">
        <f>52*0.055</f>
        <v>2.86</v>
      </c>
      <c r="W3448" s="21" t="s">
        <v>2276</v>
      </c>
      <c r="X3448" s="21">
        <f t="shared" si="14"/>
        <v>2.86</v>
      </c>
      <c r="Y3448" s="21" t="s">
        <v>2276</v>
      </c>
      <c r="Z3448" s="204" t="s">
        <v>189</v>
      </c>
      <c r="AA3448" s="204" t="s">
        <v>189</v>
      </c>
      <c r="AB3448" s="21" t="s">
        <v>2276</v>
      </c>
      <c r="AC3448" s="204"/>
      <c r="AD3448" s="204"/>
    </row>
    <row r="3449" spans="1:30" ht="40" customHeight="1">
      <c r="A3449" s="11" t="s">
        <v>9005</v>
      </c>
      <c r="B3449" s="11" t="s">
        <v>9085</v>
      </c>
      <c r="C3449" s="4" t="s">
        <v>24</v>
      </c>
      <c r="D3449" s="204" t="s">
        <v>2659</v>
      </c>
      <c r="E3449" s="204" t="s">
        <v>1105</v>
      </c>
      <c r="F3449" s="4" t="s">
        <v>28</v>
      </c>
      <c r="G3449" s="204" t="s">
        <v>28</v>
      </c>
      <c r="H3449" s="4" t="s">
        <v>523</v>
      </c>
      <c r="I3449" s="204"/>
      <c r="J3449" s="21" t="s">
        <v>2276</v>
      </c>
      <c r="K3449" s="21" t="s">
        <v>2276</v>
      </c>
      <c r="L3449" s="21" t="s">
        <v>2276</v>
      </c>
      <c r="M3449" s="21" t="s">
        <v>2276</v>
      </c>
      <c r="N3449" s="21" t="s">
        <v>2276</v>
      </c>
      <c r="O3449" s="21" t="s">
        <v>2276</v>
      </c>
      <c r="P3449" s="21" t="s">
        <v>2276</v>
      </c>
      <c r="Q3449" s="21" t="s">
        <v>2276</v>
      </c>
      <c r="R3449" s="21" t="s">
        <v>2276</v>
      </c>
      <c r="S3449" s="21" t="s">
        <v>2276</v>
      </c>
      <c r="T3449" s="21">
        <f>'Record info'!K$1406*X3449</f>
        <v>117360.36000000002</v>
      </c>
      <c r="U3449" s="21" t="s">
        <v>2276</v>
      </c>
      <c r="V3449" s="21">
        <f>52*0.117</f>
        <v>6.0840000000000005</v>
      </c>
      <c r="W3449" s="21" t="s">
        <v>2276</v>
      </c>
      <c r="X3449" s="21">
        <f t="shared" si="14"/>
        <v>6.0840000000000005</v>
      </c>
      <c r="Y3449" s="21" t="s">
        <v>2276</v>
      </c>
      <c r="Z3449" s="204" t="s">
        <v>38</v>
      </c>
      <c r="AA3449" s="204" t="s">
        <v>38</v>
      </c>
      <c r="AB3449" s="21" t="s">
        <v>2276</v>
      </c>
      <c r="AC3449" s="204"/>
      <c r="AD3449" s="204"/>
    </row>
    <row r="3450" spans="1:30" ht="40" customHeight="1">
      <c r="A3450" s="11" t="s">
        <v>9006</v>
      </c>
      <c r="B3450" s="11" t="s">
        <v>9017</v>
      </c>
      <c r="C3450" s="4" t="s">
        <v>24</v>
      </c>
      <c r="D3450" s="204" t="s">
        <v>2659</v>
      </c>
      <c r="E3450" s="204" t="s">
        <v>1105</v>
      </c>
      <c r="F3450" s="4" t="s">
        <v>28</v>
      </c>
      <c r="G3450" s="204" t="s">
        <v>28</v>
      </c>
      <c r="H3450" s="4" t="s">
        <v>523</v>
      </c>
      <c r="I3450" s="204"/>
      <c r="J3450" s="21" t="s">
        <v>2276</v>
      </c>
      <c r="K3450" s="21" t="s">
        <v>2276</v>
      </c>
      <c r="L3450" s="21" t="s">
        <v>2276</v>
      </c>
      <c r="M3450" s="21" t="s">
        <v>2276</v>
      </c>
      <c r="N3450" s="21" t="s">
        <v>2276</v>
      </c>
      <c r="O3450" s="21" t="s">
        <v>2276</v>
      </c>
      <c r="P3450" s="21" t="s">
        <v>2276</v>
      </c>
      <c r="Q3450" s="21" t="s">
        <v>2276</v>
      </c>
      <c r="R3450" s="21" t="s">
        <v>2276</v>
      </c>
      <c r="S3450" s="21" t="s">
        <v>2276</v>
      </c>
      <c r="T3450" s="21">
        <f>'Record info'!K$1406*X3450</f>
        <v>265160.33999999997</v>
      </c>
      <c r="U3450" s="21" t="s">
        <v>2276</v>
      </c>
      <c r="V3450" s="21">
        <f>79*0.174</f>
        <v>13.745999999999999</v>
      </c>
      <c r="W3450" s="21" t="s">
        <v>2276</v>
      </c>
      <c r="X3450" s="21">
        <f>V3450</f>
        <v>13.745999999999999</v>
      </c>
      <c r="Y3450" s="21" t="s">
        <v>2276</v>
      </c>
      <c r="Z3450" s="204" t="s">
        <v>86</v>
      </c>
      <c r="AA3450" s="204" t="s">
        <v>86</v>
      </c>
      <c r="AB3450" s="21" t="s">
        <v>2276</v>
      </c>
      <c r="AC3450" s="21"/>
      <c r="AD3450" s="21"/>
    </row>
    <row r="3451" spans="1:30" ht="40" customHeight="1">
      <c r="A3451" s="11" t="s">
        <v>9006</v>
      </c>
      <c r="B3451" s="11" t="s">
        <v>9086</v>
      </c>
      <c r="C3451" s="4" t="s">
        <v>24</v>
      </c>
      <c r="D3451" s="204" t="s">
        <v>2659</v>
      </c>
      <c r="E3451" s="204" t="s">
        <v>1105</v>
      </c>
      <c r="F3451" s="4" t="s">
        <v>28</v>
      </c>
      <c r="G3451" s="204" t="s">
        <v>28</v>
      </c>
      <c r="H3451" s="4" t="s">
        <v>523</v>
      </c>
      <c r="I3451" s="204"/>
      <c r="J3451" s="21" t="s">
        <v>2276</v>
      </c>
      <c r="K3451" s="21" t="s">
        <v>2276</v>
      </c>
      <c r="L3451" s="21" t="s">
        <v>2276</v>
      </c>
      <c r="M3451" s="21" t="s">
        <v>2276</v>
      </c>
      <c r="N3451" s="21" t="s">
        <v>2276</v>
      </c>
      <c r="O3451" s="21" t="s">
        <v>2276</v>
      </c>
      <c r="P3451" s="21" t="s">
        <v>2276</v>
      </c>
      <c r="Q3451" s="21" t="s">
        <v>2276</v>
      </c>
      <c r="R3451" s="21" t="s">
        <v>2276</v>
      </c>
      <c r="S3451" s="21" t="s">
        <v>2276</v>
      </c>
      <c r="T3451" s="21">
        <f>'Record info'!K$1406*X3451</f>
        <v>141723.63</v>
      </c>
      <c r="U3451" s="21" t="s">
        <v>2276</v>
      </c>
      <c r="V3451" s="21">
        <f>79*0.093</f>
        <v>7.3469999999999995</v>
      </c>
      <c r="W3451" s="21" t="s">
        <v>2276</v>
      </c>
      <c r="X3451" s="21">
        <f t="shared" ref="X3451:X3461" si="15">V3451</f>
        <v>7.3469999999999995</v>
      </c>
      <c r="Y3451" s="21" t="s">
        <v>2276</v>
      </c>
      <c r="Z3451" s="204" t="s">
        <v>34</v>
      </c>
      <c r="AA3451" s="204" t="s">
        <v>34</v>
      </c>
      <c r="AB3451" s="21" t="s">
        <v>2276</v>
      </c>
      <c r="AC3451" s="21"/>
      <c r="AD3451" s="21"/>
    </row>
    <row r="3452" spans="1:30" ht="40" customHeight="1">
      <c r="A3452" s="11" t="s">
        <v>9006</v>
      </c>
      <c r="B3452" s="11" t="s">
        <v>9087</v>
      </c>
      <c r="C3452" s="4" t="s">
        <v>24</v>
      </c>
      <c r="D3452" s="204" t="s">
        <v>2659</v>
      </c>
      <c r="E3452" s="204" t="s">
        <v>1105</v>
      </c>
      <c r="F3452" s="4" t="s">
        <v>28</v>
      </c>
      <c r="G3452" s="204" t="s">
        <v>28</v>
      </c>
      <c r="H3452" s="4" t="s">
        <v>523</v>
      </c>
      <c r="I3452" s="204"/>
      <c r="J3452" s="21" t="s">
        <v>2276</v>
      </c>
      <c r="K3452" s="21" t="s">
        <v>2276</v>
      </c>
      <c r="L3452" s="21" t="s">
        <v>2276</v>
      </c>
      <c r="M3452" s="21" t="s">
        <v>2276</v>
      </c>
      <c r="N3452" s="21" t="s">
        <v>2276</v>
      </c>
      <c r="O3452" s="21" t="s">
        <v>2276</v>
      </c>
      <c r="P3452" s="21" t="s">
        <v>2276</v>
      </c>
      <c r="Q3452" s="21" t="s">
        <v>2276</v>
      </c>
      <c r="R3452" s="21" t="s">
        <v>2276</v>
      </c>
      <c r="S3452" s="21" t="s">
        <v>2276</v>
      </c>
      <c r="T3452" s="21">
        <f>'Record info'!K$1406*X3452</f>
        <v>41145.57</v>
      </c>
      <c r="U3452" s="21" t="s">
        <v>2276</v>
      </c>
      <c r="V3452" s="21">
        <f>79*0.027</f>
        <v>2.133</v>
      </c>
      <c r="W3452" s="21" t="s">
        <v>2276</v>
      </c>
      <c r="X3452" s="21">
        <f t="shared" si="15"/>
        <v>2.133</v>
      </c>
      <c r="Y3452" s="21" t="s">
        <v>2276</v>
      </c>
      <c r="Z3452" s="204" t="s">
        <v>404</v>
      </c>
      <c r="AA3452" s="204" t="s">
        <v>404</v>
      </c>
      <c r="AB3452" s="21" t="s">
        <v>2276</v>
      </c>
      <c r="AC3452" s="21"/>
      <c r="AD3452" s="21"/>
    </row>
    <row r="3453" spans="1:30" ht="40" customHeight="1">
      <c r="A3453" s="11" t="s">
        <v>9006</v>
      </c>
      <c r="B3453" s="11" t="s">
        <v>9088</v>
      </c>
      <c r="C3453" s="4" t="s">
        <v>24</v>
      </c>
      <c r="D3453" s="204" t="s">
        <v>2659</v>
      </c>
      <c r="E3453" s="204" t="s">
        <v>1105</v>
      </c>
      <c r="F3453" s="4" t="s">
        <v>28</v>
      </c>
      <c r="G3453" s="204" t="s">
        <v>28</v>
      </c>
      <c r="H3453" s="4" t="s">
        <v>523</v>
      </c>
      <c r="I3453" s="204"/>
      <c r="J3453" s="21" t="s">
        <v>2276</v>
      </c>
      <c r="K3453" s="21" t="s">
        <v>2276</v>
      </c>
      <c r="L3453" s="21" t="s">
        <v>2276</v>
      </c>
      <c r="M3453" s="21" t="s">
        <v>2276</v>
      </c>
      <c r="N3453" s="21" t="s">
        <v>2276</v>
      </c>
      <c r="O3453" s="21" t="s">
        <v>2276</v>
      </c>
      <c r="P3453" s="21" t="s">
        <v>2276</v>
      </c>
      <c r="Q3453" s="21" t="s">
        <v>2276</v>
      </c>
      <c r="R3453" s="21" t="s">
        <v>2276</v>
      </c>
      <c r="S3453" s="21" t="s">
        <v>2276</v>
      </c>
      <c r="T3453" s="21">
        <f>'Record info'!K$1406*X3453</f>
        <v>9143.4600000000009</v>
      </c>
      <c r="U3453" s="21" t="s">
        <v>2276</v>
      </c>
      <c r="V3453" s="21">
        <f>79*0.006</f>
        <v>0.47400000000000003</v>
      </c>
      <c r="W3453" s="21" t="s">
        <v>2276</v>
      </c>
      <c r="X3453" s="21">
        <f t="shared" si="15"/>
        <v>0.47400000000000003</v>
      </c>
      <c r="Y3453" s="21" t="s">
        <v>2276</v>
      </c>
      <c r="Z3453" s="204" t="s">
        <v>405</v>
      </c>
      <c r="AA3453" s="204" t="s">
        <v>405</v>
      </c>
      <c r="AB3453" s="21" t="s">
        <v>2276</v>
      </c>
      <c r="AC3453" s="21"/>
      <c r="AD3453" s="21"/>
    </row>
    <row r="3454" spans="1:30" ht="40" customHeight="1">
      <c r="A3454" s="11" t="s">
        <v>9006</v>
      </c>
      <c r="B3454" s="11" t="s">
        <v>9089</v>
      </c>
      <c r="C3454" s="4" t="s">
        <v>24</v>
      </c>
      <c r="D3454" s="204" t="s">
        <v>2659</v>
      </c>
      <c r="E3454" s="204" t="s">
        <v>1105</v>
      </c>
      <c r="F3454" s="4" t="s">
        <v>28</v>
      </c>
      <c r="G3454" s="204" t="s">
        <v>28</v>
      </c>
      <c r="H3454" s="4" t="s">
        <v>523</v>
      </c>
      <c r="I3454" s="204"/>
      <c r="J3454" s="21" t="s">
        <v>2276</v>
      </c>
      <c r="K3454" s="21" t="s">
        <v>2276</v>
      </c>
      <c r="L3454" s="21" t="s">
        <v>2276</v>
      </c>
      <c r="M3454" s="21" t="s">
        <v>2276</v>
      </c>
      <c r="N3454" s="21" t="s">
        <v>2276</v>
      </c>
      <c r="O3454" s="21" t="s">
        <v>2276</v>
      </c>
      <c r="P3454" s="21" t="s">
        <v>2276</v>
      </c>
      <c r="Q3454" s="21" t="s">
        <v>2276</v>
      </c>
      <c r="R3454" s="21" t="s">
        <v>2276</v>
      </c>
      <c r="S3454" s="21" t="s">
        <v>2276</v>
      </c>
      <c r="T3454" s="21">
        <f>'Record info'!K$1406*X3454</f>
        <v>15239.1</v>
      </c>
      <c r="U3454" s="21" t="s">
        <v>2276</v>
      </c>
      <c r="V3454" s="21">
        <f>79*0.01</f>
        <v>0.79</v>
      </c>
      <c r="W3454" s="21" t="s">
        <v>2276</v>
      </c>
      <c r="X3454" s="21">
        <f t="shared" si="15"/>
        <v>0.79</v>
      </c>
      <c r="Y3454" s="21" t="s">
        <v>2276</v>
      </c>
      <c r="Z3454" s="204" t="s">
        <v>425</v>
      </c>
      <c r="AA3454" s="204" t="s">
        <v>425</v>
      </c>
      <c r="AB3454" s="21" t="s">
        <v>2276</v>
      </c>
      <c r="AC3454" s="21"/>
      <c r="AD3454" s="21"/>
    </row>
    <row r="3455" spans="1:30" ht="40" customHeight="1">
      <c r="A3455" s="11" t="s">
        <v>9006</v>
      </c>
      <c r="B3455" s="11" t="s">
        <v>9090</v>
      </c>
      <c r="C3455" s="4" t="s">
        <v>24</v>
      </c>
      <c r="D3455" s="204" t="s">
        <v>2659</v>
      </c>
      <c r="E3455" s="204" t="s">
        <v>1105</v>
      </c>
      <c r="F3455" s="4" t="s">
        <v>28</v>
      </c>
      <c r="G3455" s="204" t="s">
        <v>28</v>
      </c>
      <c r="H3455" s="4" t="s">
        <v>523</v>
      </c>
      <c r="I3455" s="204"/>
      <c r="J3455" s="21" t="s">
        <v>2276</v>
      </c>
      <c r="K3455" s="21" t="s">
        <v>2276</v>
      </c>
      <c r="L3455" s="21" t="s">
        <v>2276</v>
      </c>
      <c r="M3455" s="21" t="s">
        <v>2276</v>
      </c>
      <c r="N3455" s="21" t="s">
        <v>2276</v>
      </c>
      <c r="O3455" s="21" t="s">
        <v>2276</v>
      </c>
      <c r="P3455" s="21" t="s">
        <v>2276</v>
      </c>
      <c r="Q3455" s="21" t="s">
        <v>2276</v>
      </c>
      <c r="R3455" s="21" t="s">
        <v>2276</v>
      </c>
      <c r="S3455" s="21" t="s">
        <v>2276</v>
      </c>
      <c r="T3455" s="21">
        <f>'Record info'!K$1406*X3455</f>
        <v>27430.379999999997</v>
      </c>
      <c r="U3455" s="21" t="s">
        <v>2276</v>
      </c>
      <c r="V3455" s="21">
        <f>79*0.018</f>
        <v>1.4219999999999999</v>
      </c>
      <c r="W3455" s="21" t="s">
        <v>2276</v>
      </c>
      <c r="X3455" s="21">
        <f t="shared" si="15"/>
        <v>1.4219999999999999</v>
      </c>
      <c r="Y3455" s="21" t="s">
        <v>2276</v>
      </c>
      <c r="Z3455" s="204" t="s">
        <v>68</v>
      </c>
      <c r="AA3455" s="204" t="s">
        <v>68</v>
      </c>
      <c r="AB3455" s="21" t="s">
        <v>2276</v>
      </c>
      <c r="AC3455" s="21"/>
      <c r="AD3455" s="21"/>
    </row>
    <row r="3456" spans="1:30" ht="40" customHeight="1">
      <c r="A3456" s="11" t="s">
        <v>9006</v>
      </c>
      <c r="B3456" s="11" t="s">
        <v>9091</v>
      </c>
      <c r="C3456" s="4" t="s">
        <v>24</v>
      </c>
      <c r="D3456" s="204" t="s">
        <v>2659</v>
      </c>
      <c r="E3456" s="204" t="s">
        <v>1105</v>
      </c>
      <c r="F3456" s="4" t="s">
        <v>28</v>
      </c>
      <c r="G3456" s="204" t="s">
        <v>28</v>
      </c>
      <c r="H3456" s="4" t="s">
        <v>523</v>
      </c>
      <c r="I3456" s="204"/>
      <c r="J3456" s="21" t="s">
        <v>2276</v>
      </c>
      <c r="K3456" s="21" t="s">
        <v>2276</v>
      </c>
      <c r="L3456" s="21" t="s">
        <v>2276</v>
      </c>
      <c r="M3456" s="21" t="s">
        <v>2276</v>
      </c>
      <c r="N3456" s="21" t="s">
        <v>2276</v>
      </c>
      <c r="O3456" s="21" t="s">
        <v>2276</v>
      </c>
      <c r="P3456" s="21" t="s">
        <v>2276</v>
      </c>
      <c r="Q3456" s="21" t="s">
        <v>2276</v>
      </c>
      <c r="R3456" s="21" t="s">
        <v>2276</v>
      </c>
      <c r="S3456" s="21" t="s">
        <v>2276</v>
      </c>
      <c r="T3456" s="21">
        <f>'Record info'!K$1406*X3456</f>
        <v>64004.22</v>
      </c>
      <c r="U3456" s="21" t="s">
        <v>2276</v>
      </c>
      <c r="V3456" s="21">
        <f>79*0.042</f>
        <v>3.3180000000000001</v>
      </c>
      <c r="W3456" s="21" t="s">
        <v>2276</v>
      </c>
      <c r="X3456" s="21">
        <f t="shared" si="15"/>
        <v>3.3180000000000001</v>
      </c>
      <c r="Y3456" s="21" t="s">
        <v>2276</v>
      </c>
      <c r="Z3456" s="204" t="s">
        <v>35</v>
      </c>
      <c r="AA3456" s="204" t="s">
        <v>35</v>
      </c>
      <c r="AB3456" s="21" t="s">
        <v>2276</v>
      </c>
      <c r="AC3456" s="21"/>
      <c r="AD3456" s="21"/>
    </row>
    <row r="3457" spans="1:30" ht="40" customHeight="1">
      <c r="A3457" s="11" t="s">
        <v>9006</v>
      </c>
      <c r="B3457" s="11" t="s">
        <v>9092</v>
      </c>
      <c r="C3457" s="4" t="s">
        <v>24</v>
      </c>
      <c r="D3457" s="204" t="s">
        <v>2659</v>
      </c>
      <c r="E3457" s="204" t="s">
        <v>1105</v>
      </c>
      <c r="F3457" s="4" t="s">
        <v>28</v>
      </c>
      <c r="G3457" s="204" t="s">
        <v>28</v>
      </c>
      <c r="H3457" s="4" t="s">
        <v>523</v>
      </c>
      <c r="I3457" s="204"/>
      <c r="J3457" s="21" t="s">
        <v>2276</v>
      </c>
      <c r="K3457" s="21" t="s">
        <v>2276</v>
      </c>
      <c r="L3457" s="21" t="s">
        <v>2276</v>
      </c>
      <c r="M3457" s="21" t="s">
        <v>2276</v>
      </c>
      <c r="N3457" s="21" t="s">
        <v>2276</v>
      </c>
      <c r="O3457" s="21" t="s">
        <v>2276</v>
      </c>
      <c r="P3457" s="21" t="s">
        <v>2276</v>
      </c>
      <c r="Q3457" s="21" t="s">
        <v>2276</v>
      </c>
      <c r="R3457" s="21" t="s">
        <v>2276</v>
      </c>
      <c r="S3457" s="21" t="s">
        <v>2276</v>
      </c>
      <c r="T3457" s="21">
        <f>'Record info'!K$1406*X3457</f>
        <v>292590.72000000003</v>
      </c>
      <c r="U3457" s="21" t="s">
        <v>2276</v>
      </c>
      <c r="V3457" s="21">
        <f>79*0.192</f>
        <v>15.168000000000001</v>
      </c>
      <c r="W3457" s="21" t="s">
        <v>2276</v>
      </c>
      <c r="X3457" s="21">
        <f t="shared" si="15"/>
        <v>15.168000000000001</v>
      </c>
      <c r="Y3457" s="21" t="s">
        <v>2276</v>
      </c>
      <c r="Z3457" s="204" t="s">
        <v>127</v>
      </c>
      <c r="AA3457" s="204" t="s">
        <v>127</v>
      </c>
      <c r="AB3457" s="21" t="s">
        <v>2276</v>
      </c>
      <c r="AC3457" s="21"/>
      <c r="AD3457" s="21"/>
    </row>
    <row r="3458" spans="1:30" ht="40" customHeight="1">
      <c r="A3458" s="11" t="s">
        <v>9006</v>
      </c>
      <c r="B3458" s="11" t="s">
        <v>9093</v>
      </c>
      <c r="C3458" s="168" t="s">
        <v>24</v>
      </c>
      <c r="D3458" s="38" t="s">
        <v>2659</v>
      </c>
      <c r="E3458" s="38" t="s">
        <v>1105</v>
      </c>
      <c r="F3458" s="168" t="s">
        <v>28</v>
      </c>
      <c r="G3458" s="38" t="s">
        <v>28</v>
      </c>
      <c r="H3458" s="168" t="s">
        <v>523</v>
      </c>
      <c r="I3458" s="204"/>
      <c r="J3458" s="21" t="s">
        <v>2276</v>
      </c>
      <c r="K3458" s="21" t="s">
        <v>2276</v>
      </c>
      <c r="L3458" s="21" t="s">
        <v>2276</v>
      </c>
      <c r="M3458" s="21" t="s">
        <v>2276</v>
      </c>
      <c r="N3458" s="21" t="s">
        <v>2276</v>
      </c>
      <c r="O3458" s="21" t="s">
        <v>2276</v>
      </c>
      <c r="P3458" s="21" t="s">
        <v>2276</v>
      </c>
      <c r="Q3458" s="21" t="s">
        <v>2276</v>
      </c>
      <c r="R3458" s="21" t="s">
        <v>2276</v>
      </c>
      <c r="S3458" s="21" t="s">
        <v>2276</v>
      </c>
      <c r="T3458" s="21">
        <f>'Record info'!K$1406*X3458</f>
        <v>321545.01</v>
      </c>
      <c r="U3458" s="21" t="s">
        <v>2276</v>
      </c>
      <c r="V3458" s="21">
        <f>79*0.211</f>
        <v>16.669</v>
      </c>
      <c r="W3458" s="21" t="s">
        <v>2276</v>
      </c>
      <c r="X3458" s="21">
        <f t="shared" si="15"/>
        <v>16.669</v>
      </c>
      <c r="Y3458" s="21" t="s">
        <v>2276</v>
      </c>
      <c r="Z3458" s="204" t="s">
        <v>399</v>
      </c>
      <c r="AA3458" s="204" t="s">
        <v>399</v>
      </c>
      <c r="AB3458" s="21" t="s">
        <v>2276</v>
      </c>
      <c r="AC3458" s="21"/>
      <c r="AD3458" s="21"/>
    </row>
    <row r="3459" spans="1:30" ht="40" customHeight="1">
      <c r="A3459" s="11" t="s">
        <v>9006</v>
      </c>
      <c r="B3459" s="11" t="s">
        <v>9094</v>
      </c>
      <c r="C3459" s="168" t="s">
        <v>24</v>
      </c>
      <c r="D3459" s="38" t="s">
        <v>2659</v>
      </c>
      <c r="E3459" s="38" t="s">
        <v>1105</v>
      </c>
      <c r="F3459" s="168" t="s">
        <v>28</v>
      </c>
      <c r="G3459" s="38" t="s">
        <v>28</v>
      </c>
      <c r="H3459" s="168" t="s">
        <v>523</v>
      </c>
      <c r="I3459" s="204"/>
      <c r="J3459" s="21" t="s">
        <v>2276</v>
      </c>
      <c r="K3459" s="21" t="s">
        <v>2276</v>
      </c>
      <c r="L3459" s="21" t="s">
        <v>2276</v>
      </c>
      <c r="M3459" s="21" t="s">
        <v>2276</v>
      </c>
      <c r="N3459" s="21" t="s">
        <v>2276</v>
      </c>
      <c r="O3459" s="21" t="s">
        <v>2276</v>
      </c>
      <c r="P3459" s="21" t="s">
        <v>2276</v>
      </c>
      <c r="Q3459" s="21" t="s">
        <v>2276</v>
      </c>
      <c r="R3459" s="21" t="s">
        <v>2276</v>
      </c>
      <c r="S3459" s="21" t="s">
        <v>2276</v>
      </c>
      <c r="T3459" s="21">
        <f>'Record info'!K$1406*X3459</f>
        <v>83815.049999999988</v>
      </c>
      <c r="U3459" s="21" t="s">
        <v>2276</v>
      </c>
      <c r="V3459" s="21">
        <f>79*0.055</f>
        <v>4.3449999999999998</v>
      </c>
      <c r="W3459" s="21" t="s">
        <v>2276</v>
      </c>
      <c r="X3459" s="21">
        <f t="shared" si="15"/>
        <v>4.3449999999999998</v>
      </c>
      <c r="Y3459" s="21" t="s">
        <v>2276</v>
      </c>
      <c r="Z3459" s="204" t="s">
        <v>188</v>
      </c>
      <c r="AA3459" s="204" t="s">
        <v>188</v>
      </c>
      <c r="AB3459" s="21" t="s">
        <v>2276</v>
      </c>
      <c r="AC3459" s="204"/>
      <c r="AD3459" s="204"/>
    </row>
    <row r="3460" spans="1:30" ht="40" customHeight="1">
      <c r="A3460" s="11" t="s">
        <v>9006</v>
      </c>
      <c r="B3460" s="11" t="s">
        <v>9095</v>
      </c>
      <c r="C3460" s="4" t="s">
        <v>24</v>
      </c>
      <c r="D3460" s="204" t="s">
        <v>2659</v>
      </c>
      <c r="E3460" s="204" t="s">
        <v>1105</v>
      </c>
      <c r="F3460" s="4" t="s">
        <v>28</v>
      </c>
      <c r="G3460" s="204" t="s">
        <v>28</v>
      </c>
      <c r="H3460" s="4" t="s">
        <v>523</v>
      </c>
      <c r="I3460" s="204"/>
      <c r="J3460" s="21" t="s">
        <v>2276</v>
      </c>
      <c r="K3460" s="21" t="s">
        <v>2276</v>
      </c>
      <c r="L3460" s="21" t="s">
        <v>2276</v>
      </c>
      <c r="M3460" s="21" t="s">
        <v>2276</v>
      </c>
      <c r="N3460" s="21" t="s">
        <v>2276</v>
      </c>
      <c r="O3460" s="21" t="s">
        <v>2276</v>
      </c>
      <c r="P3460" s="21" t="s">
        <v>2276</v>
      </c>
      <c r="Q3460" s="21" t="s">
        <v>2276</v>
      </c>
      <c r="R3460" s="21" t="s">
        <v>2276</v>
      </c>
      <c r="S3460" s="21" t="s">
        <v>2276</v>
      </c>
      <c r="T3460" s="21">
        <f>'Record info'!K$1406*X3460</f>
        <v>85338.96</v>
      </c>
      <c r="U3460" s="21" t="s">
        <v>2276</v>
      </c>
      <c r="V3460" s="21">
        <f>79*0.056</f>
        <v>4.4240000000000004</v>
      </c>
      <c r="W3460" s="21" t="s">
        <v>2276</v>
      </c>
      <c r="X3460" s="21">
        <f t="shared" si="15"/>
        <v>4.4240000000000004</v>
      </c>
      <c r="Y3460" s="21" t="s">
        <v>2276</v>
      </c>
      <c r="Z3460" s="204" t="s">
        <v>189</v>
      </c>
      <c r="AA3460" s="204" t="s">
        <v>189</v>
      </c>
      <c r="AB3460" s="21" t="s">
        <v>2276</v>
      </c>
      <c r="AC3460" s="204"/>
      <c r="AD3460" s="204"/>
    </row>
    <row r="3461" spans="1:30" ht="38" customHeight="1">
      <c r="A3461" s="11" t="s">
        <v>9006</v>
      </c>
      <c r="B3461" s="11" t="s">
        <v>9096</v>
      </c>
      <c r="C3461" s="4" t="s">
        <v>24</v>
      </c>
      <c r="D3461" s="204" t="s">
        <v>2659</v>
      </c>
      <c r="E3461" s="204" t="s">
        <v>1105</v>
      </c>
      <c r="F3461" s="4" t="s">
        <v>28</v>
      </c>
      <c r="G3461" s="204" t="s">
        <v>28</v>
      </c>
      <c r="H3461" s="4" t="s">
        <v>523</v>
      </c>
      <c r="I3461" s="204"/>
      <c r="J3461" s="21" t="s">
        <v>2276</v>
      </c>
      <c r="K3461" s="21" t="s">
        <v>2276</v>
      </c>
      <c r="L3461" s="21" t="s">
        <v>2276</v>
      </c>
      <c r="M3461" s="21" t="s">
        <v>2276</v>
      </c>
      <c r="N3461" s="21" t="s">
        <v>2276</v>
      </c>
      <c r="O3461" s="21" t="s">
        <v>2276</v>
      </c>
      <c r="P3461" s="21" t="s">
        <v>2276</v>
      </c>
      <c r="Q3461" s="21" t="s">
        <v>2276</v>
      </c>
      <c r="R3461" s="21" t="s">
        <v>2276</v>
      </c>
      <c r="S3461" s="21" t="s">
        <v>2276</v>
      </c>
      <c r="T3461" s="21">
        <f>'Record info'!K$1406*X3461</f>
        <v>178297.47</v>
      </c>
      <c r="U3461" s="21" t="s">
        <v>2276</v>
      </c>
      <c r="V3461" s="21">
        <f>79*0.117</f>
        <v>9.2430000000000003</v>
      </c>
      <c r="W3461" s="21" t="s">
        <v>2276</v>
      </c>
      <c r="X3461" s="21">
        <f t="shared" si="15"/>
        <v>9.2430000000000003</v>
      </c>
      <c r="Y3461" s="21" t="s">
        <v>2276</v>
      </c>
      <c r="Z3461" s="204" t="s">
        <v>38</v>
      </c>
      <c r="AA3461" s="204" t="s">
        <v>38</v>
      </c>
      <c r="AB3461" s="21" t="s">
        <v>2276</v>
      </c>
      <c r="AC3461" s="204"/>
      <c r="AD3461" s="204"/>
    </row>
    <row r="3462" spans="1:30" ht="38" customHeight="1">
      <c r="A3462" s="11" t="s">
        <v>9007</v>
      </c>
      <c r="B3462" s="11" t="s">
        <v>9018</v>
      </c>
      <c r="C3462" s="4" t="s">
        <v>24</v>
      </c>
      <c r="D3462" s="204" t="s">
        <v>2659</v>
      </c>
      <c r="E3462" s="204" t="s">
        <v>1105</v>
      </c>
      <c r="F3462" s="4" t="s">
        <v>28</v>
      </c>
      <c r="G3462" s="204" t="s">
        <v>28</v>
      </c>
      <c r="H3462" s="4" t="s">
        <v>523</v>
      </c>
      <c r="I3462" s="204"/>
      <c r="J3462" s="21" t="s">
        <v>2276</v>
      </c>
      <c r="K3462" s="21" t="s">
        <v>2276</v>
      </c>
      <c r="L3462" s="21" t="s">
        <v>2276</v>
      </c>
      <c r="M3462" s="21" t="s">
        <v>2276</v>
      </c>
      <c r="N3462" s="21" t="s">
        <v>2276</v>
      </c>
      <c r="O3462" s="21" t="s">
        <v>2276</v>
      </c>
      <c r="P3462" s="21" t="s">
        <v>2276</v>
      </c>
      <c r="Q3462" s="21" t="s">
        <v>2276</v>
      </c>
      <c r="R3462" s="21" t="s">
        <v>2276</v>
      </c>
      <c r="S3462" s="21" t="s">
        <v>2276</v>
      </c>
      <c r="T3462" s="21">
        <f>'Record info'!K$1406*X3462</f>
        <v>11979.09</v>
      </c>
      <c r="U3462" s="21" t="s">
        <v>2276</v>
      </c>
      <c r="V3462" s="21">
        <f>27*0.023</f>
        <v>0.621</v>
      </c>
      <c r="W3462" s="21" t="s">
        <v>2276</v>
      </c>
      <c r="X3462" s="21">
        <f>V3462</f>
        <v>0.621</v>
      </c>
      <c r="Y3462" s="21" t="s">
        <v>2276</v>
      </c>
      <c r="Z3462" s="204" t="s">
        <v>86</v>
      </c>
      <c r="AA3462" s="204" t="s">
        <v>86</v>
      </c>
      <c r="AB3462" s="21" t="s">
        <v>2276</v>
      </c>
      <c r="AC3462" s="21"/>
      <c r="AD3462" s="21"/>
    </row>
    <row r="3463" spans="1:30" ht="38" customHeight="1">
      <c r="A3463" s="11" t="s">
        <v>9007</v>
      </c>
      <c r="B3463" s="11" t="s">
        <v>9097</v>
      </c>
      <c r="C3463" s="4" t="s">
        <v>24</v>
      </c>
      <c r="D3463" s="204" t="s">
        <v>2659</v>
      </c>
      <c r="E3463" s="204" t="s">
        <v>1105</v>
      </c>
      <c r="F3463" s="4" t="s">
        <v>28</v>
      </c>
      <c r="G3463" s="204" t="s">
        <v>28</v>
      </c>
      <c r="H3463" s="4" t="s">
        <v>523</v>
      </c>
      <c r="I3463" s="204"/>
      <c r="J3463" s="21" t="s">
        <v>2276</v>
      </c>
      <c r="K3463" s="21" t="s">
        <v>2276</v>
      </c>
      <c r="L3463" s="21" t="s">
        <v>2276</v>
      </c>
      <c r="M3463" s="21" t="s">
        <v>2276</v>
      </c>
      <c r="N3463" s="21" t="s">
        <v>2276</v>
      </c>
      <c r="O3463" s="21" t="s">
        <v>2276</v>
      </c>
      <c r="P3463" s="21" t="s">
        <v>2276</v>
      </c>
      <c r="Q3463" s="21" t="s">
        <v>2276</v>
      </c>
      <c r="R3463" s="21" t="s">
        <v>2276</v>
      </c>
      <c r="S3463" s="21" t="s">
        <v>2276</v>
      </c>
      <c r="T3463" s="21">
        <f>'Record info'!K$1406*X3463</f>
        <v>13020.75</v>
      </c>
      <c r="U3463" s="21" t="s">
        <v>2276</v>
      </c>
      <c r="V3463" s="21">
        <f>27*0.025</f>
        <v>0.67500000000000004</v>
      </c>
      <c r="W3463" s="21" t="s">
        <v>2276</v>
      </c>
      <c r="X3463" s="21">
        <f t="shared" ref="X3463:X3473" si="16">V3463</f>
        <v>0.67500000000000004</v>
      </c>
      <c r="Y3463" s="21" t="s">
        <v>2276</v>
      </c>
      <c r="Z3463" s="204" t="s">
        <v>34</v>
      </c>
      <c r="AA3463" s="204" t="s">
        <v>34</v>
      </c>
      <c r="AB3463" s="21" t="s">
        <v>2276</v>
      </c>
      <c r="AC3463" s="21"/>
      <c r="AD3463" s="21"/>
    </row>
    <row r="3464" spans="1:30" ht="38" customHeight="1">
      <c r="A3464" s="11" t="s">
        <v>9007</v>
      </c>
      <c r="B3464" s="11" t="s">
        <v>9098</v>
      </c>
      <c r="C3464" s="4" t="s">
        <v>24</v>
      </c>
      <c r="D3464" s="204" t="s">
        <v>2659</v>
      </c>
      <c r="E3464" s="204" t="s">
        <v>1105</v>
      </c>
      <c r="F3464" s="4" t="s">
        <v>28</v>
      </c>
      <c r="G3464" s="204" t="s">
        <v>28</v>
      </c>
      <c r="H3464" s="4" t="s">
        <v>523</v>
      </c>
      <c r="I3464" s="204"/>
      <c r="J3464" s="21" t="s">
        <v>2276</v>
      </c>
      <c r="K3464" s="21" t="s">
        <v>2276</v>
      </c>
      <c r="L3464" s="21" t="s">
        <v>2276</v>
      </c>
      <c r="M3464" s="21" t="s">
        <v>2276</v>
      </c>
      <c r="N3464" s="21" t="s">
        <v>2276</v>
      </c>
      <c r="O3464" s="21" t="s">
        <v>2276</v>
      </c>
      <c r="P3464" s="21" t="s">
        <v>2276</v>
      </c>
      <c r="Q3464" s="21" t="s">
        <v>2276</v>
      </c>
      <c r="R3464" s="21" t="s">
        <v>2276</v>
      </c>
      <c r="S3464" s="21" t="s">
        <v>2276</v>
      </c>
      <c r="T3464" s="21">
        <f>'Record info'!K$1406*X3464</f>
        <v>45312.209999999992</v>
      </c>
      <c r="U3464" s="21" t="s">
        <v>2276</v>
      </c>
      <c r="V3464" s="21">
        <f>27*0.087</f>
        <v>2.3489999999999998</v>
      </c>
      <c r="W3464" s="21" t="s">
        <v>2276</v>
      </c>
      <c r="X3464" s="21">
        <f t="shared" si="16"/>
        <v>2.3489999999999998</v>
      </c>
      <c r="Y3464" s="21" t="s">
        <v>2276</v>
      </c>
      <c r="Z3464" s="204" t="s">
        <v>404</v>
      </c>
      <c r="AA3464" s="204" t="s">
        <v>404</v>
      </c>
      <c r="AB3464" s="21" t="s">
        <v>2276</v>
      </c>
      <c r="AC3464" s="21"/>
      <c r="AD3464" s="21"/>
    </row>
    <row r="3465" spans="1:30" ht="38" customHeight="1">
      <c r="A3465" s="11" t="s">
        <v>9007</v>
      </c>
      <c r="B3465" s="11" t="s">
        <v>9099</v>
      </c>
      <c r="C3465" s="4" t="s">
        <v>24</v>
      </c>
      <c r="D3465" s="204" t="s">
        <v>2659</v>
      </c>
      <c r="E3465" s="204" t="s">
        <v>1105</v>
      </c>
      <c r="F3465" s="4" t="s">
        <v>28</v>
      </c>
      <c r="G3465" s="204" t="s">
        <v>28</v>
      </c>
      <c r="H3465" s="4" t="s">
        <v>523</v>
      </c>
      <c r="I3465" s="204"/>
      <c r="J3465" s="21" t="s">
        <v>2276</v>
      </c>
      <c r="K3465" s="21" t="s">
        <v>2276</v>
      </c>
      <c r="L3465" s="21" t="s">
        <v>2276</v>
      </c>
      <c r="M3465" s="21" t="s">
        <v>2276</v>
      </c>
      <c r="N3465" s="21" t="s">
        <v>2276</v>
      </c>
      <c r="O3465" s="21" t="s">
        <v>2276</v>
      </c>
      <c r="P3465" s="21" t="s">
        <v>2276</v>
      </c>
      <c r="Q3465" s="21" t="s">
        <v>2276</v>
      </c>
      <c r="R3465" s="21" t="s">
        <v>2276</v>
      </c>
      <c r="S3465" s="21" t="s">
        <v>2276</v>
      </c>
      <c r="T3465" s="21">
        <f>'Record info'!K$1406*X3465</f>
        <v>82811.97</v>
      </c>
      <c r="U3465" s="21" t="s">
        <v>2276</v>
      </c>
      <c r="V3465" s="21">
        <f>27*0.159</f>
        <v>4.2930000000000001</v>
      </c>
      <c r="W3465" s="21" t="s">
        <v>2276</v>
      </c>
      <c r="X3465" s="21">
        <f t="shared" si="16"/>
        <v>4.2930000000000001</v>
      </c>
      <c r="Y3465" s="21" t="s">
        <v>2276</v>
      </c>
      <c r="Z3465" s="204" t="s">
        <v>405</v>
      </c>
      <c r="AA3465" s="204" t="s">
        <v>405</v>
      </c>
      <c r="AB3465" s="21" t="s">
        <v>2276</v>
      </c>
      <c r="AC3465" s="21"/>
      <c r="AD3465" s="21"/>
    </row>
    <row r="3466" spans="1:30" ht="38" customHeight="1">
      <c r="A3466" s="11" t="s">
        <v>9007</v>
      </c>
      <c r="B3466" s="11" t="s">
        <v>9100</v>
      </c>
      <c r="C3466" s="4" t="s">
        <v>24</v>
      </c>
      <c r="D3466" s="204" t="s">
        <v>2659</v>
      </c>
      <c r="E3466" s="204" t="s">
        <v>1105</v>
      </c>
      <c r="F3466" s="4" t="s">
        <v>28</v>
      </c>
      <c r="G3466" s="204" t="s">
        <v>28</v>
      </c>
      <c r="H3466" s="4" t="s">
        <v>523</v>
      </c>
      <c r="I3466" s="204"/>
      <c r="J3466" s="21" t="s">
        <v>2276</v>
      </c>
      <c r="K3466" s="21" t="s">
        <v>2276</v>
      </c>
      <c r="L3466" s="21" t="s">
        <v>2276</v>
      </c>
      <c r="M3466" s="21" t="s">
        <v>2276</v>
      </c>
      <c r="N3466" s="21" t="s">
        <v>2276</v>
      </c>
      <c r="O3466" s="21" t="s">
        <v>2276</v>
      </c>
      <c r="P3466" s="21" t="s">
        <v>2276</v>
      </c>
      <c r="Q3466" s="21" t="s">
        <v>2276</v>
      </c>
      <c r="R3466" s="21" t="s">
        <v>2276</v>
      </c>
      <c r="S3466" s="21" t="s">
        <v>2276</v>
      </c>
      <c r="T3466" s="21">
        <f>'Record info'!K$1406*X3466</f>
        <v>67707.900000000009</v>
      </c>
      <c r="U3466" s="21" t="s">
        <v>2276</v>
      </c>
      <c r="V3466" s="21">
        <f>27*0.13</f>
        <v>3.5100000000000002</v>
      </c>
      <c r="W3466" s="21" t="s">
        <v>2276</v>
      </c>
      <c r="X3466" s="21">
        <f t="shared" si="16"/>
        <v>3.5100000000000002</v>
      </c>
      <c r="Y3466" s="21" t="s">
        <v>2276</v>
      </c>
      <c r="Z3466" s="204" t="s">
        <v>425</v>
      </c>
      <c r="AA3466" s="204" t="s">
        <v>425</v>
      </c>
      <c r="AB3466" s="21" t="s">
        <v>2276</v>
      </c>
      <c r="AC3466" s="21"/>
      <c r="AD3466" s="21"/>
    </row>
    <row r="3467" spans="1:30" ht="38" customHeight="1">
      <c r="A3467" s="11" t="s">
        <v>9007</v>
      </c>
      <c r="B3467" s="11" t="s">
        <v>9101</v>
      </c>
      <c r="C3467" s="4" t="s">
        <v>24</v>
      </c>
      <c r="D3467" s="204" t="s">
        <v>2659</v>
      </c>
      <c r="E3467" s="204" t="s">
        <v>1105</v>
      </c>
      <c r="F3467" s="4" t="s">
        <v>28</v>
      </c>
      <c r="G3467" s="204" t="s">
        <v>28</v>
      </c>
      <c r="H3467" s="4" t="s">
        <v>523</v>
      </c>
      <c r="I3467" s="204"/>
      <c r="J3467" s="21" t="s">
        <v>2276</v>
      </c>
      <c r="K3467" s="21" t="s">
        <v>2276</v>
      </c>
      <c r="L3467" s="21" t="s">
        <v>2276</v>
      </c>
      <c r="M3467" s="21" t="s">
        <v>2276</v>
      </c>
      <c r="N3467" s="21" t="s">
        <v>2276</v>
      </c>
      <c r="O3467" s="21" t="s">
        <v>2276</v>
      </c>
      <c r="P3467" s="21" t="s">
        <v>2276</v>
      </c>
      <c r="Q3467" s="21" t="s">
        <v>2276</v>
      </c>
      <c r="R3467" s="21" t="s">
        <v>2276</v>
      </c>
      <c r="S3467" s="21" t="s">
        <v>2276</v>
      </c>
      <c r="T3467" s="21">
        <f>'Record info'!K$1406*X3467</f>
        <v>12499.92</v>
      </c>
      <c r="U3467" s="21" t="s">
        <v>2276</v>
      </c>
      <c r="V3467" s="21">
        <f>27*0.024</f>
        <v>0.64800000000000002</v>
      </c>
      <c r="W3467" s="21" t="s">
        <v>2276</v>
      </c>
      <c r="X3467" s="21">
        <f t="shared" si="16"/>
        <v>0.64800000000000002</v>
      </c>
      <c r="Y3467" s="21" t="s">
        <v>2276</v>
      </c>
      <c r="Z3467" s="204" t="s">
        <v>68</v>
      </c>
      <c r="AA3467" s="204" t="s">
        <v>68</v>
      </c>
      <c r="AB3467" s="21" t="s">
        <v>2276</v>
      </c>
      <c r="AC3467" s="21"/>
      <c r="AD3467" s="21"/>
    </row>
    <row r="3468" spans="1:30" ht="38" customHeight="1">
      <c r="A3468" s="11" t="s">
        <v>9007</v>
      </c>
      <c r="B3468" s="11" t="s">
        <v>9102</v>
      </c>
      <c r="C3468" s="4" t="s">
        <v>24</v>
      </c>
      <c r="D3468" s="204" t="s">
        <v>2659</v>
      </c>
      <c r="E3468" s="204" t="s">
        <v>1105</v>
      </c>
      <c r="F3468" s="4" t="s">
        <v>28</v>
      </c>
      <c r="G3468" s="204" t="s">
        <v>28</v>
      </c>
      <c r="H3468" s="4" t="s">
        <v>524</v>
      </c>
      <c r="I3468" s="204"/>
      <c r="J3468" s="21">
        <v>0</v>
      </c>
      <c r="K3468" s="21">
        <v>0</v>
      </c>
      <c r="L3468" s="21">
        <v>0</v>
      </c>
      <c r="M3468" s="21">
        <v>0</v>
      </c>
      <c r="N3468" s="21">
        <v>0</v>
      </c>
      <c r="O3468" s="21">
        <v>0</v>
      </c>
      <c r="P3468" s="21">
        <v>0</v>
      </c>
      <c r="Q3468" s="21">
        <v>0</v>
      </c>
      <c r="R3468" s="21">
        <v>0</v>
      </c>
      <c r="S3468" s="21">
        <v>0</v>
      </c>
      <c r="T3468" s="21">
        <v>0</v>
      </c>
      <c r="U3468" s="21">
        <v>0</v>
      </c>
      <c r="V3468" s="21">
        <v>0</v>
      </c>
      <c r="W3468" s="21">
        <v>0</v>
      </c>
      <c r="X3468" s="21">
        <v>0</v>
      </c>
      <c r="Y3468" s="21" t="s">
        <v>2276</v>
      </c>
      <c r="Z3468" s="204" t="s">
        <v>35</v>
      </c>
      <c r="AA3468" s="204" t="s">
        <v>35</v>
      </c>
      <c r="AB3468" s="21" t="s">
        <v>2276</v>
      </c>
      <c r="AC3468" s="21"/>
      <c r="AD3468" s="21"/>
    </row>
    <row r="3469" spans="1:30" ht="38" customHeight="1">
      <c r="A3469" s="11" t="s">
        <v>9007</v>
      </c>
      <c r="B3469" s="11" t="s">
        <v>9103</v>
      </c>
      <c r="C3469" s="4" t="s">
        <v>24</v>
      </c>
      <c r="D3469" s="204" t="s">
        <v>2659</v>
      </c>
      <c r="E3469" s="204" t="s">
        <v>1105</v>
      </c>
      <c r="F3469" s="4" t="s">
        <v>28</v>
      </c>
      <c r="G3469" s="204" t="s">
        <v>28</v>
      </c>
      <c r="H3469" s="4" t="s">
        <v>524</v>
      </c>
      <c r="I3469" s="204"/>
      <c r="J3469" s="21">
        <v>0</v>
      </c>
      <c r="K3469" s="21">
        <v>0</v>
      </c>
      <c r="L3469" s="21">
        <v>0</v>
      </c>
      <c r="M3469" s="21">
        <v>0</v>
      </c>
      <c r="N3469" s="21">
        <v>0</v>
      </c>
      <c r="O3469" s="21">
        <v>0</v>
      </c>
      <c r="P3469" s="21">
        <v>0</v>
      </c>
      <c r="Q3469" s="21">
        <v>0</v>
      </c>
      <c r="R3469" s="21">
        <v>0</v>
      </c>
      <c r="S3469" s="21">
        <v>0</v>
      </c>
      <c r="T3469" s="21">
        <v>0</v>
      </c>
      <c r="U3469" s="21">
        <v>0</v>
      </c>
      <c r="V3469" s="21">
        <v>0</v>
      </c>
      <c r="W3469" s="21">
        <v>0</v>
      </c>
      <c r="X3469" s="21">
        <v>0</v>
      </c>
      <c r="Y3469" s="21" t="s">
        <v>2276</v>
      </c>
      <c r="Z3469" s="204" t="s">
        <v>127</v>
      </c>
      <c r="AA3469" s="204" t="s">
        <v>127</v>
      </c>
      <c r="AB3469" s="21" t="s">
        <v>2276</v>
      </c>
      <c r="AC3469" s="21"/>
      <c r="AD3469" s="21"/>
    </row>
    <row r="3470" spans="1:30" ht="38" customHeight="1">
      <c r="A3470" s="11" t="s">
        <v>9007</v>
      </c>
      <c r="B3470" s="11" t="s">
        <v>9104</v>
      </c>
      <c r="C3470" s="168" t="s">
        <v>24</v>
      </c>
      <c r="D3470" s="38" t="s">
        <v>2659</v>
      </c>
      <c r="E3470" s="38" t="s">
        <v>1105</v>
      </c>
      <c r="F3470" s="168" t="s">
        <v>28</v>
      </c>
      <c r="G3470" s="38" t="s">
        <v>28</v>
      </c>
      <c r="H3470" s="168" t="s">
        <v>523</v>
      </c>
      <c r="I3470" s="204"/>
      <c r="J3470" s="21" t="s">
        <v>2276</v>
      </c>
      <c r="K3470" s="21" t="s">
        <v>2276</v>
      </c>
      <c r="L3470" s="21" t="s">
        <v>2276</v>
      </c>
      <c r="M3470" s="21" t="s">
        <v>2276</v>
      </c>
      <c r="N3470" s="21" t="s">
        <v>2276</v>
      </c>
      <c r="O3470" s="21" t="s">
        <v>2276</v>
      </c>
      <c r="P3470" s="21" t="s">
        <v>2276</v>
      </c>
      <c r="Q3470" s="21" t="s">
        <v>2276</v>
      </c>
      <c r="R3470" s="21" t="s">
        <v>2276</v>
      </c>
      <c r="S3470" s="21" t="s">
        <v>2276</v>
      </c>
      <c r="T3470" s="21">
        <f>'Record info'!K$1406*X3470</f>
        <v>10416.6</v>
      </c>
      <c r="U3470" s="21" t="s">
        <v>2276</v>
      </c>
      <c r="V3470" s="21">
        <f>27*0.02</f>
        <v>0.54</v>
      </c>
      <c r="W3470" s="21" t="s">
        <v>2276</v>
      </c>
      <c r="X3470" s="21">
        <f t="shared" si="16"/>
        <v>0.54</v>
      </c>
      <c r="Y3470" s="21" t="s">
        <v>2276</v>
      </c>
      <c r="Z3470" s="204" t="s">
        <v>399</v>
      </c>
      <c r="AA3470" s="204" t="s">
        <v>399</v>
      </c>
      <c r="AB3470" s="21" t="s">
        <v>2276</v>
      </c>
      <c r="AC3470" s="21"/>
      <c r="AD3470" s="21"/>
    </row>
    <row r="3471" spans="1:30" ht="38" customHeight="1">
      <c r="A3471" s="11" t="s">
        <v>9007</v>
      </c>
      <c r="B3471" s="11" t="s">
        <v>9105</v>
      </c>
      <c r="C3471" s="168" t="s">
        <v>24</v>
      </c>
      <c r="D3471" s="38" t="s">
        <v>2659</v>
      </c>
      <c r="E3471" s="38" t="s">
        <v>1105</v>
      </c>
      <c r="F3471" s="168" t="s">
        <v>28</v>
      </c>
      <c r="G3471" s="38" t="s">
        <v>28</v>
      </c>
      <c r="H3471" s="168" t="s">
        <v>523</v>
      </c>
      <c r="I3471" s="204"/>
      <c r="J3471" s="21" t="s">
        <v>2276</v>
      </c>
      <c r="K3471" s="21" t="s">
        <v>2276</v>
      </c>
      <c r="L3471" s="21" t="s">
        <v>2276</v>
      </c>
      <c r="M3471" s="21" t="s">
        <v>2276</v>
      </c>
      <c r="N3471" s="21" t="s">
        <v>2276</v>
      </c>
      <c r="O3471" s="21" t="s">
        <v>2276</v>
      </c>
      <c r="P3471" s="21" t="s">
        <v>2276</v>
      </c>
      <c r="Q3471" s="21" t="s">
        <v>2276</v>
      </c>
      <c r="R3471" s="21" t="s">
        <v>2276</v>
      </c>
      <c r="S3471" s="21" t="s">
        <v>2276</v>
      </c>
      <c r="T3471" s="21">
        <f>'Record info'!K$1406*X3471</f>
        <v>53645.489999999991</v>
      </c>
      <c r="U3471" s="21" t="s">
        <v>2276</v>
      </c>
      <c r="V3471" s="21">
        <f>27*0.103</f>
        <v>2.7809999999999997</v>
      </c>
      <c r="W3471" s="21" t="s">
        <v>2276</v>
      </c>
      <c r="X3471" s="21">
        <f t="shared" si="16"/>
        <v>2.7809999999999997</v>
      </c>
      <c r="Y3471" s="21" t="s">
        <v>2276</v>
      </c>
      <c r="Z3471" s="204" t="s">
        <v>188</v>
      </c>
      <c r="AA3471" s="204" t="s">
        <v>188</v>
      </c>
      <c r="AB3471" s="21" t="s">
        <v>2276</v>
      </c>
      <c r="AC3471" s="204"/>
      <c r="AD3471" s="204"/>
    </row>
    <row r="3472" spans="1:30" ht="38" customHeight="1">
      <c r="A3472" s="11" t="s">
        <v>9007</v>
      </c>
      <c r="B3472" s="11" t="s">
        <v>9106</v>
      </c>
      <c r="C3472" s="4" t="s">
        <v>24</v>
      </c>
      <c r="D3472" s="204" t="s">
        <v>2659</v>
      </c>
      <c r="E3472" s="204" t="s">
        <v>1105</v>
      </c>
      <c r="F3472" s="4" t="s">
        <v>28</v>
      </c>
      <c r="G3472" s="204" t="s">
        <v>28</v>
      </c>
      <c r="H3472" s="4" t="s">
        <v>523</v>
      </c>
      <c r="I3472" s="204"/>
      <c r="J3472" s="21" t="s">
        <v>2276</v>
      </c>
      <c r="K3472" s="21" t="s">
        <v>2276</v>
      </c>
      <c r="L3472" s="21" t="s">
        <v>2276</v>
      </c>
      <c r="M3472" s="21" t="s">
        <v>2276</v>
      </c>
      <c r="N3472" s="21" t="s">
        <v>2276</v>
      </c>
      <c r="O3472" s="21" t="s">
        <v>2276</v>
      </c>
      <c r="P3472" s="21" t="s">
        <v>2276</v>
      </c>
      <c r="Q3472" s="21" t="s">
        <v>2276</v>
      </c>
      <c r="R3472" s="21" t="s">
        <v>2276</v>
      </c>
      <c r="S3472" s="21" t="s">
        <v>2276</v>
      </c>
      <c r="T3472" s="21">
        <f>'Record info'!K$1406*X3472</f>
        <v>103645.17</v>
      </c>
      <c r="U3472" s="21" t="s">
        <v>2276</v>
      </c>
      <c r="V3472" s="21">
        <f>27*0.199</f>
        <v>5.3730000000000002</v>
      </c>
      <c r="W3472" s="21" t="s">
        <v>2276</v>
      </c>
      <c r="X3472" s="21">
        <f t="shared" si="16"/>
        <v>5.3730000000000002</v>
      </c>
      <c r="Y3472" s="21" t="s">
        <v>2276</v>
      </c>
      <c r="Z3472" s="204" t="s">
        <v>189</v>
      </c>
      <c r="AA3472" s="204" t="s">
        <v>189</v>
      </c>
      <c r="AB3472" s="21" t="s">
        <v>2276</v>
      </c>
      <c r="AC3472" s="204"/>
      <c r="AD3472" s="204"/>
    </row>
    <row r="3473" spans="1:30" ht="41.5" customHeight="1">
      <c r="A3473" s="11" t="s">
        <v>9007</v>
      </c>
      <c r="B3473" s="11" t="s">
        <v>9107</v>
      </c>
      <c r="C3473" s="4" t="s">
        <v>24</v>
      </c>
      <c r="D3473" s="204" t="s">
        <v>2659</v>
      </c>
      <c r="E3473" s="204" t="s">
        <v>1105</v>
      </c>
      <c r="F3473" s="4" t="s">
        <v>28</v>
      </c>
      <c r="G3473" s="204" t="s">
        <v>28</v>
      </c>
      <c r="H3473" s="4" t="s">
        <v>523</v>
      </c>
      <c r="I3473" s="204"/>
      <c r="J3473" s="21" t="s">
        <v>2276</v>
      </c>
      <c r="K3473" s="21" t="s">
        <v>2276</v>
      </c>
      <c r="L3473" s="21" t="s">
        <v>2276</v>
      </c>
      <c r="M3473" s="21" t="s">
        <v>2276</v>
      </c>
      <c r="N3473" s="21" t="s">
        <v>2276</v>
      </c>
      <c r="O3473" s="21" t="s">
        <v>2276</v>
      </c>
      <c r="P3473" s="21" t="s">
        <v>2276</v>
      </c>
      <c r="Q3473" s="21" t="s">
        <v>2276</v>
      </c>
      <c r="R3473" s="21" t="s">
        <v>2276</v>
      </c>
      <c r="S3473" s="21" t="s">
        <v>2276</v>
      </c>
      <c r="T3473" s="21">
        <f>'Record info'!K$1406*X3473</f>
        <v>119270.06999999999</v>
      </c>
      <c r="U3473" s="21" t="s">
        <v>2276</v>
      </c>
      <c r="V3473" s="21">
        <f>27*0.229</f>
        <v>6.1829999999999998</v>
      </c>
      <c r="W3473" s="21" t="s">
        <v>2276</v>
      </c>
      <c r="X3473" s="21">
        <f t="shared" si="16"/>
        <v>6.1829999999999998</v>
      </c>
      <c r="Y3473" s="21" t="s">
        <v>2276</v>
      </c>
      <c r="Z3473" s="204" t="s">
        <v>38</v>
      </c>
      <c r="AA3473" s="204" t="s">
        <v>38</v>
      </c>
      <c r="AB3473" s="21" t="s">
        <v>2276</v>
      </c>
      <c r="AC3473" s="204"/>
      <c r="AD3473" s="204"/>
    </row>
    <row r="3474" spans="1:30" ht="41.5" customHeight="1">
      <c r="A3474" s="11" t="s">
        <v>9008</v>
      </c>
      <c r="B3474" s="11" t="s">
        <v>9019</v>
      </c>
      <c r="C3474" s="4" t="s">
        <v>24</v>
      </c>
      <c r="D3474" s="204" t="s">
        <v>2659</v>
      </c>
      <c r="E3474" s="204" t="s">
        <v>1105</v>
      </c>
      <c r="F3474" s="4" t="s">
        <v>28</v>
      </c>
      <c r="G3474" s="204" t="s">
        <v>28</v>
      </c>
      <c r="H3474" s="4" t="s">
        <v>523</v>
      </c>
      <c r="I3474" s="204"/>
      <c r="J3474" s="21" t="s">
        <v>2276</v>
      </c>
      <c r="K3474" s="21" t="s">
        <v>2276</v>
      </c>
      <c r="L3474" s="21" t="s">
        <v>2276</v>
      </c>
      <c r="M3474" s="21" t="s">
        <v>2276</v>
      </c>
      <c r="N3474" s="21" t="s">
        <v>2276</v>
      </c>
      <c r="O3474" s="21" t="s">
        <v>2276</v>
      </c>
      <c r="P3474" s="21" t="s">
        <v>2276</v>
      </c>
      <c r="Q3474" s="21" t="s">
        <v>2276</v>
      </c>
      <c r="R3474" s="21" t="s">
        <v>2276</v>
      </c>
      <c r="S3474" s="21" t="s">
        <v>2276</v>
      </c>
      <c r="T3474" s="21">
        <f>'Record info'!K$1406*X3474</f>
        <v>63078.3</v>
      </c>
      <c r="U3474" s="21" t="s">
        <v>2276</v>
      </c>
      <c r="V3474" s="21">
        <f>30*0.109</f>
        <v>3.27</v>
      </c>
      <c r="W3474" s="21" t="s">
        <v>2276</v>
      </c>
      <c r="X3474" s="21">
        <f>V3474</f>
        <v>3.27</v>
      </c>
      <c r="Y3474" s="21" t="s">
        <v>2276</v>
      </c>
      <c r="Z3474" s="204" t="s">
        <v>86</v>
      </c>
      <c r="AA3474" s="204" t="s">
        <v>86</v>
      </c>
      <c r="AB3474" s="21" t="s">
        <v>2276</v>
      </c>
      <c r="AC3474" s="21"/>
      <c r="AD3474" s="21"/>
    </row>
    <row r="3475" spans="1:30" ht="41.5" customHeight="1">
      <c r="A3475" s="11" t="s">
        <v>9008</v>
      </c>
      <c r="B3475" s="11" t="s">
        <v>9108</v>
      </c>
      <c r="C3475" s="4" t="s">
        <v>24</v>
      </c>
      <c r="D3475" s="204" t="s">
        <v>2659</v>
      </c>
      <c r="E3475" s="204" t="s">
        <v>1105</v>
      </c>
      <c r="F3475" s="4" t="s">
        <v>28</v>
      </c>
      <c r="G3475" s="204" t="s">
        <v>28</v>
      </c>
      <c r="H3475" s="4" t="s">
        <v>523</v>
      </c>
      <c r="I3475" s="204"/>
      <c r="J3475" s="21" t="s">
        <v>2276</v>
      </c>
      <c r="K3475" s="21" t="s">
        <v>2276</v>
      </c>
      <c r="L3475" s="21" t="s">
        <v>2276</v>
      </c>
      <c r="M3475" s="21" t="s">
        <v>2276</v>
      </c>
      <c r="N3475" s="21" t="s">
        <v>2276</v>
      </c>
      <c r="O3475" s="21" t="s">
        <v>2276</v>
      </c>
      <c r="P3475" s="21" t="s">
        <v>2276</v>
      </c>
      <c r="Q3475" s="21" t="s">
        <v>2276</v>
      </c>
      <c r="R3475" s="21" t="s">
        <v>2276</v>
      </c>
      <c r="S3475" s="21" t="s">
        <v>2276</v>
      </c>
      <c r="T3475" s="21">
        <f>'Record info'!K$1406*X3475</f>
        <v>7523.0999999999995</v>
      </c>
      <c r="U3475" s="21" t="s">
        <v>2276</v>
      </c>
      <c r="V3475" s="21">
        <f>30*0.013</f>
        <v>0.38999999999999996</v>
      </c>
      <c r="W3475" s="21" t="s">
        <v>2276</v>
      </c>
      <c r="X3475" s="21">
        <f t="shared" ref="X3475:X3485" si="17">V3475</f>
        <v>0.38999999999999996</v>
      </c>
      <c r="Y3475" s="21" t="s">
        <v>2276</v>
      </c>
      <c r="Z3475" s="204" t="s">
        <v>34</v>
      </c>
      <c r="AA3475" s="204" t="s">
        <v>34</v>
      </c>
      <c r="AB3475" s="21" t="s">
        <v>2276</v>
      </c>
      <c r="AC3475" s="21"/>
      <c r="AD3475" s="21"/>
    </row>
    <row r="3476" spans="1:30" ht="41.5" customHeight="1">
      <c r="A3476" s="11" t="s">
        <v>9008</v>
      </c>
      <c r="B3476" s="11" t="s">
        <v>9109</v>
      </c>
      <c r="C3476" s="4" t="s">
        <v>24</v>
      </c>
      <c r="D3476" s="204" t="s">
        <v>2659</v>
      </c>
      <c r="E3476" s="204" t="s">
        <v>1105</v>
      </c>
      <c r="F3476" s="4" t="s">
        <v>28</v>
      </c>
      <c r="G3476" s="204" t="s">
        <v>28</v>
      </c>
      <c r="H3476" s="4" t="s">
        <v>523</v>
      </c>
      <c r="I3476" s="204"/>
      <c r="J3476" s="21" t="s">
        <v>2276</v>
      </c>
      <c r="K3476" s="21" t="s">
        <v>2276</v>
      </c>
      <c r="L3476" s="21" t="s">
        <v>2276</v>
      </c>
      <c r="M3476" s="21" t="s">
        <v>2276</v>
      </c>
      <c r="N3476" s="21" t="s">
        <v>2276</v>
      </c>
      <c r="O3476" s="21" t="s">
        <v>2276</v>
      </c>
      <c r="P3476" s="21" t="s">
        <v>2276</v>
      </c>
      <c r="Q3476" s="21" t="s">
        <v>2276</v>
      </c>
      <c r="R3476" s="21" t="s">
        <v>2276</v>
      </c>
      <c r="S3476" s="21" t="s">
        <v>2276</v>
      </c>
      <c r="T3476" s="21">
        <f>'Record info'!K$1406*X3476</f>
        <v>6944.4</v>
      </c>
      <c r="U3476" s="21" t="s">
        <v>2276</v>
      </c>
      <c r="V3476" s="21">
        <f>30*0.012</f>
        <v>0.36</v>
      </c>
      <c r="W3476" s="21" t="s">
        <v>2276</v>
      </c>
      <c r="X3476" s="21">
        <f t="shared" si="17"/>
        <v>0.36</v>
      </c>
      <c r="Y3476" s="21" t="s">
        <v>2276</v>
      </c>
      <c r="Z3476" s="204" t="s">
        <v>404</v>
      </c>
      <c r="AA3476" s="204" t="s">
        <v>404</v>
      </c>
      <c r="AB3476" s="21" t="s">
        <v>2276</v>
      </c>
      <c r="AC3476" s="21"/>
      <c r="AD3476" s="21"/>
    </row>
    <row r="3477" spans="1:30" ht="41.5" customHeight="1">
      <c r="A3477" s="11" t="s">
        <v>9008</v>
      </c>
      <c r="B3477" s="11" t="s">
        <v>9110</v>
      </c>
      <c r="C3477" s="4" t="s">
        <v>24</v>
      </c>
      <c r="D3477" s="204" t="s">
        <v>2659</v>
      </c>
      <c r="E3477" s="204" t="s">
        <v>1105</v>
      </c>
      <c r="F3477" s="4" t="s">
        <v>28</v>
      </c>
      <c r="G3477" s="204" t="s">
        <v>28</v>
      </c>
      <c r="H3477" s="4" t="s">
        <v>523</v>
      </c>
      <c r="I3477" s="204"/>
      <c r="J3477" s="21" t="s">
        <v>2276</v>
      </c>
      <c r="K3477" s="21" t="s">
        <v>2276</v>
      </c>
      <c r="L3477" s="21" t="s">
        <v>2276</v>
      </c>
      <c r="M3477" s="21" t="s">
        <v>2276</v>
      </c>
      <c r="N3477" s="21" t="s">
        <v>2276</v>
      </c>
      <c r="O3477" s="21" t="s">
        <v>2276</v>
      </c>
      <c r="P3477" s="21" t="s">
        <v>2276</v>
      </c>
      <c r="Q3477" s="21" t="s">
        <v>2276</v>
      </c>
      <c r="R3477" s="21" t="s">
        <v>2276</v>
      </c>
      <c r="S3477" s="21" t="s">
        <v>2276</v>
      </c>
      <c r="T3477" s="21">
        <f>'Record info'!K$1406*X3477</f>
        <v>22569.3</v>
      </c>
      <c r="U3477" s="21" t="s">
        <v>2276</v>
      </c>
      <c r="V3477" s="21">
        <f>30*0.039</f>
        <v>1.17</v>
      </c>
      <c r="W3477" s="21" t="s">
        <v>2276</v>
      </c>
      <c r="X3477" s="21">
        <f t="shared" si="17"/>
        <v>1.17</v>
      </c>
      <c r="Y3477" s="21" t="s">
        <v>2276</v>
      </c>
      <c r="Z3477" s="204" t="s">
        <v>405</v>
      </c>
      <c r="AA3477" s="204" t="s">
        <v>405</v>
      </c>
      <c r="AB3477" s="21" t="s">
        <v>2276</v>
      </c>
      <c r="AC3477" s="21"/>
      <c r="AD3477" s="21"/>
    </row>
    <row r="3478" spans="1:30" ht="41.5" customHeight="1">
      <c r="A3478" s="11" t="s">
        <v>9008</v>
      </c>
      <c r="B3478" s="11" t="s">
        <v>9111</v>
      </c>
      <c r="C3478" s="4" t="s">
        <v>24</v>
      </c>
      <c r="D3478" s="204" t="s">
        <v>2659</v>
      </c>
      <c r="E3478" s="204" t="s">
        <v>1105</v>
      </c>
      <c r="F3478" s="4" t="s">
        <v>28</v>
      </c>
      <c r="G3478" s="204" t="s">
        <v>28</v>
      </c>
      <c r="H3478" s="4" t="s">
        <v>523</v>
      </c>
      <c r="I3478" s="204"/>
      <c r="J3478" s="21" t="s">
        <v>2276</v>
      </c>
      <c r="K3478" s="21" t="s">
        <v>2276</v>
      </c>
      <c r="L3478" s="21" t="s">
        <v>2276</v>
      </c>
      <c r="M3478" s="21" t="s">
        <v>2276</v>
      </c>
      <c r="N3478" s="21" t="s">
        <v>2276</v>
      </c>
      <c r="O3478" s="21" t="s">
        <v>2276</v>
      </c>
      <c r="P3478" s="21" t="s">
        <v>2276</v>
      </c>
      <c r="Q3478" s="21" t="s">
        <v>2276</v>
      </c>
      <c r="R3478" s="21" t="s">
        <v>2276</v>
      </c>
      <c r="S3478" s="21" t="s">
        <v>2276</v>
      </c>
      <c r="T3478" s="21">
        <f>'Record info'!K$1406*X3478</f>
        <v>28935</v>
      </c>
      <c r="U3478" s="21" t="s">
        <v>2276</v>
      </c>
      <c r="V3478" s="21">
        <f>30*0.05</f>
        <v>1.5</v>
      </c>
      <c r="W3478" s="21" t="s">
        <v>2276</v>
      </c>
      <c r="X3478" s="21">
        <f t="shared" si="17"/>
        <v>1.5</v>
      </c>
      <c r="Y3478" s="21" t="s">
        <v>2276</v>
      </c>
      <c r="Z3478" s="204" t="s">
        <v>425</v>
      </c>
      <c r="AA3478" s="204" t="s">
        <v>425</v>
      </c>
      <c r="AB3478" s="21" t="s">
        <v>2276</v>
      </c>
      <c r="AC3478" s="21"/>
      <c r="AD3478" s="21"/>
    </row>
    <row r="3479" spans="1:30" ht="41.5" customHeight="1">
      <c r="A3479" s="11" t="s">
        <v>9008</v>
      </c>
      <c r="B3479" s="11" t="s">
        <v>9112</v>
      </c>
      <c r="C3479" s="4" t="s">
        <v>24</v>
      </c>
      <c r="D3479" s="204" t="s">
        <v>2659</v>
      </c>
      <c r="E3479" s="204" t="s">
        <v>1105</v>
      </c>
      <c r="F3479" s="4" t="s">
        <v>28</v>
      </c>
      <c r="G3479" s="204" t="s">
        <v>28</v>
      </c>
      <c r="H3479" s="4" t="s">
        <v>523</v>
      </c>
      <c r="I3479" s="204"/>
      <c r="J3479" s="21" t="s">
        <v>2276</v>
      </c>
      <c r="K3479" s="21" t="s">
        <v>2276</v>
      </c>
      <c r="L3479" s="21" t="s">
        <v>2276</v>
      </c>
      <c r="M3479" s="21" t="s">
        <v>2276</v>
      </c>
      <c r="N3479" s="21" t="s">
        <v>2276</v>
      </c>
      <c r="O3479" s="21" t="s">
        <v>2276</v>
      </c>
      <c r="P3479" s="21" t="s">
        <v>2276</v>
      </c>
      <c r="Q3479" s="21" t="s">
        <v>2276</v>
      </c>
      <c r="R3479" s="21" t="s">
        <v>2276</v>
      </c>
      <c r="S3479" s="21" t="s">
        <v>2276</v>
      </c>
      <c r="T3479" s="21">
        <f>'Record info'!K$1406*X3479</f>
        <v>7523.0999999999995</v>
      </c>
      <c r="U3479" s="21" t="s">
        <v>2276</v>
      </c>
      <c r="V3479" s="21">
        <f>30*0.013</f>
        <v>0.38999999999999996</v>
      </c>
      <c r="W3479" s="21" t="s">
        <v>2276</v>
      </c>
      <c r="X3479" s="21">
        <f t="shared" si="17"/>
        <v>0.38999999999999996</v>
      </c>
      <c r="Y3479" s="21" t="s">
        <v>2276</v>
      </c>
      <c r="Z3479" s="204" t="s">
        <v>68</v>
      </c>
      <c r="AA3479" s="204" t="s">
        <v>68</v>
      </c>
      <c r="AB3479" s="21" t="s">
        <v>2276</v>
      </c>
      <c r="AC3479" s="21"/>
      <c r="AD3479" s="21"/>
    </row>
    <row r="3480" spans="1:30" ht="41.5" customHeight="1">
      <c r="A3480" s="11" t="s">
        <v>9008</v>
      </c>
      <c r="B3480" s="11" t="s">
        <v>9113</v>
      </c>
      <c r="C3480" s="4" t="s">
        <v>24</v>
      </c>
      <c r="D3480" s="204" t="s">
        <v>2659</v>
      </c>
      <c r="E3480" s="204" t="s">
        <v>1105</v>
      </c>
      <c r="F3480" s="4" t="s">
        <v>28</v>
      </c>
      <c r="G3480" s="204" t="s">
        <v>28</v>
      </c>
      <c r="H3480" s="4" t="s">
        <v>523</v>
      </c>
      <c r="I3480" s="204"/>
      <c r="J3480" s="21" t="s">
        <v>2276</v>
      </c>
      <c r="K3480" s="21" t="s">
        <v>2276</v>
      </c>
      <c r="L3480" s="21" t="s">
        <v>2276</v>
      </c>
      <c r="M3480" s="21" t="s">
        <v>2276</v>
      </c>
      <c r="N3480" s="21" t="s">
        <v>2276</v>
      </c>
      <c r="O3480" s="21" t="s">
        <v>2276</v>
      </c>
      <c r="P3480" s="21" t="s">
        <v>2276</v>
      </c>
      <c r="Q3480" s="21" t="s">
        <v>2276</v>
      </c>
      <c r="R3480" s="21" t="s">
        <v>2276</v>
      </c>
      <c r="S3480" s="21" t="s">
        <v>2276</v>
      </c>
      <c r="T3480" s="21">
        <f>'Record info'!K$1406*X3480</f>
        <v>10995.3</v>
      </c>
      <c r="U3480" s="21" t="s">
        <v>2276</v>
      </c>
      <c r="V3480" s="21">
        <f>30*0.019</f>
        <v>0.56999999999999995</v>
      </c>
      <c r="W3480" s="21" t="s">
        <v>2276</v>
      </c>
      <c r="X3480" s="21">
        <f t="shared" si="17"/>
        <v>0.56999999999999995</v>
      </c>
      <c r="Y3480" s="21" t="s">
        <v>2276</v>
      </c>
      <c r="Z3480" s="204" t="s">
        <v>35</v>
      </c>
      <c r="AA3480" s="204" t="s">
        <v>35</v>
      </c>
      <c r="AB3480" s="21" t="s">
        <v>2276</v>
      </c>
      <c r="AC3480" s="21"/>
      <c r="AD3480" s="21"/>
    </row>
    <row r="3481" spans="1:30" ht="41.5" customHeight="1">
      <c r="A3481" s="11" t="s">
        <v>9008</v>
      </c>
      <c r="B3481" s="11" t="s">
        <v>9114</v>
      </c>
      <c r="C3481" s="4" t="s">
        <v>24</v>
      </c>
      <c r="D3481" s="204" t="s">
        <v>2659</v>
      </c>
      <c r="E3481" s="204" t="s">
        <v>1105</v>
      </c>
      <c r="F3481" s="4" t="s">
        <v>28</v>
      </c>
      <c r="G3481" s="204" t="s">
        <v>28</v>
      </c>
      <c r="H3481" s="4" t="s">
        <v>523</v>
      </c>
      <c r="I3481" s="204"/>
      <c r="J3481" s="21" t="s">
        <v>2276</v>
      </c>
      <c r="K3481" s="21" t="s">
        <v>2276</v>
      </c>
      <c r="L3481" s="21" t="s">
        <v>2276</v>
      </c>
      <c r="M3481" s="21" t="s">
        <v>2276</v>
      </c>
      <c r="N3481" s="21" t="s">
        <v>2276</v>
      </c>
      <c r="O3481" s="21" t="s">
        <v>2276</v>
      </c>
      <c r="P3481" s="21" t="s">
        <v>2276</v>
      </c>
      <c r="Q3481" s="21" t="s">
        <v>2276</v>
      </c>
      <c r="R3481" s="21" t="s">
        <v>2276</v>
      </c>
      <c r="S3481" s="21" t="s">
        <v>2276</v>
      </c>
      <c r="T3481" s="21">
        <f>'Record info'!K$1406*X3481</f>
        <v>10995.3</v>
      </c>
      <c r="U3481" s="21" t="s">
        <v>2276</v>
      </c>
      <c r="V3481" s="21">
        <f>30*0.019</f>
        <v>0.56999999999999995</v>
      </c>
      <c r="W3481" s="21" t="s">
        <v>2276</v>
      </c>
      <c r="X3481" s="21">
        <f t="shared" si="17"/>
        <v>0.56999999999999995</v>
      </c>
      <c r="Y3481" s="21" t="s">
        <v>2276</v>
      </c>
      <c r="Z3481" s="204" t="s">
        <v>127</v>
      </c>
      <c r="AA3481" s="204" t="s">
        <v>127</v>
      </c>
      <c r="AB3481" s="21" t="s">
        <v>2276</v>
      </c>
      <c r="AC3481" s="21"/>
      <c r="AD3481" s="21"/>
    </row>
    <row r="3482" spans="1:30" ht="41.5" customHeight="1">
      <c r="A3482" s="11" t="s">
        <v>9008</v>
      </c>
      <c r="B3482" s="11" t="s">
        <v>9115</v>
      </c>
      <c r="C3482" s="4" t="s">
        <v>24</v>
      </c>
      <c r="D3482" s="204" t="s">
        <v>2659</v>
      </c>
      <c r="E3482" s="204" t="s">
        <v>1105</v>
      </c>
      <c r="F3482" s="4" t="s">
        <v>28</v>
      </c>
      <c r="G3482" s="204" t="s">
        <v>28</v>
      </c>
      <c r="H3482" s="4" t="s">
        <v>523</v>
      </c>
      <c r="I3482" s="204"/>
      <c r="J3482" s="21" t="s">
        <v>2276</v>
      </c>
      <c r="K3482" s="21" t="s">
        <v>2276</v>
      </c>
      <c r="L3482" s="21" t="s">
        <v>2276</v>
      </c>
      <c r="M3482" s="21" t="s">
        <v>2276</v>
      </c>
      <c r="N3482" s="21" t="s">
        <v>2276</v>
      </c>
      <c r="O3482" s="21" t="s">
        <v>2276</v>
      </c>
      <c r="P3482" s="21" t="s">
        <v>2276</v>
      </c>
      <c r="Q3482" s="21" t="s">
        <v>2276</v>
      </c>
      <c r="R3482" s="21" t="s">
        <v>2276</v>
      </c>
      <c r="S3482" s="21" t="s">
        <v>2276</v>
      </c>
      <c r="T3482" s="21">
        <f>'Record info'!K$1406*X3482</f>
        <v>45717.3</v>
      </c>
      <c r="U3482" s="21" t="s">
        <v>2276</v>
      </c>
      <c r="V3482" s="21">
        <f>30*0.079</f>
        <v>2.37</v>
      </c>
      <c r="W3482" s="21" t="s">
        <v>2276</v>
      </c>
      <c r="X3482" s="21">
        <f t="shared" si="17"/>
        <v>2.37</v>
      </c>
      <c r="Y3482" s="21" t="s">
        <v>2276</v>
      </c>
      <c r="Z3482" s="204" t="s">
        <v>399</v>
      </c>
      <c r="AA3482" s="204" t="s">
        <v>399</v>
      </c>
      <c r="AB3482" s="21" t="s">
        <v>2276</v>
      </c>
      <c r="AC3482" s="21"/>
      <c r="AD3482" s="21"/>
    </row>
    <row r="3483" spans="1:30" ht="41.5" customHeight="1">
      <c r="A3483" s="11" t="s">
        <v>9008</v>
      </c>
      <c r="B3483" s="11" t="s">
        <v>9116</v>
      </c>
      <c r="C3483" s="4" t="s">
        <v>24</v>
      </c>
      <c r="D3483" s="204" t="s">
        <v>2659</v>
      </c>
      <c r="E3483" s="204" t="s">
        <v>1105</v>
      </c>
      <c r="F3483" s="4" t="s">
        <v>28</v>
      </c>
      <c r="G3483" s="204" t="s">
        <v>28</v>
      </c>
      <c r="H3483" s="4" t="s">
        <v>523</v>
      </c>
      <c r="I3483" s="204"/>
      <c r="J3483" s="21" t="s">
        <v>2276</v>
      </c>
      <c r="K3483" s="21" t="s">
        <v>2276</v>
      </c>
      <c r="L3483" s="21" t="s">
        <v>2276</v>
      </c>
      <c r="M3483" s="21" t="s">
        <v>2276</v>
      </c>
      <c r="N3483" s="21" t="s">
        <v>2276</v>
      </c>
      <c r="O3483" s="21" t="s">
        <v>2276</v>
      </c>
      <c r="P3483" s="21" t="s">
        <v>2276</v>
      </c>
      <c r="Q3483" s="21" t="s">
        <v>2276</v>
      </c>
      <c r="R3483" s="21" t="s">
        <v>2276</v>
      </c>
      <c r="S3483" s="21" t="s">
        <v>2276</v>
      </c>
      <c r="T3483" s="21">
        <f>'Record info'!K$1406*X3483</f>
        <v>105902.1</v>
      </c>
      <c r="U3483" s="21" t="s">
        <v>2276</v>
      </c>
      <c r="V3483" s="21">
        <f>30*0.183</f>
        <v>5.49</v>
      </c>
      <c r="W3483" s="21" t="s">
        <v>2276</v>
      </c>
      <c r="X3483" s="21">
        <f t="shared" si="17"/>
        <v>5.49</v>
      </c>
      <c r="Y3483" s="21" t="s">
        <v>2276</v>
      </c>
      <c r="Z3483" s="204" t="s">
        <v>188</v>
      </c>
      <c r="AA3483" s="204" t="s">
        <v>188</v>
      </c>
      <c r="AB3483" s="21" t="s">
        <v>2276</v>
      </c>
      <c r="AC3483" s="204"/>
      <c r="AD3483" s="204"/>
    </row>
    <row r="3484" spans="1:30" ht="41.5" customHeight="1">
      <c r="A3484" s="11" t="s">
        <v>9008</v>
      </c>
      <c r="B3484" s="11" t="s">
        <v>9117</v>
      </c>
      <c r="C3484" s="4" t="s">
        <v>24</v>
      </c>
      <c r="D3484" s="204" t="s">
        <v>2659</v>
      </c>
      <c r="E3484" s="204" t="s">
        <v>1105</v>
      </c>
      <c r="F3484" s="4" t="s">
        <v>28</v>
      </c>
      <c r="G3484" s="204" t="s">
        <v>28</v>
      </c>
      <c r="H3484" s="4" t="s">
        <v>523</v>
      </c>
      <c r="I3484" s="204"/>
      <c r="J3484" s="21" t="s">
        <v>2276</v>
      </c>
      <c r="K3484" s="21" t="s">
        <v>2276</v>
      </c>
      <c r="L3484" s="21" t="s">
        <v>2276</v>
      </c>
      <c r="M3484" s="21" t="s">
        <v>2276</v>
      </c>
      <c r="N3484" s="21" t="s">
        <v>2276</v>
      </c>
      <c r="O3484" s="21" t="s">
        <v>2276</v>
      </c>
      <c r="P3484" s="21" t="s">
        <v>2276</v>
      </c>
      <c r="Q3484" s="21" t="s">
        <v>2276</v>
      </c>
      <c r="R3484" s="21" t="s">
        <v>2276</v>
      </c>
      <c r="S3484" s="21" t="s">
        <v>2276</v>
      </c>
      <c r="T3484" s="21">
        <f>'Record info'!K$1406*X3484</f>
        <v>121527</v>
      </c>
      <c r="U3484" s="21" t="s">
        <v>2276</v>
      </c>
      <c r="V3484" s="21">
        <f>30*0.21</f>
        <v>6.3</v>
      </c>
      <c r="W3484" s="21" t="s">
        <v>2276</v>
      </c>
      <c r="X3484" s="21">
        <f t="shared" si="17"/>
        <v>6.3</v>
      </c>
      <c r="Y3484" s="21" t="s">
        <v>2276</v>
      </c>
      <c r="Z3484" s="204" t="s">
        <v>189</v>
      </c>
      <c r="AA3484" s="204" t="s">
        <v>189</v>
      </c>
      <c r="AB3484" s="21" t="s">
        <v>2276</v>
      </c>
      <c r="AC3484" s="204"/>
      <c r="AD3484" s="204"/>
    </row>
    <row r="3485" spans="1:30" ht="41.5" customHeight="1">
      <c r="A3485" s="11" t="s">
        <v>9008</v>
      </c>
      <c r="B3485" s="11" t="s">
        <v>9118</v>
      </c>
      <c r="C3485" s="4" t="s">
        <v>24</v>
      </c>
      <c r="D3485" s="204" t="s">
        <v>2659</v>
      </c>
      <c r="E3485" s="204" t="s">
        <v>1105</v>
      </c>
      <c r="F3485" s="4" t="s">
        <v>28</v>
      </c>
      <c r="G3485" s="204" t="s">
        <v>28</v>
      </c>
      <c r="H3485" s="4" t="s">
        <v>523</v>
      </c>
      <c r="I3485" s="204"/>
      <c r="J3485" s="21" t="s">
        <v>2276</v>
      </c>
      <c r="K3485" s="21" t="s">
        <v>2276</v>
      </c>
      <c r="L3485" s="21" t="s">
        <v>2276</v>
      </c>
      <c r="M3485" s="21" t="s">
        <v>2276</v>
      </c>
      <c r="N3485" s="21" t="s">
        <v>2276</v>
      </c>
      <c r="O3485" s="21" t="s">
        <v>2276</v>
      </c>
      <c r="P3485" s="21" t="s">
        <v>2276</v>
      </c>
      <c r="Q3485" s="21" t="s">
        <v>2276</v>
      </c>
      <c r="R3485" s="21" t="s">
        <v>2276</v>
      </c>
      <c r="S3485" s="21" t="s">
        <v>2276</v>
      </c>
      <c r="T3485" s="21">
        <f>'Record info'!K$1406*X3485</f>
        <v>146989.79999999999</v>
      </c>
      <c r="U3485" s="21" t="s">
        <v>2276</v>
      </c>
      <c r="V3485" s="21">
        <f>30*0.254</f>
        <v>7.62</v>
      </c>
      <c r="W3485" s="21" t="s">
        <v>2276</v>
      </c>
      <c r="X3485" s="21">
        <f t="shared" si="17"/>
        <v>7.62</v>
      </c>
      <c r="Y3485" s="21" t="s">
        <v>2276</v>
      </c>
      <c r="Z3485" s="204" t="s">
        <v>38</v>
      </c>
      <c r="AA3485" s="204" t="s">
        <v>38</v>
      </c>
      <c r="AB3485" s="21" t="s">
        <v>2276</v>
      </c>
      <c r="AC3485" s="204"/>
      <c r="AD3485" s="204"/>
    </row>
    <row r="3486" spans="1:30" ht="53.5" customHeight="1">
      <c r="A3486" s="11" t="s">
        <v>9120</v>
      </c>
      <c r="B3486" s="11" t="s">
        <v>9123</v>
      </c>
      <c r="C3486" s="204" t="s">
        <v>31</v>
      </c>
      <c r="D3486" s="204" t="s">
        <v>30</v>
      </c>
      <c r="E3486" s="204" t="s">
        <v>2653</v>
      </c>
      <c r="F3486" s="4" t="s">
        <v>2276</v>
      </c>
      <c r="G3486" s="204" t="s">
        <v>2663</v>
      </c>
      <c r="H3486" s="4" t="s">
        <v>523</v>
      </c>
      <c r="I3486" s="204"/>
      <c r="J3486" s="21" t="s">
        <v>2276</v>
      </c>
      <c r="K3486" s="21" t="s">
        <v>2276</v>
      </c>
      <c r="L3486" s="21" t="s">
        <v>2276</v>
      </c>
      <c r="M3486" s="21" t="s">
        <v>2276</v>
      </c>
      <c r="N3486" s="21" t="s">
        <v>2276</v>
      </c>
      <c r="O3486" s="21" t="s">
        <v>2276</v>
      </c>
      <c r="P3486" s="21" t="s">
        <v>2276</v>
      </c>
      <c r="Q3486" s="21" t="s">
        <v>2276</v>
      </c>
      <c r="R3486" s="21" t="s">
        <v>2276</v>
      </c>
      <c r="S3486" s="21" t="s">
        <v>2276</v>
      </c>
      <c r="T3486" s="21">
        <v>30000</v>
      </c>
      <c r="U3486" s="21" t="s">
        <v>2276</v>
      </c>
      <c r="V3486" s="21" t="s">
        <v>2276</v>
      </c>
      <c r="W3486" s="21" t="s">
        <v>2276</v>
      </c>
      <c r="X3486" s="21" t="s">
        <v>2276</v>
      </c>
      <c r="Y3486" s="21" t="s">
        <v>2276</v>
      </c>
      <c r="Z3486" s="178" t="s">
        <v>34</v>
      </c>
      <c r="AA3486" s="204" t="s">
        <v>34</v>
      </c>
      <c r="AB3486" s="21" t="s">
        <v>2276</v>
      </c>
      <c r="AC3486" s="204" t="s">
        <v>9125</v>
      </c>
      <c r="AD3486" s="204"/>
    </row>
    <row r="3487" spans="1:30" ht="56.5" customHeight="1">
      <c r="A3487" s="11" t="s">
        <v>9120</v>
      </c>
      <c r="B3487" s="11" t="s">
        <v>9124</v>
      </c>
      <c r="C3487" s="204" t="s">
        <v>2658</v>
      </c>
      <c r="D3487" s="204" t="s">
        <v>2276</v>
      </c>
      <c r="E3487" s="204" t="s">
        <v>2276</v>
      </c>
      <c r="F3487" s="4" t="s">
        <v>2276</v>
      </c>
      <c r="G3487" s="204" t="s">
        <v>2663</v>
      </c>
      <c r="H3487" s="4" t="s">
        <v>523</v>
      </c>
      <c r="I3487" s="204"/>
      <c r="J3487" s="21" t="s">
        <v>2276</v>
      </c>
      <c r="K3487" s="21" t="s">
        <v>2276</v>
      </c>
      <c r="L3487" s="21" t="s">
        <v>2276</v>
      </c>
      <c r="M3487" s="21" t="s">
        <v>2276</v>
      </c>
      <c r="N3487" s="21" t="s">
        <v>2276</v>
      </c>
      <c r="O3487" s="21" t="s">
        <v>2276</v>
      </c>
      <c r="P3487" s="21" t="s">
        <v>2276</v>
      </c>
      <c r="Q3487" s="21" t="s">
        <v>2276</v>
      </c>
      <c r="R3487" s="21" t="s">
        <v>2276</v>
      </c>
      <c r="S3487" s="21" t="s">
        <v>2276</v>
      </c>
      <c r="T3487" s="21">
        <v>200000</v>
      </c>
      <c r="U3487" s="21" t="s">
        <v>2276</v>
      </c>
      <c r="V3487" s="21" t="s">
        <v>2276</v>
      </c>
      <c r="W3487" s="21" t="s">
        <v>2276</v>
      </c>
      <c r="X3487" s="21" t="s">
        <v>2276</v>
      </c>
      <c r="Y3487" s="21" t="s">
        <v>2276</v>
      </c>
      <c r="Z3487" s="178" t="s">
        <v>68</v>
      </c>
      <c r="AA3487" s="204" t="s">
        <v>68</v>
      </c>
      <c r="AB3487" s="21" t="s">
        <v>2276</v>
      </c>
      <c r="AC3487" s="204"/>
      <c r="AD3487" s="204"/>
    </row>
    <row r="3488" spans="1:30" ht="66.5" customHeight="1">
      <c r="A3488" s="11" t="s">
        <v>9121</v>
      </c>
      <c r="B3488" s="11" t="s">
        <v>9126</v>
      </c>
      <c r="C3488" s="204" t="s">
        <v>2658</v>
      </c>
      <c r="D3488" s="204" t="s">
        <v>2276</v>
      </c>
      <c r="E3488" s="204" t="s">
        <v>2649</v>
      </c>
      <c r="F3488" s="4" t="s">
        <v>2276</v>
      </c>
      <c r="G3488" s="204" t="s">
        <v>2663</v>
      </c>
      <c r="H3488" s="4" t="s">
        <v>523</v>
      </c>
      <c r="I3488" s="204"/>
      <c r="J3488" s="21" t="s">
        <v>2276</v>
      </c>
      <c r="K3488" s="21" t="s">
        <v>2276</v>
      </c>
      <c r="L3488" s="21" t="s">
        <v>2276</v>
      </c>
      <c r="M3488" s="21" t="s">
        <v>2276</v>
      </c>
      <c r="N3488" s="21" t="s">
        <v>2276</v>
      </c>
      <c r="O3488" s="21" t="s">
        <v>2276</v>
      </c>
      <c r="P3488" s="21" t="s">
        <v>2276</v>
      </c>
      <c r="Q3488" s="21" t="s">
        <v>2276</v>
      </c>
      <c r="R3488" s="21" t="s">
        <v>2276</v>
      </c>
      <c r="S3488" s="21" t="s">
        <v>2276</v>
      </c>
      <c r="T3488" s="21">
        <v>350000</v>
      </c>
      <c r="U3488" s="21" t="s">
        <v>2276</v>
      </c>
      <c r="V3488" s="21" t="s">
        <v>2276</v>
      </c>
      <c r="W3488" s="21" t="s">
        <v>2276</v>
      </c>
      <c r="X3488" s="21" t="s">
        <v>2276</v>
      </c>
      <c r="Y3488" s="21" t="s">
        <v>2276</v>
      </c>
      <c r="Z3488" s="178" t="s">
        <v>127</v>
      </c>
      <c r="AA3488" s="204" t="s">
        <v>188</v>
      </c>
      <c r="AB3488" s="21" t="s">
        <v>2276</v>
      </c>
      <c r="AC3488" s="204"/>
      <c r="AD3488" s="4" t="s">
        <v>9128</v>
      </c>
    </row>
    <row r="3489" spans="1:30" ht="59.5" customHeight="1">
      <c r="A3489" s="11" t="s">
        <v>9121</v>
      </c>
      <c r="B3489" s="11" t="s">
        <v>9127</v>
      </c>
      <c r="C3489" s="204" t="s">
        <v>2658</v>
      </c>
      <c r="D3489" s="204" t="s">
        <v>2276</v>
      </c>
      <c r="E3489" s="204" t="s">
        <v>2276</v>
      </c>
      <c r="F3489" s="204" t="s">
        <v>2276</v>
      </c>
      <c r="G3489" s="204" t="s">
        <v>2663</v>
      </c>
      <c r="H3489" s="4" t="s">
        <v>523</v>
      </c>
      <c r="I3489" s="204"/>
      <c r="J3489" s="21" t="s">
        <v>2276</v>
      </c>
      <c r="K3489" s="21" t="s">
        <v>2276</v>
      </c>
      <c r="L3489" s="21" t="s">
        <v>2276</v>
      </c>
      <c r="M3489" s="21" t="s">
        <v>2276</v>
      </c>
      <c r="N3489" s="21" t="s">
        <v>2276</v>
      </c>
      <c r="O3489" s="21" t="s">
        <v>2276</v>
      </c>
      <c r="P3489" s="21" t="s">
        <v>2276</v>
      </c>
      <c r="Q3489" s="21" t="s">
        <v>2276</v>
      </c>
      <c r="R3489" s="21" t="s">
        <v>2276</v>
      </c>
      <c r="S3489" s="21" t="s">
        <v>2276</v>
      </c>
      <c r="T3489" s="21">
        <v>250000</v>
      </c>
      <c r="U3489" s="21" t="s">
        <v>2276</v>
      </c>
      <c r="V3489" s="21" t="s">
        <v>2276</v>
      </c>
      <c r="W3489" s="21" t="s">
        <v>2276</v>
      </c>
      <c r="X3489" s="21" t="s">
        <v>2276</v>
      </c>
      <c r="Y3489" s="21" t="s">
        <v>2276</v>
      </c>
      <c r="Z3489" s="178" t="s">
        <v>127</v>
      </c>
      <c r="AA3489" s="204" t="s">
        <v>188</v>
      </c>
      <c r="AB3489" s="21" t="s">
        <v>2276</v>
      </c>
      <c r="AC3489" s="204"/>
      <c r="AD3489" s="4" t="s">
        <v>9128</v>
      </c>
    </row>
    <row r="3490" spans="1:30" ht="48" customHeight="1">
      <c r="A3490" s="11" t="s">
        <v>9135</v>
      </c>
      <c r="B3490" s="11" t="s">
        <v>9137</v>
      </c>
      <c r="C3490" s="204" t="s">
        <v>1105</v>
      </c>
      <c r="D3490" s="204" t="s">
        <v>2276</v>
      </c>
      <c r="E3490" s="204" t="s">
        <v>2276</v>
      </c>
      <c r="F3490" s="204" t="s">
        <v>2276</v>
      </c>
      <c r="G3490" s="4" t="s">
        <v>2662</v>
      </c>
      <c r="H3490" s="4" t="s">
        <v>523</v>
      </c>
      <c r="I3490" s="204"/>
      <c r="J3490" s="177" t="s">
        <v>2276</v>
      </c>
      <c r="K3490" s="21" t="s">
        <v>2276</v>
      </c>
      <c r="L3490" s="21" t="s">
        <v>2276</v>
      </c>
      <c r="M3490" s="21" t="s">
        <v>2276</v>
      </c>
      <c r="N3490" s="21" t="s">
        <v>2276</v>
      </c>
      <c r="O3490" s="21" t="s">
        <v>2276</v>
      </c>
      <c r="P3490" s="21" t="s">
        <v>2276</v>
      </c>
      <c r="Q3490" s="21" t="s">
        <v>2276</v>
      </c>
      <c r="R3490" s="21" t="s">
        <v>2276</v>
      </c>
      <c r="S3490" s="21" t="s">
        <v>2276</v>
      </c>
      <c r="T3490" s="21">
        <v>40700</v>
      </c>
      <c r="U3490" s="21" t="s">
        <v>2276</v>
      </c>
      <c r="V3490" s="21" t="s">
        <v>2276</v>
      </c>
      <c r="W3490" s="21" t="s">
        <v>2276</v>
      </c>
      <c r="X3490" s="21">
        <f>T3490/'Record info'!K1417</f>
        <v>0.45722631017244286</v>
      </c>
      <c r="Y3490" s="21" t="s">
        <v>2276</v>
      </c>
      <c r="Z3490" s="21" t="s">
        <v>2276</v>
      </c>
      <c r="AA3490" s="21" t="s">
        <v>2276</v>
      </c>
      <c r="AB3490" s="21" t="s">
        <v>2276</v>
      </c>
      <c r="AC3490" s="204"/>
      <c r="AD3490" s="204"/>
    </row>
    <row r="3491" spans="1:30" ht="51" customHeight="1">
      <c r="A3491" s="11" t="s">
        <v>9135</v>
      </c>
      <c r="B3491" s="11" t="s">
        <v>9138</v>
      </c>
      <c r="C3491" s="204" t="s">
        <v>1105</v>
      </c>
      <c r="D3491" s="204" t="s">
        <v>2276</v>
      </c>
      <c r="E3491" s="204" t="s">
        <v>2276</v>
      </c>
      <c r="F3491" s="204" t="s">
        <v>2276</v>
      </c>
      <c r="G3491" s="204" t="s">
        <v>74</v>
      </c>
      <c r="H3491" s="4" t="s">
        <v>523</v>
      </c>
      <c r="I3491" s="204"/>
      <c r="J3491" s="177" t="s">
        <v>2276</v>
      </c>
      <c r="K3491" s="21" t="s">
        <v>2276</v>
      </c>
      <c r="L3491" s="21" t="s">
        <v>2276</v>
      </c>
      <c r="M3491" s="21" t="s">
        <v>2276</v>
      </c>
      <c r="N3491" s="21" t="s">
        <v>2276</v>
      </c>
      <c r="O3491" s="21" t="s">
        <v>2276</v>
      </c>
      <c r="P3491" s="21" t="s">
        <v>2276</v>
      </c>
      <c r="Q3491" s="21" t="s">
        <v>2276</v>
      </c>
      <c r="R3491" s="21" t="s">
        <v>2276</v>
      </c>
      <c r="S3491" s="21" t="s">
        <v>2276</v>
      </c>
      <c r="T3491" s="21">
        <f>23700-T3492</f>
        <v>14694</v>
      </c>
      <c r="U3491" s="21" t="s">
        <v>2276</v>
      </c>
      <c r="V3491" s="21" t="s">
        <v>2276</v>
      </c>
      <c r="W3491" s="21" t="s">
        <v>2276</v>
      </c>
      <c r="X3491" s="21">
        <f>T3491/'Record info'!K1417</f>
        <v>0.16507330225242936</v>
      </c>
      <c r="Y3491" s="21" t="s">
        <v>2276</v>
      </c>
      <c r="Z3491" s="21" t="s">
        <v>2276</v>
      </c>
      <c r="AA3491" s="21" t="s">
        <v>2276</v>
      </c>
      <c r="AB3491" s="21" t="s">
        <v>2276</v>
      </c>
      <c r="AC3491" s="204"/>
      <c r="AD3491" s="204"/>
    </row>
    <row r="3492" spans="1:30" ht="42.5" customHeight="1">
      <c r="A3492" s="11" t="s">
        <v>9135</v>
      </c>
      <c r="B3492" s="11" t="s">
        <v>9139</v>
      </c>
      <c r="C3492" s="204" t="s">
        <v>1105</v>
      </c>
      <c r="D3492" s="204" t="s">
        <v>2276</v>
      </c>
      <c r="E3492" s="204" t="s">
        <v>2649</v>
      </c>
      <c r="F3492" s="204" t="s">
        <v>2276</v>
      </c>
      <c r="G3492" s="204" t="s">
        <v>2663</v>
      </c>
      <c r="H3492" s="4" t="s">
        <v>523</v>
      </c>
      <c r="I3492" s="204"/>
      <c r="J3492" s="177" t="s">
        <v>2276</v>
      </c>
      <c r="K3492" s="177" t="s">
        <v>2276</v>
      </c>
      <c r="L3492" s="177" t="s">
        <v>2276</v>
      </c>
      <c r="M3492" s="177" t="s">
        <v>2276</v>
      </c>
      <c r="N3492" s="177" t="s">
        <v>2276</v>
      </c>
      <c r="O3492" s="177" t="s">
        <v>2276</v>
      </c>
      <c r="P3492" s="177" t="s">
        <v>2276</v>
      </c>
      <c r="Q3492" s="177" t="s">
        <v>2276</v>
      </c>
      <c r="R3492" s="177" t="s">
        <v>2276</v>
      </c>
      <c r="S3492" s="177" t="s">
        <v>2276</v>
      </c>
      <c r="T3492" s="21">
        <f>23700*0.38</f>
        <v>9006</v>
      </c>
      <c r="U3492" s="21" t="s">
        <v>2276</v>
      </c>
      <c r="V3492" s="21">
        <v>0.72499999999999998</v>
      </c>
      <c r="W3492" s="21" t="s">
        <v>2276</v>
      </c>
      <c r="X3492" s="21">
        <f>T3492/'Record info'!K1417</f>
        <v>0.10117395944503735</v>
      </c>
      <c r="Y3492" s="21" t="s">
        <v>2276</v>
      </c>
      <c r="Z3492" s="21" t="s">
        <v>2276</v>
      </c>
      <c r="AA3492" s="21" t="s">
        <v>2276</v>
      </c>
      <c r="AB3492" s="21" t="s">
        <v>2276</v>
      </c>
      <c r="AC3492" s="204"/>
      <c r="AD3492" s="204"/>
    </row>
    <row r="3493" spans="1:30" ht="43.5" customHeight="1">
      <c r="A3493" s="11" t="s">
        <v>9135</v>
      </c>
      <c r="B3493" s="11" t="s">
        <v>9140</v>
      </c>
      <c r="C3493" s="204" t="s">
        <v>24</v>
      </c>
      <c r="D3493" s="204" t="s">
        <v>2346</v>
      </c>
      <c r="E3493" s="204" t="s">
        <v>2276</v>
      </c>
      <c r="F3493" s="204" t="s">
        <v>1105</v>
      </c>
      <c r="G3493" s="204" t="s">
        <v>74</v>
      </c>
      <c r="H3493" s="4" t="s">
        <v>523</v>
      </c>
      <c r="I3493" s="204"/>
      <c r="J3493" s="177"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1" t="s">
        <v>2276</v>
      </c>
      <c r="Y3493" s="21" t="s">
        <v>2276</v>
      </c>
      <c r="Z3493" s="21" t="s">
        <v>2276</v>
      </c>
      <c r="AA3493" s="21" t="s">
        <v>2276</v>
      </c>
      <c r="AB3493" s="21" t="s">
        <v>2276</v>
      </c>
      <c r="AC3493" s="204" t="s">
        <v>9145</v>
      </c>
      <c r="AD3493" s="204"/>
    </row>
    <row r="3494" spans="1:30" ht="42.5" customHeight="1">
      <c r="A3494" s="11" t="s">
        <v>9135</v>
      </c>
      <c r="B3494" s="11" t="s">
        <v>9142</v>
      </c>
      <c r="C3494" s="204" t="s">
        <v>24</v>
      </c>
      <c r="D3494" s="204" t="s">
        <v>2276</v>
      </c>
      <c r="E3494" s="204" t="s">
        <v>2276</v>
      </c>
      <c r="F3494" s="204" t="s">
        <v>1105</v>
      </c>
      <c r="G3494" s="204" t="s">
        <v>74</v>
      </c>
      <c r="H3494" s="4" t="s">
        <v>523</v>
      </c>
      <c r="I3494" s="204"/>
      <c r="J3494" s="177"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1" t="s">
        <v>2276</v>
      </c>
      <c r="Y3494" s="21" t="s">
        <v>2276</v>
      </c>
      <c r="Z3494" s="21" t="s">
        <v>2276</v>
      </c>
      <c r="AA3494" s="21" t="s">
        <v>2276</v>
      </c>
      <c r="AB3494" s="21" t="s">
        <v>2276</v>
      </c>
      <c r="AC3494" s="204" t="s">
        <v>9145</v>
      </c>
      <c r="AD3494" s="204"/>
    </row>
    <row r="3495" spans="1:30" ht="42.5" customHeight="1">
      <c r="A3495" s="11" t="s">
        <v>9135</v>
      </c>
      <c r="B3495" s="11" t="s">
        <v>9143</v>
      </c>
      <c r="C3495" s="204" t="s">
        <v>2656</v>
      </c>
      <c r="D3495" s="204" t="s">
        <v>2276</v>
      </c>
      <c r="E3495" s="204" t="s">
        <v>2276</v>
      </c>
      <c r="F3495" s="204" t="s">
        <v>1105</v>
      </c>
      <c r="G3495" s="204" t="s">
        <v>74</v>
      </c>
      <c r="H3495" s="4" t="s">
        <v>523</v>
      </c>
      <c r="I3495" s="204"/>
      <c r="J3495" s="177"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1" t="s">
        <v>2276</v>
      </c>
      <c r="Y3495" s="21" t="s">
        <v>2276</v>
      </c>
      <c r="Z3495" s="21" t="s">
        <v>2276</v>
      </c>
      <c r="AA3495" s="21" t="s">
        <v>2276</v>
      </c>
      <c r="AB3495" s="21" t="s">
        <v>2276</v>
      </c>
      <c r="AC3495" s="204" t="s">
        <v>9145</v>
      </c>
      <c r="AD3495" s="204"/>
    </row>
    <row r="3496" spans="1:30" ht="42.5" customHeight="1">
      <c r="A3496" s="11" t="s">
        <v>9135</v>
      </c>
      <c r="B3496" s="11" t="s">
        <v>9144</v>
      </c>
      <c r="C3496" s="204" t="s">
        <v>31</v>
      </c>
      <c r="D3496" s="204" t="s">
        <v>30</v>
      </c>
      <c r="E3496" s="204" t="s">
        <v>2276</v>
      </c>
      <c r="F3496" s="204" t="s">
        <v>1105</v>
      </c>
      <c r="G3496" s="204" t="s">
        <v>74</v>
      </c>
      <c r="H3496" s="4" t="s">
        <v>523</v>
      </c>
      <c r="I3496" s="204"/>
      <c r="J3496" s="177"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1" t="s">
        <v>2276</v>
      </c>
      <c r="Y3496" s="21" t="s">
        <v>2276</v>
      </c>
      <c r="Z3496" s="21" t="s">
        <v>2276</v>
      </c>
      <c r="AA3496" s="21" t="s">
        <v>2276</v>
      </c>
      <c r="AB3496" s="21" t="s">
        <v>2276</v>
      </c>
      <c r="AC3496" s="204" t="s">
        <v>9145</v>
      </c>
      <c r="AD3496" s="204"/>
    </row>
    <row r="3497" spans="1:30" ht="93.5" customHeight="1">
      <c r="A3497" s="11" t="s">
        <v>9148</v>
      </c>
      <c r="B3497" s="11" t="s">
        <v>9181</v>
      </c>
      <c r="C3497" s="204" t="s">
        <v>2458</v>
      </c>
      <c r="D3497" s="204" t="s">
        <v>2276</v>
      </c>
      <c r="E3497" s="204" t="s">
        <v>1105</v>
      </c>
      <c r="F3497" s="4" t="s">
        <v>2276</v>
      </c>
      <c r="G3497" s="4" t="s">
        <v>2662</v>
      </c>
      <c r="H3497" s="4" t="s">
        <v>523</v>
      </c>
      <c r="I3497" s="204"/>
      <c r="J3497" s="21">
        <f>(T3497/P3497)/(('Record info'!K$1418*(100-'Land use'!O$1418-'Land use'!P$1418)/100))</f>
        <v>8.8182095583833452E-3</v>
      </c>
      <c r="K3497" s="177" t="s">
        <v>2276</v>
      </c>
      <c r="L3497" s="177" t="s">
        <v>2276</v>
      </c>
      <c r="M3497" s="177" t="s">
        <v>2276</v>
      </c>
      <c r="N3497" s="177" t="s">
        <v>2276</v>
      </c>
      <c r="O3497" s="177" t="s">
        <v>2276</v>
      </c>
      <c r="P3497" s="177">
        <v>11.57</v>
      </c>
      <c r="Q3497" s="177" t="s">
        <v>2276</v>
      </c>
      <c r="R3497" s="177" t="s">
        <v>2276</v>
      </c>
      <c r="S3497" s="177" t="s">
        <v>2276</v>
      </c>
      <c r="T3497" s="21">
        <v>41591.279999999999</v>
      </c>
      <c r="U3497" s="21" t="s">
        <v>2276</v>
      </c>
      <c r="V3497" s="21" t="s">
        <v>2276</v>
      </c>
      <c r="W3497" s="21" t="s">
        <v>2276</v>
      </c>
      <c r="X3497" s="21">
        <f>T3497/'Record info'!K1418</f>
        <v>5.5007498988231748E-2</v>
      </c>
      <c r="Y3497" s="21" t="s">
        <v>2276</v>
      </c>
      <c r="Z3497" s="21" t="s">
        <v>2276</v>
      </c>
      <c r="AA3497" s="21" t="s">
        <v>2276</v>
      </c>
      <c r="AB3497" s="21" t="s">
        <v>2276</v>
      </c>
      <c r="AC3497" s="4" t="s">
        <v>9184</v>
      </c>
      <c r="AD3497" s="4" t="s">
        <v>9241</v>
      </c>
    </row>
    <row r="3498" spans="1:30" ht="93.5" customHeight="1">
      <c r="A3498" s="11" t="s">
        <v>9185</v>
      </c>
      <c r="B3498" s="11" t="s">
        <v>9187</v>
      </c>
      <c r="C3498" s="204" t="s">
        <v>2458</v>
      </c>
      <c r="D3498" s="204" t="s">
        <v>2276</v>
      </c>
      <c r="E3498" s="204" t="s">
        <v>1105</v>
      </c>
      <c r="F3498" s="4" t="s">
        <v>2276</v>
      </c>
      <c r="G3498" s="4" t="s">
        <v>2662</v>
      </c>
      <c r="H3498" s="4" t="s">
        <v>523</v>
      </c>
      <c r="I3498" s="204"/>
      <c r="J3498" s="21">
        <f>(5946.4)/(('Record info'!K$1418*(100-'Land use'!O$1418-'Land use'!P$1418)/100))</f>
        <v>1.4586987398534533E-2</v>
      </c>
      <c r="K3498" s="177" t="s">
        <v>2276</v>
      </c>
      <c r="L3498" s="177" t="s">
        <v>2276</v>
      </c>
      <c r="M3498" s="177" t="s">
        <v>2276</v>
      </c>
      <c r="N3498" s="177" t="s">
        <v>2276</v>
      </c>
      <c r="O3498" s="177" t="s">
        <v>2276</v>
      </c>
      <c r="P3498" s="177">
        <v>8.4700000000000006</v>
      </c>
      <c r="Q3498" s="177" t="s">
        <v>2276</v>
      </c>
      <c r="R3498" s="177" t="s">
        <v>2276</v>
      </c>
      <c r="S3498" s="177" t="s">
        <v>2276</v>
      </c>
      <c r="T3498" s="21">
        <v>51243.817999999999</v>
      </c>
      <c r="U3498" s="21" t="s">
        <v>2276</v>
      </c>
      <c r="V3498" s="21" t="s">
        <v>2276</v>
      </c>
      <c r="W3498" s="21" t="s">
        <v>2276</v>
      </c>
      <c r="X3498" s="21">
        <f>T3498/'Record info'!K1418</f>
        <v>6.7773683973855373E-2</v>
      </c>
      <c r="Y3498" s="21" t="s">
        <v>2276</v>
      </c>
      <c r="Z3498" s="21" t="s">
        <v>2276</v>
      </c>
      <c r="AA3498" s="21" t="s">
        <v>2276</v>
      </c>
      <c r="AB3498" s="21" t="s">
        <v>2276</v>
      </c>
      <c r="AC3498" s="4" t="s">
        <v>9184</v>
      </c>
      <c r="AD3498" s="4" t="s">
        <v>9241</v>
      </c>
    </row>
    <row r="3499" spans="1:30" ht="93.5" customHeight="1">
      <c r="A3499" s="11" t="s">
        <v>9186</v>
      </c>
      <c r="B3499" s="11" t="s">
        <v>9188</v>
      </c>
      <c r="C3499" s="204" t="s">
        <v>2458</v>
      </c>
      <c r="D3499" s="204" t="s">
        <v>2276</v>
      </c>
      <c r="E3499" s="204" t="s">
        <v>1105</v>
      </c>
      <c r="F3499" s="4" t="s">
        <v>2276</v>
      </c>
      <c r="G3499" s="4" t="s">
        <v>2662</v>
      </c>
      <c r="H3499" s="4" t="s">
        <v>523</v>
      </c>
      <c r="I3499" s="204"/>
      <c r="J3499" s="21">
        <f>(6114.67)/(('Record info'!K$1418*(100-'Land use'!O$1418-'Land use'!P$1418)/100))</f>
        <v>1.4999766957520038E-2</v>
      </c>
      <c r="K3499" s="177" t="s">
        <v>2276</v>
      </c>
      <c r="L3499" s="177" t="s">
        <v>2276</v>
      </c>
      <c r="M3499" s="177" t="s">
        <v>2276</v>
      </c>
      <c r="N3499" s="177" t="s">
        <v>2276</v>
      </c>
      <c r="O3499" s="177" t="s">
        <v>2276</v>
      </c>
      <c r="P3499" s="177">
        <v>14.8</v>
      </c>
      <c r="Q3499" s="177" t="s">
        <v>2276</v>
      </c>
      <c r="R3499" s="177" t="s">
        <v>2276</v>
      </c>
      <c r="S3499" s="177" t="s">
        <v>2276</v>
      </c>
      <c r="T3499" s="21">
        <v>96706.96</v>
      </c>
      <c r="U3499" s="21" t="s">
        <v>2276</v>
      </c>
      <c r="V3499" s="21" t="s">
        <v>2276</v>
      </c>
      <c r="W3499" s="21" t="s">
        <v>2276</v>
      </c>
      <c r="X3499" s="21">
        <f>T3499/'Record info'!K1418</f>
        <v>0.12790200263985549</v>
      </c>
      <c r="Y3499" s="21" t="s">
        <v>2276</v>
      </c>
      <c r="Z3499" s="21" t="s">
        <v>2276</v>
      </c>
      <c r="AA3499" s="21" t="s">
        <v>2276</v>
      </c>
      <c r="AB3499" s="21" t="s">
        <v>2276</v>
      </c>
      <c r="AC3499" s="4" t="s">
        <v>9184</v>
      </c>
      <c r="AD3499" s="4" t="s">
        <v>9241</v>
      </c>
    </row>
    <row r="3500" spans="1:30" ht="93.5" customHeight="1">
      <c r="A3500" s="11" t="s">
        <v>9164</v>
      </c>
      <c r="B3500" s="11" t="s">
        <v>9204</v>
      </c>
      <c r="C3500" s="204" t="s">
        <v>2458</v>
      </c>
      <c r="D3500" s="204" t="s">
        <v>2276</v>
      </c>
      <c r="E3500" s="204" t="s">
        <v>1105</v>
      </c>
      <c r="F3500" s="4" t="s">
        <v>2276</v>
      </c>
      <c r="G3500" s="4" t="s">
        <v>2662</v>
      </c>
      <c r="H3500" s="4" t="s">
        <v>524</v>
      </c>
      <c r="I3500" s="204"/>
      <c r="J3500" s="21">
        <v>0</v>
      </c>
      <c r="K3500" s="21">
        <v>0</v>
      </c>
      <c r="L3500" s="21">
        <v>0</v>
      </c>
      <c r="M3500" s="21">
        <v>0</v>
      </c>
      <c r="N3500" s="21">
        <v>0</v>
      </c>
      <c r="O3500" s="21">
        <v>0</v>
      </c>
      <c r="P3500" s="21">
        <v>0</v>
      </c>
      <c r="Q3500" s="21">
        <v>0</v>
      </c>
      <c r="R3500" s="21">
        <v>0</v>
      </c>
      <c r="S3500" s="21">
        <v>0</v>
      </c>
      <c r="T3500" s="21">
        <v>0</v>
      </c>
      <c r="U3500" s="21">
        <v>0</v>
      </c>
      <c r="V3500" s="21">
        <v>0</v>
      </c>
      <c r="W3500" s="21">
        <v>0</v>
      </c>
      <c r="X3500" s="21">
        <v>0</v>
      </c>
      <c r="Y3500" s="21" t="s">
        <v>2276</v>
      </c>
      <c r="Z3500" s="21" t="s">
        <v>2276</v>
      </c>
      <c r="AA3500" s="21" t="s">
        <v>2276</v>
      </c>
      <c r="AB3500" s="21" t="s">
        <v>2276</v>
      </c>
      <c r="AC3500" s="4" t="s">
        <v>9184</v>
      </c>
      <c r="AD3500" s="4" t="s">
        <v>9241</v>
      </c>
    </row>
    <row r="3501" spans="1:30" ht="93.5" customHeight="1">
      <c r="A3501" s="11" t="s">
        <v>9165</v>
      </c>
      <c r="B3501" s="11" t="s">
        <v>9205</v>
      </c>
      <c r="C3501" s="204" t="s">
        <v>2458</v>
      </c>
      <c r="D3501" s="204" t="s">
        <v>2276</v>
      </c>
      <c r="E3501" s="204" t="s">
        <v>1105</v>
      </c>
      <c r="F3501" s="4" t="s">
        <v>2276</v>
      </c>
      <c r="G3501" s="4" t="s">
        <v>2662</v>
      </c>
      <c r="H3501" s="4" t="s">
        <v>524</v>
      </c>
      <c r="I3501" s="204"/>
      <c r="J3501" s="21">
        <v>0</v>
      </c>
      <c r="K3501" s="21">
        <v>0</v>
      </c>
      <c r="L3501" s="21">
        <v>0</v>
      </c>
      <c r="M3501" s="21">
        <v>0</v>
      </c>
      <c r="N3501" s="21">
        <v>0</v>
      </c>
      <c r="O3501" s="21">
        <v>0</v>
      </c>
      <c r="P3501" s="21">
        <v>0</v>
      </c>
      <c r="Q3501" s="21">
        <v>0</v>
      </c>
      <c r="R3501" s="21">
        <v>0</v>
      </c>
      <c r="S3501" s="21">
        <v>0</v>
      </c>
      <c r="T3501" s="21">
        <v>0</v>
      </c>
      <c r="U3501" s="21">
        <v>0</v>
      </c>
      <c r="V3501" s="21">
        <v>0</v>
      </c>
      <c r="W3501" s="21">
        <v>0</v>
      </c>
      <c r="X3501" s="21">
        <v>0</v>
      </c>
      <c r="Y3501" s="21" t="s">
        <v>2276</v>
      </c>
      <c r="Z3501" s="21" t="s">
        <v>2276</v>
      </c>
      <c r="AA3501" s="21" t="s">
        <v>2276</v>
      </c>
      <c r="AB3501" s="21" t="s">
        <v>2276</v>
      </c>
      <c r="AC3501" s="4" t="s">
        <v>9184</v>
      </c>
      <c r="AD3501" s="4" t="s">
        <v>9241</v>
      </c>
    </row>
    <row r="3502" spans="1:30" ht="93.5" customHeight="1">
      <c r="A3502" s="11" t="s">
        <v>9166</v>
      </c>
      <c r="B3502" s="11" t="s">
        <v>9206</v>
      </c>
      <c r="C3502" s="204" t="s">
        <v>2458</v>
      </c>
      <c r="D3502" s="204" t="s">
        <v>2276</v>
      </c>
      <c r="E3502" s="204" t="s">
        <v>1105</v>
      </c>
      <c r="F3502" s="4" t="s">
        <v>2276</v>
      </c>
      <c r="G3502" s="4" t="s">
        <v>2662</v>
      </c>
      <c r="H3502" s="4" t="s">
        <v>524</v>
      </c>
      <c r="I3502" s="204"/>
      <c r="J3502" s="21">
        <v>0</v>
      </c>
      <c r="K3502" s="21">
        <v>0</v>
      </c>
      <c r="L3502" s="21">
        <v>0</v>
      </c>
      <c r="M3502" s="21">
        <v>0</v>
      </c>
      <c r="N3502" s="21">
        <v>0</v>
      </c>
      <c r="O3502" s="21">
        <v>0</v>
      </c>
      <c r="P3502" s="21">
        <v>0</v>
      </c>
      <c r="Q3502" s="21">
        <v>0</v>
      </c>
      <c r="R3502" s="21">
        <v>0</v>
      </c>
      <c r="S3502" s="21">
        <v>0</v>
      </c>
      <c r="T3502" s="21">
        <v>0</v>
      </c>
      <c r="U3502" s="21">
        <v>0</v>
      </c>
      <c r="V3502" s="21">
        <v>0</v>
      </c>
      <c r="W3502" s="21">
        <v>0</v>
      </c>
      <c r="X3502" s="21">
        <v>0</v>
      </c>
      <c r="Y3502" s="21" t="s">
        <v>2276</v>
      </c>
      <c r="Z3502" s="21" t="s">
        <v>2276</v>
      </c>
      <c r="AA3502" s="21" t="s">
        <v>2276</v>
      </c>
      <c r="AB3502" s="21" t="s">
        <v>2276</v>
      </c>
      <c r="AC3502" s="4" t="s">
        <v>9184</v>
      </c>
      <c r="AD3502" s="4" t="s">
        <v>9241</v>
      </c>
    </row>
    <row r="3503" spans="1:30" ht="93.5" customHeight="1">
      <c r="A3503" s="11" t="s">
        <v>9167</v>
      </c>
      <c r="B3503" s="11" t="s">
        <v>9207</v>
      </c>
      <c r="C3503" s="204" t="s">
        <v>2458</v>
      </c>
      <c r="D3503" s="204" t="s">
        <v>2276</v>
      </c>
      <c r="E3503" s="204" t="s">
        <v>1105</v>
      </c>
      <c r="F3503" s="4" t="s">
        <v>2276</v>
      </c>
      <c r="G3503" s="4" t="s">
        <v>2662</v>
      </c>
      <c r="H3503" s="4" t="s">
        <v>523</v>
      </c>
      <c r="I3503" s="204"/>
      <c r="J3503" s="177">
        <v>2.0285675519645847E-4</v>
      </c>
      <c r="K3503" s="177" t="s">
        <v>2276</v>
      </c>
      <c r="L3503" s="177" t="s">
        <v>2276</v>
      </c>
      <c r="M3503" s="177" t="s">
        <v>2276</v>
      </c>
      <c r="N3503" s="177" t="s">
        <v>2276</v>
      </c>
      <c r="O3503" s="177" t="s">
        <v>2276</v>
      </c>
      <c r="P3503" s="21">
        <v>1.3245357010239305</v>
      </c>
      <c r="Q3503" s="177" t="s">
        <v>2276</v>
      </c>
      <c r="R3503" s="177" t="s">
        <v>2276</v>
      </c>
      <c r="S3503" s="177" t="s">
        <v>2276</v>
      </c>
      <c r="T3503" s="21">
        <v>16.680000000000003</v>
      </c>
      <c r="U3503" s="177" t="s">
        <v>2276</v>
      </c>
      <c r="V3503" s="177" t="s">
        <v>2276</v>
      </c>
      <c r="W3503" s="177" t="s">
        <v>2276</v>
      </c>
      <c r="X3503" s="177" t="s">
        <v>2276</v>
      </c>
      <c r="Y3503" s="177" t="s">
        <v>2276</v>
      </c>
      <c r="Z3503" s="177" t="s">
        <v>2276</v>
      </c>
      <c r="AA3503" s="177" t="s">
        <v>2276</v>
      </c>
      <c r="AB3503" s="177" t="s">
        <v>2276</v>
      </c>
      <c r="AC3503" s="4" t="s">
        <v>9184</v>
      </c>
      <c r="AD3503" s="4" t="s">
        <v>9241</v>
      </c>
    </row>
    <row r="3504" spans="1:30" ht="93.5" customHeight="1">
      <c r="A3504" s="11" t="s">
        <v>9168</v>
      </c>
      <c r="B3504" s="11" t="s">
        <v>9208</v>
      </c>
      <c r="C3504" s="204" t="s">
        <v>2458</v>
      </c>
      <c r="D3504" s="204" t="s">
        <v>2276</v>
      </c>
      <c r="E3504" s="204" t="s">
        <v>1105</v>
      </c>
      <c r="F3504" s="4" t="s">
        <v>2276</v>
      </c>
      <c r="G3504" s="4" t="s">
        <v>2662</v>
      </c>
      <c r="H3504" s="4" t="s">
        <v>523</v>
      </c>
      <c r="I3504" s="204"/>
      <c r="J3504" s="177">
        <v>1.1171376305346571E-3</v>
      </c>
      <c r="K3504" s="177" t="s">
        <v>2276</v>
      </c>
      <c r="L3504" s="177" t="s">
        <v>2276</v>
      </c>
      <c r="M3504" s="177" t="s">
        <v>2276</v>
      </c>
      <c r="N3504" s="177" t="s">
        <v>2276</v>
      </c>
      <c r="O3504" s="177" t="s">
        <v>2276</v>
      </c>
      <c r="P3504" s="21">
        <v>18.177654221418891</v>
      </c>
      <c r="Q3504" s="177" t="s">
        <v>2276</v>
      </c>
      <c r="R3504" s="177" t="s">
        <v>2276</v>
      </c>
      <c r="S3504" s="177" t="s">
        <v>2276</v>
      </c>
      <c r="T3504" s="21">
        <v>740.98041666666677</v>
      </c>
      <c r="U3504" s="177" t="s">
        <v>2276</v>
      </c>
      <c r="V3504" s="177" t="s">
        <v>2276</v>
      </c>
      <c r="W3504" s="177" t="s">
        <v>2276</v>
      </c>
      <c r="X3504" s="177" t="s">
        <v>2276</v>
      </c>
      <c r="Y3504" s="177" t="s">
        <v>2276</v>
      </c>
      <c r="Z3504" s="177" t="s">
        <v>2276</v>
      </c>
      <c r="AA3504" s="177" t="s">
        <v>2276</v>
      </c>
      <c r="AB3504" s="177" t="s">
        <v>2276</v>
      </c>
      <c r="AC3504" s="4" t="s">
        <v>9184</v>
      </c>
      <c r="AD3504" s="4" t="s">
        <v>9241</v>
      </c>
    </row>
    <row r="3505" spans="1:30" ht="93.5" customHeight="1">
      <c r="A3505" s="11" t="s">
        <v>9169</v>
      </c>
      <c r="B3505" s="11" t="s">
        <v>9209</v>
      </c>
      <c r="C3505" s="204" t="s">
        <v>2458</v>
      </c>
      <c r="D3505" s="204" t="s">
        <v>2276</v>
      </c>
      <c r="E3505" s="204" t="s">
        <v>1105</v>
      </c>
      <c r="F3505" s="4" t="s">
        <v>2276</v>
      </c>
      <c r="G3505" s="4" t="s">
        <v>2662</v>
      </c>
      <c r="H3505" s="4" t="s">
        <v>523</v>
      </c>
      <c r="I3505" s="204"/>
      <c r="J3505" s="177">
        <v>5.5554369636681901E-2</v>
      </c>
      <c r="K3505" s="177" t="s">
        <v>2276</v>
      </c>
      <c r="L3505" s="177" t="s">
        <v>2276</v>
      </c>
      <c r="M3505" s="177" t="s">
        <v>2276</v>
      </c>
      <c r="N3505" s="177" t="s">
        <v>2276</v>
      </c>
      <c r="O3505" s="177" t="s">
        <v>2276</v>
      </c>
      <c r="P3505" s="21">
        <v>10.499276691012254</v>
      </c>
      <c r="Q3505" s="177" t="s">
        <v>2276</v>
      </c>
      <c r="R3505" s="177" t="s">
        <v>2276</v>
      </c>
      <c r="S3505" s="177" t="s">
        <v>2276</v>
      </c>
      <c r="T3505" s="21">
        <v>8696.9858333333323</v>
      </c>
      <c r="U3505" s="177" t="s">
        <v>2276</v>
      </c>
      <c r="V3505" s="177" t="s">
        <v>2276</v>
      </c>
      <c r="W3505" s="177" t="s">
        <v>2276</v>
      </c>
      <c r="X3505" s="177" t="s">
        <v>2276</v>
      </c>
      <c r="Y3505" s="177" t="s">
        <v>2276</v>
      </c>
      <c r="Z3505" s="177" t="s">
        <v>2276</v>
      </c>
      <c r="AA3505" s="177" t="s">
        <v>2276</v>
      </c>
      <c r="AB3505" s="177" t="s">
        <v>2276</v>
      </c>
      <c r="AC3505" s="4" t="s">
        <v>9184</v>
      </c>
      <c r="AD3505" s="4" t="s">
        <v>9241</v>
      </c>
    </row>
    <row r="3506" spans="1:30" ht="93.5" customHeight="1">
      <c r="A3506" s="11" t="s">
        <v>9170</v>
      </c>
      <c r="B3506" s="11" t="s">
        <v>9210</v>
      </c>
      <c r="C3506" s="204" t="s">
        <v>2458</v>
      </c>
      <c r="D3506" s="204" t="s">
        <v>2276</v>
      </c>
      <c r="E3506" s="204" t="s">
        <v>1105</v>
      </c>
      <c r="F3506" s="4" t="s">
        <v>2276</v>
      </c>
      <c r="G3506" s="4" t="s">
        <v>2662</v>
      </c>
      <c r="H3506" s="4" t="s">
        <v>523</v>
      </c>
      <c r="I3506" s="204"/>
      <c r="J3506" s="177">
        <v>2.7876063104590013E-2</v>
      </c>
      <c r="K3506" s="177" t="s">
        <v>2276</v>
      </c>
      <c r="L3506" s="177" t="s">
        <v>2276</v>
      </c>
      <c r="M3506" s="177" t="s">
        <v>2276</v>
      </c>
      <c r="N3506" s="177" t="s">
        <v>2276</v>
      </c>
      <c r="O3506" s="177" t="s">
        <v>2276</v>
      </c>
      <c r="P3506" s="21">
        <v>9.4764085932472373</v>
      </c>
      <c r="Q3506" s="177" t="s">
        <v>2276</v>
      </c>
      <c r="R3506" s="177" t="s">
        <v>2276</v>
      </c>
      <c r="S3506" s="177" t="s">
        <v>2276</v>
      </c>
      <c r="T3506" s="21">
        <v>3993.9150000000004</v>
      </c>
      <c r="U3506" s="177" t="s">
        <v>2276</v>
      </c>
      <c r="V3506" s="177" t="s">
        <v>2276</v>
      </c>
      <c r="W3506" s="177" t="s">
        <v>2276</v>
      </c>
      <c r="X3506" s="177" t="s">
        <v>2276</v>
      </c>
      <c r="Y3506" s="177" t="s">
        <v>2276</v>
      </c>
      <c r="Z3506" s="177" t="s">
        <v>2276</v>
      </c>
      <c r="AA3506" s="177" t="s">
        <v>2276</v>
      </c>
      <c r="AB3506" s="177" t="s">
        <v>2276</v>
      </c>
      <c r="AC3506" s="4" t="s">
        <v>9184</v>
      </c>
      <c r="AD3506" s="4" t="s">
        <v>9241</v>
      </c>
    </row>
    <row r="3507" spans="1:30" ht="93.5" customHeight="1">
      <c r="A3507" s="11" t="s">
        <v>9171</v>
      </c>
      <c r="B3507" s="11" t="s">
        <v>9211</v>
      </c>
      <c r="C3507" s="204" t="s">
        <v>2458</v>
      </c>
      <c r="D3507" s="204" t="s">
        <v>2276</v>
      </c>
      <c r="E3507" s="204" t="s">
        <v>1105</v>
      </c>
      <c r="F3507" s="4" t="s">
        <v>2276</v>
      </c>
      <c r="G3507" s="4" t="s">
        <v>2662</v>
      </c>
      <c r="H3507" s="4" t="s">
        <v>523</v>
      </c>
      <c r="I3507" s="204"/>
      <c r="J3507" s="177">
        <v>1.6107788694290189E-2</v>
      </c>
      <c r="K3507" s="177" t="s">
        <v>2276</v>
      </c>
      <c r="L3507" s="177" t="s">
        <v>2276</v>
      </c>
      <c r="M3507" s="177" t="s">
        <v>2276</v>
      </c>
      <c r="N3507" s="177" t="s">
        <v>2276</v>
      </c>
      <c r="O3507" s="177" t="s">
        <v>2276</v>
      </c>
      <c r="P3507" s="21">
        <v>23.052898499498635</v>
      </c>
      <c r="Q3507" s="177" t="s">
        <v>2276</v>
      </c>
      <c r="R3507" s="177" t="s">
        <v>2276</v>
      </c>
      <c r="S3507" s="177" t="s">
        <v>2276</v>
      </c>
      <c r="T3507" s="21">
        <v>6093.1358333333337</v>
      </c>
      <c r="U3507" s="177" t="s">
        <v>2276</v>
      </c>
      <c r="V3507" s="177" t="s">
        <v>2276</v>
      </c>
      <c r="W3507" s="177" t="s">
        <v>2276</v>
      </c>
      <c r="X3507" s="177" t="s">
        <v>2276</v>
      </c>
      <c r="Y3507" s="177" t="s">
        <v>2276</v>
      </c>
      <c r="Z3507" s="177" t="s">
        <v>2276</v>
      </c>
      <c r="AA3507" s="177" t="s">
        <v>2276</v>
      </c>
      <c r="AB3507" s="177" t="s">
        <v>2276</v>
      </c>
      <c r="AC3507" s="4" t="s">
        <v>9184</v>
      </c>
      <c r="AD3507" s="4" t="s">
        <v>9241</v>
      </c>
    </row>
    <row r="3508" spans="1:30" ht="93.5" customHeight="1">
      <c r="A3508" s="11" t="s">
        <v>9172</v>
      </c>
      <c r="B3508" s="11" t="s">
        <v>9212</v>
      </c>
      <c r="C3508" s="204" t="s">
        <v>2458</v>
      </c>
      <c r="D3508" s="204" t="s">
        <v>2276</v>
      </c>
      <c r="E3508" s="204" t="s">
        <v>1105</v>
      </c>
      <c r="F3508" s="4" t="s">
        <v>2276</v>
      </c>
      <c r="G3508" s="4" t="s">
        <v>2662</v>
      </c>
      <c r="H3508" s="4" t="s">
        <v>523</v>
      </c>
      <c r="I3508" s="204"/>
      <c r="J3508" s="177">
        <v>1.23241935430633E-2</v>
      </c>
      <c r="K3508" s="177" t="s">
        <v>2276</v>
      </c>
      <c r="L3508" s="177" t="s">
        <v>2276</v>
      </c>
      <c r="M3508" s="177" t="s">
        <v>2276</v>
      </c>
      <c r="N3508" s="177" t="s">
        <v>2276</v>
      </c>
      <c r="O3508" s="177" t="s">
        <v>2276</v>
      </c>
      <c r="P3508" s="21">
        <v>13.818700816290672</v>
      </c>
      <c r="Q3508" s="177" t="s">
        <v>2276</v>
      </c>
      <c r="R3508" s="177" t="s">
        <v>2276</v>
      </c>
      <c r="S3508" s="177" t="s">
        <v>2276</v>
      </c>
      <c r="T3508" s="21">
        <v>4945.1245833333342</v>
      </c>
      <c r="U3508" s="177" t="s">
        <v>2276</v>
      </c>
      <c r="V3508" s="177" t="s">
        <v>2276</v>
      </c>
      <c r="W3508" s="177" t="s">
        <v>2276</v>
      </c>
      <c r="X3508" s="177" t="s">
        <v>2276</v>
      </c>
      <c r="Y3508" s="177" t="s">
        <v>2276</v>
      </c>
      <c r="Z3508" s="177" t="s">
        <v>2276</v>
      </c>
      <c r="AA3508" s="177" t="s">
        <v>2276</v>
      </c>
      <c r="AB3508" s="177" t="s">
        <v>2276</v>
      </c>
      <c r="AC3508" s="4" t="s">
        <v>9184</v>
      </c>
      <c r="AD3508" s="4" t="s">
        <v>9241</v>
      </c>
    </row>
    <row r="3509" spans="1:30" ht="93.5" customHeight="1">
      <c r="A3509" s="11" t="s">
        <v>9173</v>
      </c>
      <c r="B3509" s="11" t="s">
        <v>9213</v>
      </c>
      <c r="C3509" s="204" t="s">
        <v>2458</v>
      </c>
      <c r="D3509" s="204" t="s">
        <v>2276</v>
      </c>
      <c r="E3509" s="204" t="s">
        <v>1105</v>
      </c>
      <c r="F3509" s="4" t="s">
        <v>2276</v>
      </c>
      <c r="G3509" s="4" t="s">
        <v>2662</v>
      </c>
      <c r="H3509" s="4" t="s">
        <v>524</v>
      </c>
      <c r="I3509" s="204"/>
      <c r="J3509" s="177">
        <v>0</v>
      </c>
      <c r="K3509" s="21">
        <v>0</v>
      </c>
      <c r="L3509" s="21">
        <v>0</v>
      </c>
      <c r="M3509" s="21">
        <v>0</v>
      </c>
      <c r="N3509" s="21">
        <v>0</v>
      </c>
      <c r="O3509" s="21">
        <v>0</v>
      </c>
      <c r="P3509" s="204">
        <v>0</v>
      </c>
      <c r="Q3509" s="21">
        <v>0</v>
      </c>
      <c r="R3509" s="21">
        <v>0</v>
      </c>
      <c r="S3509" s="21">
        <v>0</v>
      </c>
      <c r="T3509" s="21">
        <v>0</v>
      </c>
      <c r="U3509" s="21">
        <v>0</v>
      </c>
      <c r="V3509" s="21">
        <v>0</v>
      </c>
      <c r="W3509" s="21">
        <v>0</v>
      </c>
      <c r="X3509" s="21">
        <v>0</v>
      </c>
      <c r="Y3509" s="177" t="s">
        <v>2276</v>
      </c>
      <c r="Z3509" s="177" t="s">
        <v>2276</v>
      </c>
      <c r="AA3509" s="177" t="s">
        <v>2276</v>
      </c>
      <c r="AB3509" s="177" t="s">
        <v>2276</v>
      </c>
      <c r="AC3509" s="4" t="s">
        <v>9184</v>
      </c>
      <c r="AD3509" s="4" t="s">
        <v>9241</v>
      </c>
    </row>
    <row r="3510" spans="1:30" ht="93.5" customHeight="1">
      <c r="A3510" s="11" t="s">
        <v>9174</v>
      </c>
      <c r="B3510" s="11" t="s">
        <v>9214</v>
      </c>
      <c r="C3510" s="204" t="s">
        <v>2458</v>
      </c>
      <c r="D3510" s="204" t="s">
        <v>2276</v>
      </c>
      <c r="E3510" s="204" t="s">
        <v>1105</v>
      </c>
      <c r="F3510" s="4" t="s">
        <v>2276</v>
      </c>
      <c r="G3510" s="4" t="s">
        <v>2662</v>
      </c>
      <c r="H3510" s="4" t="s">
        <v>523</v>
      </c>
      <c r="I3510" s="204"/>
      <c r="J3510" s="177">
        <v>7.4673227236830717E-2</v>
      </c>
      <c r="K3510" s="177" t="s">
        <v>2276</v>
      </c>
      <c r="L3510" s="177" t="s">
        <v>2276</v>
      </c>
      <c r="M3510" s="177" t="s">
        <v>2276</v>
      </c>
      <c r="N3510" s="177" t="s">
        <v>2276</v>
      </c>
      <c r="O3510" s="177" t="s">
        <v>2276</v>
      </c>
      <c r="P3510" s="21">
        <v>5.8981327260473284</v>
      </c>
      <c r="Q3510" s="177" t="s">
        <v>2276</v>
      </c>
      <c r="R3510" s="177" t="s">
        <v>2276</v>
      </c>
      <c r="S3510" s="177" t="s">
        <v>2276</v>
      </c>
      <c r="T3510" s="21">
        <v>10888.055416666666</v>
      </c>
      <c r="U3510" s="177" t="s">
        <v>2276</v>
      </c>
      <c r="V3510" s="177" t="s">
        <v>2276</v>
      </c>
      <c r="W3510" s="177" t="s">
        <v>2276</v>
      </c>
      <c r="X3510" s="177" t="s">
        <v>2276</v>
      </c>
      <c r="Y3510" s="177" t="s">
        <v>2276</v>
      </c>
      <c r="Z3510" s="177" t="s">
        <v>2276</v>
      </c>
      <c r="AA3510" s="177" t="s">
        <v>2276</v>
      </c>
      <c r="AB3510" s="177" t="s">
        <v>2276</v>
      </c>
      <c r="AC3510" s="4" t="s">
        <v>9184</v>
      </c>
      <c r="AD3510" s="4" t="s">
        <v>9241</v>
      </c>
    </row>
    <row r="3511" spans="1:30" ht="93.5" customHeight="1">
      <c r="A3511" s="11" t="s">
        <v>9175</v>
      </c>
      <c r="B3511" s="11" t="s">
        <v>9215</v>
      </c>
      <c r="C3511" s="204" t="s">
        <v>2458</v>
      </c>
      <c r="D3511" s="204" t="s">
        <v>2276</v>
      </c>
      <c r="E3511" s="204" t="s">
        <v>1105</v>
      </c>
      <c r="F3511" s="4" t="s">
        <v>2276</v>
      </c>
      <c r="G3511" s="4" t="s">
        <v>2662</v>
      </c>
      <c r="H3511" s="4" t="s">
        <v>523</v>
      </c>
      <c r="I3511" s="204"/>
      <c r="J3511" s="177">
        <v>2.100717180186942E-2</v>
      </c>
      <c r="K3511" s="177" t="s">
        <v>2276</v>
      </c>
      <c r="L3511" s="177" t="s">
        <v>2276</v>
      </c>
      <c r="M3511" s="177" t="s">
        <v>2276</v>
      </c>
      <c r="N3511" s="177" t="s">
        <v>2276</v>
      </c>
      <c r="O3511" s="177" t="s">
        <v>2276</v>
      </c>
      <c r="P3511" s="21">
        <v>12.829639954136971</v>
      </c>
      <c r="Q3511" s="177" t="s">
        <v>2276</v>
      </c>
      <c r="R3511" s="177" t="s">
        <v>2276</v>
      </c>
      <c r="S3511" s="177" t="s">
        <v>2276</v>
      </c>
      <c r="T3511" s="21">
        <v>6352.9495833333322</v>
      </c>
      <c r="U3511" s="177" t="s">
        <v>2276</v>
      </c>
      <c r="V3511" s="177" t="s">
        <v>2276</v>
      </c>
      <c r="W3511" s="177" t="s">
        <v>2276</v>
      </c>
      <c r="X3511" s="177" t="s">
        <v>2276</v>
      </c>
      <c r="Y3511" s="177" t="s">
        <v>2276</v>
      </c>
      <c r="Z3511" s="177" t="s">
        <v>2276</v>
      </c>
      <c r="AA3511" s="177" t="s">
        <v>2276</v>
      </c>
      <c r="AB3511" s="177" t="s">
        <v>2276</v>
      </c>
      <c r="AC3511" s="4" t="s">
        <v>9184</v>
      </c>
      <c r="AD3511" s="4" t="s">
        <v>9241</v>
      </c>
    </row>
    <row r="3512" spans="1:30" ht="93.5" customHeight="1">
      <c r="A3512" s="11" t="s">
        <v>9176</v>
      </c>
      <c r="B3512" s="11" t="s">
        <v>9216</v>
      </c>
      <c r="C3512" s="204" t="s">
        <v>2458</v>
      </c>
      <c r="D3512" s="204" t="s">
        <v>2276</v>
      </c>
      <c r="E3512" s="204" t="s">
        <v>1105</v>
      </c>
      <c r="F3512" s="4" t="s">
        <v>2276</v>
      </c>
      <c r="G3512" s="4" t="s">
        <v>2662</v>
      </c>
      <c r="H3512" s="4" t="s">
        <v>523</v>
      </c>
      <c r="I3512" s="204"/>
      <c r="J3512" s="177">
        <v>6.1145174855530534E-3</v>
      </c>
      <c r="K3512" s="177" t="s">
        <v>2276</v>
      </c>
      <c r="L3512" s="177" t="s">
        <v>2276</v>
      </c>
      <c r="M3512" s="177" t="s">
        <v>2276</v>
      </c>
      <c r="N3512" s="177" t="s">
        <v>2276</v>
      </c>
      <c r="O3512" s="177" t="s">
        <v>2276</v>
      </c>
      <c r="P3512" s="21">
        <v>6.8406474775289121</v>
      </c>
      <c r="Q3512" s="177" t="s">
        <v>2276</v>
      </c>
      <c r="R3512" s="177" t="s">
        <v>2276</v>
      </c>
      <c r="S3512" s="177" t="s">
        <v>2276</v>
      </c>
      <c r="T3512" s="21">
        <v>1158.8437500000002</v>
      </c>
      <c r="U3512" s="177" t="s">
        <v>2276</v>
      </c>
      <c r="V3512" s="177" t="s">
        <v>2276</v>
      </c>
      <c r="W3512" s="177" t="s">
        <v>2276</v>
      </c>
      <c r="X3512" s="177" t="s">
        <v>2276</v>
      </c>
      <c r="Y3512" s="177" t="s">
        <v>2276</v>
      </c>
      <c r="Z3512" s="177" t="s">
        <v>2276</v>
      </c>
      <c r="AA3512" s="177" t="s">
        <v>2276</v>
      </c>
      <c r="AB3512" s="177" t="s">
        <v>2276</v>
      </c>
      <c r="AC3512" s="4" t="s">
        <v>9184</v>
      </c>
      <c r="AD3512" s="4" t="s">
        <v>9241</v>
      </c>
    </row>
    <row r="3513" spans="1:30" ht="93.5" customHeight="1">
      <c r="A3513" s="11" t="s">
        <v>9177</v>
      </c>
      <c r="B3513" s="11" t="s">
        <v>9217</v>
      </c>
      <c r="C3513" s="204" t="s">
        <v>2458</v>
      </c>
      <c r="D3513" s="204" t="s">
        <v>2276</v>
      </c>
      <c r="E3513" s="204" t="s">
        <v>1105</v>
      </c>
      <c r="F3513" s="4" t="s">
        <v>2276</v>
      </c>
      <c r="G3513" s="4" t="s">
        <v>2662</v>
      </c>
      <c r="H3513" s="4" t="s">
        <v>523</v>
      </c>
      <c r="I3513" s="204"/>
      <c r="J3513" s="177">
        <v>6.7563951621534843E-3</v>
      </c>
      <c r="K3513" s="177" t="s">
        <v>2276</v>
      </c>
      <c r="L3513" s="177" t="s">
        <v>2276</v>
      </c>
      <c r="M3513" s="177" t="s">
        <v>2276</v>
      </c>
      <c r="N3513" s="177" t="s">
        <v>2276</v>
      </c>
      <c r="O3513" s="177" t="s">
        <v>2276</v>
      </c>
      <c r="P3513" s="21">
        <v>12.750870263836982</v>
      </c>
      <c r="Q3513" s="177" t="s">
        <v>2276</v>
      </c>
      <c r="R3513" s="177" t="s">
        <v>2276</v>
      </c>
      <c r="S3513" s="177" t="s">
        <v>2276</v>
      </c>
      <c r="T3513" s="21">
        <v>5597.1874999999991</v>
      </c>
      <c r="U3513" s="177" t="s">
        <v>2276</v>
      </c>
      <c r="V3513" s="177" t="s">
        <v>2276</v>
      </c>
      <c r="W3513" s="177" t="s">
        <v>2276</v>
      </c>
      <c r="X3513" s="177" t="s">
        <v>2276</v>
      </c>
      <c r="Y3513" s="177" t="s">
        <v>2276</v>
      </c>
      <c r="Z3513" s="177" t="s">
        <v>2276</v>
      </c>
      <c r="AA3513" s="177" t="s">
        <v>2276</v>
      </c>
      <c r="AB3513" s="177" t="s">
        <v>2276</v>
      </c>
      <c r="AC3513" s="4" t="s">
        <v>9184</v>
      </c>
      <c r="AD3513" s="4" t="s">
        <v>9241</v>
      </c>
    </row>
    <row r="3514" spans="1:30" ht="93.5" customHeight="1">
      <c r="A3514" s="11" t="s">
        <v>9178</v>
      </c>
      <c r="B3514" s="11" t="s">
        <v>9218</v>
      </c>
      <c r="C3514" s="204" t="s">
        <v>2458</v>
      </c>
      <c r="D3514" s="204" t="s">
        <v>2276</v>
      </c>
      <c r="E3514" s="204" t="s">
        <v>1105</v>
      </c>
      <c r="F3514" s="4" t="s">
        <v>2276</v>
      </c>
      <c r="G3514" s="4" t="s">
        <v>2662</v>
      </c>
      <c r="H3514" s="4" t="s">
        <v>523</v>
      </c>
      <c r="I3514" s="204"/>
      <c r="J3514" s="177">
        <v>6.1293486115412412E-4</v>
      </c>
      <c r="K3514" s="177" t="s">
        <v>2276</v>
      </c>
      <c r="L3514" s="177" t="s">
        <v>2276</v>
      </c>
      <c r="M3514" s="177" t="s">
        <v>2276</v>
      </c>
      <c r="N3514" s="177" t="s">
        <v>2276</v>
      </c>
      <c r="O3514" s="177" t="s">
        <v>2276</v>
      </c>
      <c r="P3514" s="21">
        <v>53.747562203343733</v>
      </c>
      <c r="Q3514" s="177" t="s">
        <v>2276</v>
      </c>
      <c r="R3514" s="177" t="s">
        <v>2276</v>
      </c>
      <c r="S3514" s="177" t="s">
        <v>2276</v>
      </c>
      <c r="T3514" s="21">
        <v>3019.1504166666668</v>
      </c>
      <c r="U3514" s="177" t="s">
        <v>2276</v>
      </c>
      <c r="V3514" s="177" t="s">
        <v>2276</v>
      </c>
      <c r="W3514" s="177" t="s">
        <v>2276</v>
      </c>
      <c r="X3514" s="177" t="s">
        <v>2276</v>
      </c>
      <c r="Y3514" s="177" t="s">
        <v>2276</v>
      </c>
      <c r="Z3514" s="177" t="s">
        <v>2276</v>
      </c>
      <c r="AA3514" s="177" t="s">
        <v>2276</v>
      </c>
      <c r="AB3514" s="177" t="s">
        <v>2276</v>
      </c>
      <c r="AC3514" s="4" t="s">
        <v>9184</v>
      </c>
      <c r="AD3514" s="4" t="s">
        <v>9241</v>
      </c>
    </row>
    <row r="3515" spans="1:30" s="203" customFormat="1" ht="93.5" customHeight="1">
      <c r="A3515" s="11" t="s">
        <v>9178</v>
      </c>
      <c r="B3515" s="11" t="s">
        <v>9237</v>
      </c>
      <c r="C3515" s="204" t="s">
        <v>2458</v>
      </c>
      <c r="D3515" s="204" t="s">
        <v>2276</v>
      </c>
      <c r="E3515" s="204" t="s">
        <v>1105</v>
      </c>
      <c r="F3515" s="4" t="s">
        <v>2276</v>
      </c>
      <c r="G3515" s="4" t="s">
        <v>2662</v>
      </c>
      <c r="H3515" s="4" t="s">
        <v>523</v>
      </c>
      <c r="I3515" s="204"/>
      <c r="J3515" s="177">
        <v>1.6787473483350981E-4</v>
      </c>
      <c r="K3515" s="177" t="s">
        <v>2276</v>
      </c>
      <c r="L3515" s="177" t="s">
        <v>2276</v>
      </c>
      <c r="M3515" s="177" t="s">
        <v>2276</v>
      </c>
      <c r="N3515" s="177" t="s">
        <v>2276</v>
      </c>
      <c r="O3515" s="177" t="s">
        <v>2276</v>
      </c>
      <c r="P3515" s="21">
        <v>48.87515129333309</v>
      </c>
      <c r="Q3515" s="177" t="s">
        <v>2276</v>
      </c>
      <c r="R3515" s="177" t="s">
        <v>2276</v>
      </c>
      <c r="S3515" s="177" t="s">
        <v>2276</v>
      </c>
      <c r="T3515" s="21">
        <v>1393.6225000000002</v>
      </c>
      <c r="U3515" s="177" t="s">
        <v>2276</v>
      </c>
      <c r="V3515" s="177" t="s">
        <v>2276</v>
      </c>
      <c r="W3515" s="177" t="s">
        <v>2276</v>
      </c>
      <c r="X3515" s="177" t="s">
        <v>2276</v>
      </c>
      <c r="Y3515" s="177" t="s">
        <v>2276</v>
      </c>
      <c r="Z3515" s="177" t="s">
        <v>2276</v>
      </c>
      <c r="AA3515" s="177" t="s">
        <v>2276</v>
      </c>
      <c r="AB3515" s="177" t="s">
        <v>2276</v>
      </c>
      <c r="AC3515" s="4" t="s">
        <v>9184</v>
      </c>
      <c r="AD3515" s="4" t="s">
        <v>9241</v>
      </c>
    </row>
    <row r="3516" spans="1:30" ht="93.5" customHeight="1">
      <c r="A3516" s="11" t="s">
        <v>9189</v>
      </c>
      <c r="B3516" s="11" t="s">
        <v>9219</v>
      </c>
      <c r="C3516" s="204" t="s">
        <v>2458</v>
      </c>
      <c r="D3516" s="204" t="s">
        <v>2276</v>
      </c>
      <c r="E3516" s="204" t="s">
        <v>1105</v>
      </c>
      <c r="F3516" s="4" t="s">
        <v>2276</v>
      </c>
      <c r="G3516" s="4" t="s">
        <v>2662</v>
      </c>
      <c r="H3516" s="4" t="s">
        <v>523</v>
      </c>
      <c r="I3516" s="204"/>
      <c r="J3516" s="177">
        <v>3.8522399293558463E-4</v>
      </c>
      <c r="K3516" s="177" t="s">
        <v>2276</v>
      </c>
      <c r="L3516" s="177" t="s">
        <v>2276</v>
      </c>
      <c r="M3516" s="177" t="s">
        <v>2276</v>
      </c>
      <c r="N3516" s="177" t="s">
        <v>2276</v>
      </c>
      <c r="O3516" s="177" t="s">
        <v>2276</v>
      </c>
      <c r="P3516" s="21">
        <v>0.77412071610011779</v>
      </c>
      <c r="Q3516" s="177" t="s">
        <v>2276</v>
      </c>
      <c r="R3516" s="177" t="s">
        <v>2276</v>
      </c>
      <c r="S3516" s="177" t="s">
        <v>2276</v>
      </c>
      <c r="T3516" s="21">
        <v>6.5</v>
      </c>
      <c r="U3516" s="177" t="s">
        <v>2276</v>
      </c>
      <c r="V3516" s="177" t="s">
        <v>2276</v>
      </c>
      <c r="W3516" s="177" t="s">
        <v>2276</v>
      </c>
      <c r="X3516" s="177" t="s">
        <v>2276</v>
      </c>
      <c r="Y3516" s="177" t="s">
        <v>2276</v>
      </c>
      <c r="Z3516" s="177" t="s">
        <v>2276</v>
      </c>
      <c r="AA3516" s="177" t="s">
        <v>2276</v>
      </c>
      <c r="AB3516" s="177" t="s">
        <v>2276</v>
      </c>
      <c r="AC3516" s="4" t="s">
        <v>9184</v>
      </c>
      <c r="AD3516" s="4" t="s">
        <v>9241</v>
      </c>
    </row>
    <row r="3517" spans="1:30" ht="93.5" customHeight="1">
      <c r="A3517" s="11" t="s">
        <v>9190</v>
      </c>
      <c r="B3517" s="11" t="s">
        <v>9220</v>
      </c>
      <c r="C3517" s="204" t="s">
        <v>2458</v>
      </c>
      <c r="D3517" s="204" t="s">
        <v>2276</v>
      </c>
      <c r="E3517" s="204" t="s">
        <v>1105</v>
      </c>
      <c r="F3517" s="4" t="s">
        <v>2276</v>
      </c>
      <c r="G3517" s="4" t="s">
        <v>2662</v>
      </c>
      <c r="H3517" s="4" t="s">
        <v>523</v>
      </c>
      <c r="I3517" s="204"/>
      <c r="J3517" s="177">
        <v>7.9745770483697978E-5</v>
      </c>
      <c r="K3517" s="177" t="s">
        <v>2276</v>
      </c>
      <c r="L3517" s="177" t="s">
        <v>2276</v>
      </c>
      <c r="M3517" s="177" t="s">
        <v>2276</v>
      </c>
      <c r="N3517" s="177" t="s">
        <v>2276</v>
      </c>
      <c r="O3517" s="177" t="s">
        <v>2276</v>
      </c>
      <c r="P3517" s="21">
        <v>0.98988382452352075</v>
      </c>
      <c r="Q3517" s="177" t="s">
        <v>2276</v>
      </c>
      <c r="R3517" s="177" t="s">
        <v>2276</v>
      </c>
      <c r="S3517" s="177" t="s">
        <v>2276</v>
      </c>
      <c r="T3517" s="21">
        <v>3.3333333333333335</v>
      </c>
      <c r="U3517" s="177" t="s">
        <v>2276</v>
      </c>
      <c r="V3517" s="177" t="s">
        <v>2276</v>
      </c>
      <c r="W3517" s="177" t="s">
        <v>2276</v>
      </c>
      <c r="X3517" s="177" t="s">
        <v>2276</v>
      </c>
      <c r="Y3517" s="177" t="s">
        <v>2276</v>
      </c>
      <c r="Z3517" s="177" t="s">
        <v>2276</v>
      </c>
      <c r="AA3517" s="177" t="s">
        <v>2276</v>
      </c>
      <c r="AB3517" s="177" t="s">
        <v>2276</v>
      </c>
      <c r="AC3517" s="4" t="s">
        <v>9184</v>
      </c>
      <c r="AD3517" s="4" t="s">
        <v>9241</v>
      </c>
    </row>
    <row r="3518" spans="1:30" ht="93.5" customHeight="1">
      <c r="A3518" s="11" t="s">
        <v>9191</v>
      </c>
      <c r="B3518" s="11" t="s">
        <v>9221</v>
      </c>
      <c r="C3518" s="204" t="s">
        <v>2458</v>
      </c>
      <c r="D3518" s="204" t="s">
        <v>2276</v>
      </c>
      <c r="E3518" s="204" t="s">
        <v>1105</v>
      </c>
      <c r="F3518" s="4" t="s">
        <v>2276</v>
      </c>
      <c r="G3518" s="4" t="s">
        <v>2662</v>
      </c>
      <c r="H3518" s="4" t="s">
        <v>523</v>
      </c>
      <c r="I3518" s="204"/>
      <c r="J3518" s="177">
        <v>4.3633790324563999E-5</v>
      </c>
      <c r="K3518" s="177" t="s">
        <v>2276</v>
      </c>
      <c r="L3518" s="177" t="s">
        <v>2276</v>
      </c>
      <c r="M3518" s="177" t="s">
        <v>2276</v>
      </c>
      <c r="N3518" s="177" t="s">
        <v>2276</v>
      </c>
      <c r="O3518" s="177" t="s">
        <v>2276</v>
      </c>
      <c r="P3518" s="21">
        <v>5.0688441192192145E-2</v>
      </c>
      <c r="Q3518" s="177" t="s">
        <v>2276</v>
      </c>
      <c r="R3518" s="177" t="s">
        <v>2276</v>
      </c>
      <c r="S3518" s="177" t="s">
        <v>2276</v>
      </c>
      <c r="T3518" s="21">
        <v>5.5</v>
      </c>
      <c r="U3518" s="177" t="s">
        <v>2276</v>
      </c>
      <c r="V3518" s="177" t="s">
        <v>2276</v>
      </c>
      <c r="W3518" s="177" t="s">
        <v>2276</v>
      </c>
      <c r="X3518" s="177" t="s">
        <v>2276</v>
      </c>
      <c r="Y3518" s="177" t="s">
        <v>2276</v>
      </c>
      <c r="Z3518" s="177" t="s">
        <v>2276</v>
      </c>
      <c r="AA3518" s="177" t="s">
        <v>2276</v>
      </c>
      <c r="AB3518" s="177" t="s">
        <v>2276</v>
      </c>
      <c r="AC3518" s="4" t="s">
        <v>9184</v>
      </c>
      <c r="AD3518" s="4" t="s">
        <v>9241</v>
      </c>
    </row>
    <row r="3519" spans="1:30" ht="93.5" customHeight="1">
      <c r="A3519" s="11" t="s">
        <v>9192</v>
      </c>
      <c r="B3519" s="11" t="s">
        <v>9222</v>
      </c>
      <c r="C3519" s="204" t="s">
        <v>2458</v>
      </c>
      <c r="D3519" s="204" t="s">
        <v>2276</v>
      </c>
      <c r="E3519" s="204" t="s">
        <v>1105</v>
      </c>
      <c r="F3519" s="4" t="s">
        <v>2276</v>
      </c>
      <c r="G3519" s="4" t="s">
        <v>2662</v>
      </c>
      <c r="H3519" s="4" t="s">
        <v>523</v>
      </c>
      <c r="I3519" s="204"/>
      <c r="J3519" s="177">
        <v>1.8556404819610462E-4</v>
      </c>
      <c r="K3519" s="177" t="s">
        <v>2276</v>
      </c>
      <c r="L3519" s="177" t="s">
        <v>2276</v>
      </c>
      <c r="M3519" s="177" t="s">
        <v>2276</v>
      </c>
      <c r="N3519" s="177" t="s">
        <v>2276</v>
      </c>
      <c r="O3519" s="177" t="s">
        <v>2276</v>
      </c>
      <c r="P3519" s="21">
        <v>2.6389760380487663</v>
      </c>
      <c r="Q3519" s="177" t="s">
        <v>2276</v>
      </c>
      <c r="R3519" s="177" t="s">
        <v>2276</v>
      </c>
      <c r="S3519" s="177" t="s">
        <v>2276</v>
      </c>
      <c r="T3519" s="21">
        <v>13.95</v>
      </c>
      <c r="U3519" s="177" t="s">
        <v>2276</v>
      </c>
      <c r="V3519" s="177" t="s">
        <v>2276</v>
      </c>
      <c r="W3519" s="177" t="s">
        <v>2276</v>
      </c>
      <c r="X3519" s="177" t="s">
        <v>2276</v>
      </c>
      <c r="Y3519" s="177" t="s">
        <v>2276</v>
      </c>
      <c r="Z3519" s="177" t="s">
        <v>2276</v>
      </c>
      <c r="AA3519" s="177" t="s">
        <v>2276</v>
      </c>
      <c r="AB3519" s="177" t="s">
        <v>2276</v>
      </c>
      <c r="AC3519" s="4" t="s">
        <v>9184</v>
      </c>
      <c r="AD3519" s="4" t="s">
        <v>9241</v>
      </c>
    </row>
    <row r="3520" spans="1:30" ht="93.5" customHeight="1">
      <c r="A3520" s="11" t="s">
        <v>9193</v>
      </c>
      <c r="B3520" s="11" t="s">
        <v>9223</v>
      </c>
      <c r="C3520" s="204" t="s">
        <v>2458</v>
      </c>
      <c r="D3520" s="204" t="s">
        <v>2276</v>
      </c>
      <c r="E3520" s="204" t="s">
        <v>1105</v>
      </c>
      <c r="F3520" s="4" t="s">
        <v>2276</v>
      </c>
      <c r="G3520" s="4" t="s">
        <v>2662</v>
      </c>
      <c r="H3520" s="4" t="s">
        <v>523</v>
      </c>
      <c r="I3520" s="204"/>
      <c r="J3520" s="177">
        <v>1.4810287851867549E-3</v>
      </c>
      <c r="K3520" s="177" t="s">
        <v>2276</v>
      </c>
      <c r="L3520" s="177" t="s">
        <v>2276</v>
      </c>
      <c r="M3520" s="177" t="s">
        <v>2276</v>
      </c>
      <c r="N3520" s="177" t="s">
        <v>2276</v>
      </c>
      <c r="O3520" s="177" t="s">
        <v>2276</v>
      </c>
      <c r="P3520" s="21">
        <v>17.389585107460128</v>
      </c>
      <c r="Q3520" s="177" t="s">
        <v>2276</v>
      </c>
      <c r="R3520" s="177" t="s">
        <v>2276</v>
      </c>
      <c r="S3520" s="177" t="s">
        <v>2276</v>
      </c>
      <c r="T3520" s="21">
        <v>60.1</v>
      </c>
      <c r="U3520" s="177" t="s">
        <v>2276</v>
      </c>
      <c r="V3520" s="177" t="s">
        <v>2276</v>
      </c>
      <c r="W3520" s="177" t="s">
        <v>2276</v>
      </c>
      <c r="X3520" s="177" t="s">
        <v>2276</v>
      </c>
      <c r="Y3520" s="177" t="s">
        <v>2276</v>
      </c>
      <c r="Z3520" s="177" t="s">
        <v>2276</v>
      </c>
      <c r="AA3520" s="177" t="s">
        <v>2276</v>
      </c>
      <c r="AB3520" s="177" t="s">
        <v>2276</v>
      </c>
      <c r="AC3520" s="4" t="s">
        <v>9184</v>
      </c>
      <c r="AD3520" s="4" t="s">
        <v>9241</v>
      </c>
    </row>
    <row r="3521" spans="1:30" ht="93.5" customHeight="1">
      <c r="A3521" s="11" t="s">
        <v>9194</v>
      </c>
      <c r="B3521" s="11" t="s">
        <v>9224</v>
      </c>
      <c r="C3521" s="204" t="s">
        <v>2458</v>
      </c>
      <c r="D3521" s="204" t="s">
        <v>2276</v>
      </c>
      <c r="E3521" s="204" t="s">
        <v>1105</v>
      </c>
      <c r="F3521" s="4" t="s">
        <v>2276</v>
      </c>
      <c r="G3521" s="4" t="s">
        <v>2662</v>
      </c>
      <c r="H3521" s="4" t="s">
        <v>523</v>
      </c>
      <c r="I3521" s="204"/>
      <c r="J3521" s="177">
        <v>5.4409280255670565E-2</v>
      </c>
      <c r="K3521" s="177" t="s">
        <v>2276</v>
      </c>
      <c r="L3521" s="177" t="s">
        <v>2276</v>
      </c>
      <c r="M3521" s="177" t="s">
        <v>2276</v>
      </c>
      <c r="N3521" s="177" t="s">
        <v>2276</v>
      </c>
      <c r="O3521" s="177" t="s">
        <v>2276</v>
      </c>
      <c r="P3521" s="21">
        <v>7.5970595679209199</v>
      </c>
      <c r="Q3521" s="177" t="s">
        <v>2276</v>
      </c>
      <c r="R3521" s="177" t="s">
        <v>2276</v>
      </c>
      <c r="S3521" s="177" t="s">
        <v>2276</v>
      </c>
      <c r="T3521" s="21">
        <v>892.1</v>
      </c>
      <c r="U3521" s="177" t="s">
        <v>2276</v>
      </c>
      <c r="V3521" s="177" t="s">
        <v>2276</v>
      </c>
      <c r="W3521" s="177" t="s">
        <v>2276</v>
      </c>
      <c r="X3521" s="177" t="s">
        <v>2276</v>
      </c>
      <c r="Y3521" s="177" t="s">
        <v>2276</v>
      </c>
      <c r="Z3521" s="177" t="s">
        <v>2276</v>
      </c>
      <c r="AA3521" s="177" t="s">
        <v>2276</v>
      </c>
      <c r="AB3521" s="177" t="s">
        <v>2276</v>
      </c>
      <c r="AC3521" s="4" t="s">
        <v>9184</v>
      </c>
      <c r="AD3521" s="4" t="s">
        <v>9241</v>
      </c>
    </row>
    <row r="3522" spans="1:30" ht="93.5" customHeight="1">
      <c r="A3522" s="11" t="s">
        <v>9195</v>
      </c>
      <c r="B3522" s="11" t="s">
        <v>9225</v>
      </c>
      <c r="C3522" s="204" t="s">
        <v>2458</v>
      </c>
      <c r="D3522" s="204" t="s">
        <v>2276</v>
      </c>
      <c r="E3522" s="204" t="s">
        <v>1105</v>
      </c>
      <c r="F3522" s="4" t="s">
        <v>2276</v>
      </c>
      <c r="G3522" s="4" t="s">
        <v>2662</v>
      </c>
      <c r="H3522" s="4" t="s">
        <v>523</v>
      </c>
      <c r="I3522" s="204"/>
      <c r="J3522" s="177">
        <v>2.985781990521327E-2</v>
      </c>
      <c r="K3522" s="177" t="s">
        <v>2276</v>
      </c>
      <c r="L3522" s="177" t="s">
        <v>2276</v>
      </c>
      <c r="M3522" s="177" t="s">
        <v>2276</v>
      </c>
      <c r="N3522" s="177" t="s">
        <v>2276</v>
      </c>
      <c r="O3522" s="177" t="s">
        <v>2276</v>
      </c>
      <c r="P3522" s="21">
        <v>15.798626898885079</v>
      </c>
      <c r="Q3522" s="177" t="s">
        <v>2276</v>
      </c>
      <c r="R3522" s="177" t="s">
        <v>2276</v>
      </c>
      <c r="S3522" s="177" t="s">
        <v>2276</v>
      </c>
      <c r="T3522" s="21">
        <v>459.9</v>
      </c>
      <c r="U3522" s="177" t="s">
        <v>2276</v>
      </c>
      <c r="V3522" s="177" t="s">
        <v>2276</v>
      </c>
      <c r="W3522" s="177" t="s">
        <v>2276</v>
      </c>
      <c r="X3522" s="177" t="s">
        <v>2276</v>
      </c>
      <c r="Y3522" s="177" t="s">
        <v>2276</v>
      </c>
      <c r="Z3522" s="177" t="s">
        <v>2276</v>
      </c>
      <c r="AA3522" s="177" t="s">
        <v>2276</v>
      </c>
      <c r="AB3522" s="177" t="s">
        <v>2276</v>
      </c>
      <c r="AC3522" s="4" t="s">
        <v>9184</v>
      </c>
      <c r="AD3522" s="4" t="s">
        <v>9241</v>
      </c>
    </row>
    <row r="3523" spans="1:30" ht="93.5" customHeight="1">
      <c r="A3523" s="11" t="s">
        <v>9196</v>
      </c>
      <c r="B3523" s="11" t="s">
        <v>9226</v>
      </c>
      <c r="C3523" s="204" t="s">
        <v>2458</v>
      </c>
      <c r="D3523" s="204" t="s">
        <v>2276</v>
      </c>
      <c r="E3523" s="204" t="s">
        <v>1105</v>
      </c>
      <c r="F3523" s="4" t="s">
        <v>2276</v>
      </c>
      <c r="G3523" s="4" t="s">
        <v>2662</v>
      </c>
      <c r="H3523" s="4" t="s">
        <v>523</v>
      </c>
      <c r="I3523" s="204"/>
      <c r="J3523" s="177">
        <v>1.499664368096662E-2</v>
      </c>
      <c r="K3523" s="177" t="s">
        <v>2276</v>
      </c>
      <c r="L3523" s="177" t="s">
        <v>2276</v>
      </c>
      <c r="M3523" s="177" t="s">
        <v>2276</v>
      </c>
      <c r="N3523" s="177" t="s">
        <v>2276</v>
      </c>
      <c r="O3523" s="177" t="s">
        <v>2276</v>
      </c>
      <c r="P3523" s="21">
        <v>46.306103585833718</v>
      </c>
      <c r="Q3523" s="177" t="s">
        <v>2276</v>
      </c>
      <c r="R3523" s="177" t="s">
        <v>2276</v>
      </c>
      <c r="S3523" s="177" t="s">
        <v>2276</v>
      </c>
      <c r="T3523" s="21">
        <v>245.75</v>
      </c>
      <c r="U3523" s="177" t="s">
        <v>2276</v>
      </c>
      <c r="V3523" s="177" t="s">
        <v>2276</v>
      </c>
      <c r="W3523" s="177" t="s">
        <v>2276</v>
      </c>
      <c r="X3523" s="177" t="s">
        <v>2276</v>
      </c>
      <c r="Y3523" s="177" t="s">
        <v>2276</v>
      </c>
      <c r="Z3523" s="177" t="s">
        <v>2276</v>
      </c>
      <c r="AA3523" s="177" t="s">
        <v>2276</v>
      </c>
      <c r="AB3523" s="177" t="s">
        <v>2276</v>
      </c>
      <c r="AC3523" s="4" t="s">
        <v>9184</v>
      </c>
      <c r="AD3523" s="4" t="s">
        <v>9241</v>
      </c>
    </row>
    <row r="3524" spans="1:30" ht="93.5" customHeight="1">
      <c r="A3524" s="11" t="s">
        <v>9197</v>
      </c>
      <c r="B3524" s="11" t="s">
        <v>9227</v>
      </c>
      <c r="C3524" s="204" t="s">
        <v>2458</v>
      </c>
      <c r="D3524" s="204" t="s">
        <v>2276</v>
      </c>
      <c r="E3524" s="204" t="s">
        <v>1105</v>
      </c>
      <c r="F3524" s="4" t="s">
        <v>2276</v>
      </c>
      <c r="G3524" s="4" t="s">
        <v>2662</v>
      </c>
      <c r="H3524" s="4" t="s">
        <v>523</v>
      </c>
      <c r="I3524" s="204"/>
      <c r="J3524" s="177">
        <v>1.7956106561570633E-2</v>
      </c>
      <c r="K3524" s="177" t="s">
        <v>2276</v>
      </c>
      <c r="L3524" s="177" t="s">
        <v>2276</v>
      </c>
      <c r="M3524" s="177" t="s">
        <v>2276</v>
      </c>
      <c r="N3524" s="177" t="s">
        <v>2276</v>
      </c>
      <c r="O3524" s="177" t="s">
        <v>2276</v>
      </c>
      <c r="P3524" s="21">
        <v>31.697454903807746</v>
      </c>
      <c r="Q3524" s="177" t="s">
        <v>2276</v>
      </c>
      <c r="R3524" s="177" t="s">
        <v>2276</v>
      </c>
      <c r="S3524" s="177" t="s">
        <v>2276</v>
      </c>
      <c r="T3524" s="21">
        <v>544</v>
      </c>
      <c r="U3524" s="177" t="s">
        <v>2276</v>
      </c>
      <c r="V3524" s="177" t="s">
        <v>2276</v>
      </c>
      <c r="W3524" s="177" t="s">
        <v>2276</v>
      </c>
      <c r="X3524" s="177" t="s">
        <v>2276</v>
      </c>
      <c r="Y3524" s="177" t="s">
        <v>2276</v>
      </c>
      <c r="Z3524" s="177" t="s">
        <v>2276</v>
      </c>
      <c r="AA3524" s="177" t="s">
        <v>2276</v>
      </c>
      <c r="AB3524" s="177" t="s">
        <v>2276</v>
      </c>
      <c r="AC3524" s="4" t="s">
        <v>9184</v>
      </c>
      <c r="AD3524" s="4" t="s">
        <v>9241</v>
      </c>
    </row>
    <row r="3525" spans="1:30" ht="93.5" customHeight="1">
      <c r="A3525" s="11" t="s">
        <v>9198</v>
      </c>
      <c r="B3525" s="11" t="s">
        <v>9228</v>
      </c>
      <c r="C3525" s="204" t="s">
        <v>2458</v>
      </c>
      <c r="D3525" s="204" t="s">
        <v>2276</v>
      </c>
      <c r="E3525" s="204" t="s">
        <v>1105</v>
      </c>
      <c r="F3525" s="4" t="s">
        <v>2276</v>
      </c>
      <c r="G3525" s="4" t="s">
        <v>2662</v>
      </c>
      <c r="H3525" s="4" t="s">
        <v>523</v>
      </c>
      <c r="I3525" s="204"/>
      <c r="J3525" s="177">
        <v>3.9040862010092194E-2</v>
      </c>
      <c r="K3525" s="177" t="s">
        <v>2276</v>
      </c>
      <c r="L3525" s="177" t="s">
        <v>2276</v>
      </c>
      <c r="M3525" s="177" t="s">
        <v>2276</v>
      </c>
      <c r="N3525" s="177" t="s">
        <v>2276</v>
      </c>
      <c r="O3525" s="177" t="s">
        <v>2276</v>
      </c>
      <c r="P3525" s="21">
        <v>0.16805286773763461</v>
      </c>
      <c r="Q3525" s="177" t="s">
        <v>2276</v>
      </c>
      <c r="R3525" s="177" t="s">
        <v>2276</v>
      </c>
      <c r="S3525" s="177" t="s">
        <v>2276</v>
      </c>
      <c r="T3525" s="21">
        <v>514.5</v>
      </c>
      <c r="U3525" s="177" t="s">
        <v>2276</v>
      </c>
      <c r="V3525" s="177" t="s">
        <v>2276</v>
      </c>
      <c r="W3525" s="177" t="s">
        <v>2276</v>
      </c>
      <c r="X3525" s="177" t="s">
        <v>2276</v>
      </c>
      <c r="Y3525" s="177" t="s">
        <v>2276</v>
      </c>
      <c r="Z3525" s="177" t="s">
        <v>2276</v>
      </c>
      <c r="AA3525" s="177" t="s">
        <v>2276</v>
      </c>
      <c r="AB3525" s="177" t="s">
        <v>2276</v>
      </c>
      <c r="AC3525" s="4" t="s">
        <v>9184</v>
      </c>
      <c r="AD3525" s="4" t="s">
        <v>9241</v>
      </c>
    </row>
    <row r="3526" spans="1:30" ht="93.5" customHeight="1">
      <c r="A3526" s="11" t="s">
        <v>9199</v>
      </c>
      <c r="B3526" s="11" t="s">
        <v>9229</v>
      </c>
      <c r="C3526" s="204" t="s">
        <v>2458</v>
      </c>
      <c r="D3526" s="204" t="s">
        <v>2276</v>
      </c>
      <c r="E3526" s="204" t="s">
        <v>1105</v>
      </c>
      <c r="F3526" s="4" t="s">
        <v>2276</v>
      </c>
      <c r="G3526" s="4" t="s">
        <v>2662</v>
      </c>
      <c r="H3526" s="4" t="s">
        <v>523</v>
      </c>
      <c r="I3526" s="204"/>
      <c r="J3526" s="177">
        <v>0.10325572829026128</v>
      </c>
      <c r="K3526" s="177" t="s">
        <v>2276</v>
      </c>
      <c r="L3526" s="177" t="s">
        <v>2276</v>
      </c>
      <c r="M3526" s="177" t="s">
        <v>2276</v>
      </c>
      <c r="N3526" s="177" t="s">
        <v>2276</v>
      </c>
      <c r="O3526" s="177" t="s">
        <v>2276</v>
      </c>
      <c r="P3526" s="21">
        <v>8.0801886053710454</v>
      </c>
      <c r="Q3526" s="177" t="s">
        <v>2276</v>
      </c>
      <c r="R3526" s="177" t="s">
        <v>2276</v>
      </c>
      <c r="S3526" s="177" t="s">
        <v>2276</v>
      </c>
      <c r="T3526" s="21">
        <v>2466.8000000000002</v>
      </c>
      <c r="U3526" s="177" t="s">
        <v>2276</v>
      </c>
      <c r="V3526" s="177" t="s">
        <v>2276</v>
      </c>
      <c r="W3526" s="177" t="s">
        <v>2276</v>
      </c>
      <c r="X3526" s="177" t="s">
        <v>2276</v>
      </c>
      <c r="Y3526" s="177" t="s">
        <v>2276</v>
      </c>
      <c r="Z3526" s="177" t="s">
        <v>2276</v>
      </c>
      <c r="AA3526" s="177" t="s">
        <v>2276</v>
      </c>
      <c r="AB3526" s="177" t="s">
        <v>2276</v>
      </c>
      <c r="AC3526" s="4" t="s">
        <v>9184</v>
      </c>
      <c r="AD3526" s="4" t="s">
        <v>9241</v>
      </c>
    </row>
    <row r="3527" spans="1:30" ht="93.5" customHeight="1">
      <c r="A3527" s="11" t="s">
        <v>9200</v>
      </c>
      <c r="B3527" s="11" t="s">
        <v>9230</v>
      </c>
      <c r="C3527" s="204" t="s">
        <v>2458</v>
      </c>
      <c r="D3527" s="204" t="s">
        <v>2276</v>
      </c>
      <c r="E3527" s="204" t="s">
        <v>1105</v>
      </c>
      <c r="F3527" s="4" t="s">
        <v>2276</v>
      </c>
      <c r="G3527" s="4" t="s">
        <v>2662</v>
      </c>
      <c r="H3527" s="4" t="s">
        <v>523</v>
      </c>
      <c r="I3527" s="204"/>
      <c r="J3527" s="177">
        <v>3.5013174299595197E-2</v>
      </c>
      <c r="K3527" s="177" t="s">
        <v>2276</v>
      </c>
      <c r="L3527" s="177" t="s">
        <v>2276</v>
      </c>
      <c r="M3527" s="177" t="s">
        <v>2276</v>
      </c>
      <c r="N3527" s="177" t="s">
        <v>2276</v>
      </c>
      <c r="O3527" s="177" t="s">
        <v>2276</v>
      </c>
      <c r="P3527" s="21">
        <v>7.6285672408248839</v>
      </c>
      <c r="Q3527" s="177" t="s">
        <v>2276</v>
      </c>
      <c r="R3527" s="177" t="s">
        <v>2276</v>
      </c>
      <c r="S3527" s="177" t="s">
        <v>2276</v>
      </c>
      <c r="T3527" s="21">
        <v>1114.9000000000001</v>
      </c>
      <c r="U3527" s="177" t="s">
        <v>2276</v>
      </c>
      <c r="V3527" s="177" t="s">
        <v>2276</v>
      </c>
      <c r="W3527" s="177" t="s">
        <v>2276</v>
      </c>
      <c r="X3527" s="177" t="s">
        <v>2276</v>
      </c>
      <c r="Y3527" s="177" t="s">
        <v>2276</v>
      </c>
      <c r="Z3527" s="177" t="s">
        <v>2276</v>
      </c>
      <c r="AA3527" s="177" t="s">
        <v>2276</v>
      </c>
      <c r="AB3527" s="177" t="s">
        <v>2276</v>
      </c>
      <c r="AC3527" s="4" t="s">
        <v>9184</v>
      </c>
      <c r="AD3527" s="4" t="s">
        <v>9241</v>
      </c>
    </row>
    <row r="3528" spans="1:30" ht="93.5" customHeight="1">
      <c r="A3528" s="11" t="s">
        <v>9201</v>
      </c>
      <c r="B3528" s="11" t="s">
        <v>9231</v>
      </c>
      <c r="C3528" s="204" t="s">
        <v>2458</v>
      </c>
      <c r="D3528" s="204" t="s">
        <v>2276</v>
      </c>
      <c r="E3528" s="204" t="s">
        <v>1105</v>
      </c>
      <c r="F3528" s="4" t="s">
        <v>2276</v>
      </c>
      <c r="G3528" s="4" t="s">
        <v>2662</v>
      </c>
      <c r="H3528" s="4" t="s">
        <v>523</v>
      </c>
      <c r="I3528" s="204"/>
      <c r="J3528" s="177">
        <v>5.7407960064027779E-3</v>
      </c>
      <c r="K3528" s="177" t="s">
        <v>2276</v>
      </c>
      <c r="L3528" s="177" t="s">
        <v>2276</v>
      </c>
      <c r="M3528" s="177" t="s">
        <v>2276</v>
      </c>
      <c r="N3528" s="177" t="s">
        <v>2276</v>
      </c>
      <c r="O3528" s="177" t="s">
        <v>2276</v>
      </c>
      <c r="P3528" s="21">
        <v>2.706527218474879</v>
      </c>
      <c r="Q3528" s="177" t="s">
        <v>2276</v>
      </c>
      <c r="R3528" s="177" t="s">
        <v>2276</v>
      </c>
      <c r="S3528" s="177" t="s">
        <v>2276</v>
      </c>
      <c r="T3528" s="21">
        <v>105.8</v>
      </c>
      <c r="U3528" s="177" t="s">
        <v>2276</v>
      </c>
      <c r="V3528" s="177" t="s">
        <v>2276</v>
      </c>
      <c r="W3528" s="177" t="s">
        <v>2276</v>
      </c>
      <c r="X3528" s="177" t="s">
        <v>2276</v>
      </c>
      <c r="Y3528" s="177" t="s">
        <v>2276</v>
      </c>
      <c r="Z3528" s="177" t="s">
        <v>2276</v>
      </c>
      <c r="AA3528" s="177" t="s">
        <v>2276</v>
      </c>
      <c r="AB3528" s="177" t="s">
        <v>2276</v>
      </c>
      <c r="AC3528" s="4" t="s">
        <v>9184</v>
      </c>
      <c r="AD3528" s="4" t="s">
        <v>9241</v>
      </c>
    </row>
    <row r="3529" spans="1:30" ht="93.5" customHeight="1">
      <c r="A3529" s="11" t="s">
        <v>9202</v>
      </c>
      <c r="B3529" s="11" t="s">
        <v>9232</v>
      </c>
      <c r="C3529" s="204" t="s">
        <v>2458</v>
      </c>
      <c r="D3529" s="204" t="s">
        <v>2276</v>
      </c>
      <c r="E3529" s="204" t="s">
        <v>1105</v>
      </c>
      <c r="F3529" s="4" t="s">
        <v>2276</v>
      </c>
      <c r="G3529" s="4" t="s">
        <v>2662</v>
      </c>
      <c r="H3529" s="4" t="s">
        <v>523</v>
      </c>
      <c r="I3529" s="204"/>
      <c r="J3529" s="177">
        <v>4.4757901843420411E-3</v>
      </c>
      <c r="K3529" s="177" t="s">
        <v>2276</v>
      </c>
      <c r="L3529" s="177" t="s">
        <v>2276</v>
      </c>
      <c r="M3529" s="177" t="s">
        <v>2276</v>
      </c>
      <c r="N3529" s="177" t="s">
        <v>2276</v>
      </c>
      <c r="O3529" s="177" t="s">
        <v>2276</v>
      </c>
      <c r="P3529" s="237">
        <v>4.9693078799392776</v>
      </c>
      <c r="Q3529" s="177" t="s">
        <v>2276</v>
      </c>
      <c r="R3529" s="177" t="s">
        <v>2276</v>
      </c>
      <c r="S3529" s="177" t="s">
        <v>2276</v>
      </c>
      <c r="T3529" s="21">
        <v>217.45</v>
      </c>
      <c r="U3529" s="177" t="s">
        <v>2276</v>
      </c>
      <c r="V3529" s="177" t="s">
        <v>2276</v>
      </c>
      <c r="W3529" s="177" t="s">
        <v>2276</v>
      </c>
      <c r="X3529" s="177" t="s">
        <v>2276</v>
      </c>
      <c r="Y3529" s="177" t="s">
        <v>2276</v>
      </c>
      <c r="Z3529" s="177" t="s">
        <v>2276</v>
      </c>
      <c r="AA3529" s="177" t="s">
        <v>2276</v>
      </c>
      <c r="AB3529" s="177" t="s">
        <v>2276</v>
      </c>
      <c r="AC3529" s="4" t="s">
        <v>9184</v>
      </c>
      <c r="AD3529" s="4" t="s">
        <v>9241</v>
      </c>
    </row>
    <row r="3530" spans="1:30" ht="93.5" customHeight="1">
      <c r="A3530" s="11" t="s">
        <v>9203</v>
      </c>
      <c r="B3530" s="11" t="s">
        <v>9233</v>
      </c>
      <c r="C3530" s="204" t="s">
        <v>2458</v>
      </c>
      <c r="D3530" s="204" t="s">
        <v>2276</v>
      </c>
      <c r="E3530" s="204" t="s">
        <v>1105</v>
      </c>
      <c r="F3530" s="4" t="s">
        <v>2276</v>
      </c>
      <c r="G3530" s="4" t="s">
        <v>2662</v>
      </c>
      <c r="H3530" s="4" t="s">
        <v>523</v>
      </c>
      <c r="I3530" s="204"/>
      <c r="J3530" s="177">
        <v>2.5577356988010442E-4</v>
      </c>
      <c r="K3530" s="177" t="s">
        <v>2276</v>
      </c>
      <c r="L3530" s="177" t="s">
        <v>2276</v>
      </c>
      <c r="M3530" s="177" t="s">
        <v>2276</v>
      </c>
      <c r="N3530" s="177" t="s">
        <v>2276</v>
      </c>
      <c r="O3530" s="177" t="s">
        <v>2276</v>
      </c>
      <c r="P3530" s="237">
        <v>27.88952323723397</v>
      </c>
      <c r="Q3530" s="177" t="s">
        <v>2276</v>
      </c>
      <c r="R3530" s="177" t="s">
        <v>2276</v>
      </c>
      <c r="S3530" s="177" t="s">
        <v>2276</v>
      </c>
      <c r="T3530" s="21">
        <v>27.75</v>
      </c>
      <c r="U3530" s="177" t="s">
        <v>2276</v>
      </c>
      <c r="V3530" s="177" t="s">
        <v>2276</v>
      </c>
      <c r="W3530" s="177" t="s">
        <v>2276</v>
      </c>
      <c r="X3530" s="177" t="s">
        <v>2276</v>
      </c>
      <c r="Y3530" s="177" t="s">
        <v>2276</v>
      </c>
      <c r="Z3530" s="177" t="s">
        <v>2276</v>
      </c>
      <c r="AA3530" s="177" t="s">
        <v>2276</v>
      </c>
      <c r="AB3530" s="177" t="s">
        <v>2276</v>
      </c>
      <c r="AC3530" s="4" t="s">
        <v>9184</v>
      </c>
      <c r="AD3530" s="4" t="s">
        <v>9241</v>
      </c>
    </row>
    <row r="3531" spans="1:30" ht="93.5" customHeight="1">
      <c r="A3531" s="11" t="s">
        <v>9235</v>
      </c>
      <c r="B3531" s="11" t="s">
        <v>9236</v>
      </c>
      <c r="C3531" s="204" t="s">
        <v>2458</v>
      </c>
      <c r="D3531" s="204" t="s">
        <v>2276</v>
      </c>
      <c r="E3531" s="204" t="s">
        <v>1105</v>
      </c>
      <c r="F3531" s="4" t="s">
        <v>2276</v>
      </c>
      <c r="G3531" s="4" t="s">
        <v>2662</v>
      </c>
      <c r="H3531" s="4" t="s">
        <v>523</v>
      </c>
      <c r="I3531" s="204"/>
      <c r="J3531" s="177">
        <v>1.5344947619303189E-4</v>
      </c>
      <c r="K3531" s="177" t="s">
        <v>2276</v>
      </c>
      <c r="L3531" s="177" t="s">
        <v>2276</v>
      </c>
      <c r="M3531" s="177" t="s">
        <v>2276</v>
      </c>
      <c r="N3531" s="177" t="s">
        <v>2276</v>
      </c>
      <c r="O3531" s="177" t="s">
        <v>2276</v>
      </c>
      <c r="P3531" s="237">
        <v>98.490033871107983</v>
      </c>
      <c r="Q3531" s="177" t="s">
        <v>2276</v>
      </c>
      <c r="R3531" s="177" t="s">
        <v>2276</v>
      </c>
      <c r="S3531" s="177" t="s">
        <v>2276</v>
      </c>
      <c r="T3531" s="21">
        <v>20.3</v>
      </c>
      <c r="U3531" s="177" t="s">
        <v>2276</v>
      </c>
      <c r="V3531" s="177" t="s">
        <v>2276</v>
      </c>
      <c r="W3531" s="177" t="s">
        <v>2276</v>
      </c>
      <c r="X3531" s="177" t="s">
        <v>2276</v>
      </c>
      <c r="Y3531" s="177" t="s">
        <v>2276</v>
      </c>
      <c r="Z3531" s="177" t="s">
        <v>2276</v>
      </c>
      <c r="AA3531" s="177" t="s">
        <v>2276</v>
      </c>
      <c r="AB3531" s="177" t="s">
        <v>2276</v>
      </c>
      <c r="AC3531" s="4" t="s">
        <v>9184</v>
      </c>
      <c r="AD3531" s="4" t="s">
        <v>9241</v>
      </c>
    </row>
    <row r="3532" spans="1:30" ht="43.5" customHeight="1">
      <c r="A3532" s="11" t="s">
        <v>9199</v>
      </c>
      <c r="B3532" s="11" t="s">
        <v>9239</v>
      </c>
      <c r="C3532" s="204" t="s">
        <v>24</v>
      </c>
      <c r="D3532" s="204" t="s">
        <v>2346</v>
      </c>
      <c r="E3532" s="204" t="s">
        <v>2276</v>
      </c>
      <c r="F3532" s="4" t="s">
        <v>2663</v>
      </c>
      <c r="G3532" s="4" t="s">
        <v>2663</v>
      </c>
      <c r="H3532" s="4" t="s">
        <v>523</v>
      </c>
      <c r="I3532" s="204"/>
      <c r="J3532" s="21" t="s">
        <v>2276</v>
      </c>
      <c r="K3532" s="21" t="s">
        <v>2276</v>
      </c>
      <c r="L3532" s="21" t="s">
        <v>2276</v>
      </c>
      <c r="M3532" s="21" t="s">
        <v>2276</v>
      </c>
      <c r="N3532" s="21" t="s">
        <v>2276</v>
      </c>
      <c r="O3532" s="21" t="s">
        <v>2276</v>
      </c>
      <c r="P3532" s="21" t="s">
        <v>2276</v>
      </c>
      <c r="Q3532" s="21" t="s">
        <v>2276</v>
      </c>
      <c r="R3532" s="21" t="s">
        <v>2276</v>
      </c>
      <c r="S3532" s="21" t="s">
        <v>2276</v>
      </c>
      <c r="T3532" s="21" t="s">
        <v>2276</v>
      </c>
      <c r="U3532" s="21" t="s">
        <v>2276</v>
      </c>
      <c r="V3532" s="21" t="s">
        <v>2276</v>
      </c>
      <c r="W3532" s="21" t="s">
        <v>2276</v>
      </c>
      <c r="X3532" s="21" t="s">
        <v>2276</v>
      </c>
      <c r="Y3532" s="21" t="s">
        <v>2276</v>
      </c>
      <c r="Z3532" s="21" t="s">
        <v>2276</v>
      </c>
      <c r="AA3532" s="21" t="s">
        <v>2276</v>
      </c>
      <c r="AB3532" s="21" t="s">
        <v>2276</v>
      </c>
      <c r="AC3532" s="4" t="s">
        <v>9244</v>
      </c>
      <c r="AD3532" s="4"/>
    </row>
    <row r="3533" spans="1:30" ht="43.5" customHeight="1">
      <c r="A3533" s="11" t="s">
        <v>9200</v>
      </c>
      <c r="B3533" s="11" t="s">
        <v>9240</v>
      </c>
      <c r="C3533" s="204" t="s">
        <v>24</v>
      </c>
      <c r="D3533" s="204" t="s">
        <v>2346</v>
      </c>
      <c r="E3533" s="204" t="s">
        <v>2276</v>
      </c>
      <c r="F3533" s="4" t="s">
        <v>2663</v>
      </c>
      <c r="G3533" s="4" t="s">
        <v>2663</v>
      </c>
      <c r="H3533" s="4" t="s">
        <v>523</v>
      </c>
      <c r="I3533" s="204"/>
      <c r="J3533" s="21" t="s">
        <v>2276</v>
      </c>
      <c r="K3533" s="21" t="s">
        <v>2276</v>
      </c>
      <c r="L3533" s="21" t="s">
        <v>2276</v>
      </c>
      <c r="M3533" s="21" t="s">
        <v>2276</v>
      </c>
      <c r="N3533" s="21" t="s">
        <v>2276</v>
      </c>
      <c r="O3533" s="21" t="s">
        <v>2276</v>
      </c>
      <c r="P3533" s="21" t="s">
        <v>2276</v>
      </c>
      <c r="Q3533" s="21" t="s">
        <v>2276</v>
      </c>
      <c r="R3533" s="21" t="s">
        <v>2276</v>
      </c>
      <c r="S3533" s="21" t="s">
        <v>2276</v>
      </c>
      <c r="T3533" s="21" t="s">
        <v>2276</v>
      </c>
      <c r="U3533" s="21" t="s">
        <v>2276</v>
      </c>
      <c r="V3533" s="21" t="s">
        <v>2276</v>
      </c>
      <c r="W3533" s="21" t="s">
        <v>2276</v>
      </c>
      <c r="X3533" s="21" t="s">
        <v>2276</v>
      </c>
      <c r="Y3533" s="21" t="s">
        <v>2276</v>
      </c>
      <c r="Z3533" s="21" t="s">
        <v>2276</v>
      </c>
      <c r="AA3533" s="21" t="s">
        <v>2276</v>
      </c>
      <c r="AB3533" s="21" t="s">
        <v>2276</v>
      </c>
      <c r="AC3533" s="4" t="s">
        <v>9244</v>
      </c>
      <c r="AD3533" s="4"/>
    </row>
    <row r="3534" spans="1:30" ht="52" customHeight="1">
      <c r="A3534" s="11" t="s">
        <v>9235</v>
      </c>
      <c r="B3534" s="11" t="s">
        <v>9242</v>
      </c>
      <c r="C3534" s="204" t="s">
        <v>31</v>
      </c>
      <c r="D3534" s="204" t="s">
        <v>30</v>
      </c>
      <c r="E3534" s="204" t="s">
        <v>2652</v>
      </c>
      <c r="F3534" s="204" t="s">
        <v>2276</v>
      </c>
      <c r="G3534" s="4" t="s">
        <v>2662</v>
      </c>
      <c r="H3534" s="4" t="s">
        <v>523</v>
      </c>
      <c r="I3534" s="204"/>
      <c r="J3534" s="21" t="s">
        <v>2276</v>
      </c>
      <c r="K3534" s="21" t="s">
        <v>2276</v>
      </c>
      <c r="L3534" s="21" t="s">
        <v>2276</v>
      </c>
      <c r="M3534" s="21" t="s">
        <v>2276</v>
      </c>
      <c r="N3534" s="21" t="s">
        <v>2276</v>
      </c>
      <c r="O3534" s="21" t="s">
        <v>2276</v>
      </c>
      <c r="P3534" s="21" t="s">
        <v>2276</v>
      </c>
      <c r="Q3534" s="21" t="s">
        <v>2276</v>
      </c>
      <c r="R3534" s="21" t="s">
        <v>2276</v>
      </c>
      <c r="S3534" s="21" t="s">
        <v>2276</v>
      </c>
      <c r="T3534" s="21" t="s">
        <v>2276</v>
      </c>
      <c r="U3534" s="21" t="s">
        <v>2276</v>
      </c>
      <c r="V3534" s="21" t="s">
        <v>2276</v>
      </c>
      <c r="W3534" s="21" t="s">
        <v>2276</v>
      </c>
      <c r="X3534" s="21" t="s">
        <v>2276</v>
      </c>
      <c r="Y3534" s="21" t="s">
        <v>2276</v>
      </c>
      <c r="Z3534" s="21" t="s">
        <v>2276</v>
      </c>
      <c r="AA3534" s="21" t="s">
        <v>2276</v>
      </c>
      <c r="AB3534" s="21" t="s">
        <v>2276</v>
      </c>
      <c r="AC3534" s="4" t="s">
        <v>9245</v>
      </c>
      <c r="AD3534" s="204"/>
    </row>
    <row r="3535" spans="1:30" ht="44.5" customHeight="1">
      <c r="A3535" s="11" t="s">
        <v>9195</v>
      </c>
      <c r="B3535" s="11" t="s">
        <v>9243</v>
      </c>
      <c r="C3535" s="204" t="s">
        <v>31</v>
      </c>
      <c r="D3535" s="204" t="s">
        <v>30</v>
      </c>
      <c r="E3535" s="204" t="s">
        <v>2653</v>
      </c>
      <c r="F3535" s="204" t="s">
        <v>2276</v>
      </c>
      <c r="G3535" s="4" t="s">
        <v>2662</v>
      </c>
      <c r="H3535" s="4" t="s">
        <v>523</v>
      </c>
      <c r="I3535" s="204"/>
      <c r="J3535" s="21" t="s">
        <v>2276</v>
      </c>
      <c r="K3535" s="21" t="s">
        <v>2276</v>
      </c>
      <c r="L3535" s="21" t="s">
        <v>2276</v>
      </c>
      <c r="M3535" s="21" t="s">
        <v>2276</v>
      </c>
      <c r="N3535" s="21" t="s">
        <v>2276</v>
      </c>
      <c r="O3535" s="21" t="s">
        <v>2276</v>
      </c>
      <c r="P3535" s="21" t="s">
        <v>2276</v>
      </c>
      <c r="Q3535" s="21" t="s">
        <v>2276</v>
      </c>
      <c r="R3535" s="21" t="s">
        <v>2276</v>
      </c>
      <c r="S3535" s="21" t="s">
        <v>2276</v>
      </c>
      <c r="T3535" s="21" t="s">
        <v>2276</v>
      </c>
      <c r="U3535" s="21" t="s">
        <v>2276</v>
      </c>
      <c r="V3535" s="21" t="s">
        <v>2276</v>
      </c>
      <c r="W3535" s="21" t="s">
        <v>2276</v>
      </c>
      <c r="X3535" s="21" t="s">
        <v>2276</v>
      </c>
      <c r="Y3535" s="21" t="s">
        <v>2276</v>
      </c>
      <c r="Z3535" s="21" t="s">
        <v>2276</v>
      </c>
      <c r="AA3535" s="21" t="s">
        <v>2276</v>
      </c>
      <c r="AB3535" s="21" t="s">
        <v>2276</v>
      </c>
      <c r="AC3535" s="4" t="s">
        <v>9246</v>
      </c>
      <c r="AD3535" s="204"/>
    </row>
    <row r="3536" spans="1:30" ht="39" customHeight="1">
      <c r="A3536" s="11" t="s">
        <v>9175</v>
      </c>
      <c r="B3536" s="11" t="s">
        <v>9247</v>
      </c>
      <c r="C3536" s="204" t="s">
        <v>24</v>
      </c>
      <c r="D3536" s="204" t="s">
        <v>2659</v>
      </c>
      <c r="E3536" s="4" t="s">
        <v>396</v>
      </c>
      <c r="F3536" s="4" t="s">
        <v>28</v>
      </c>
      <c r="G3536" s="4" t="s">
        <v>28</v>
      </c>
      <c r="H3536" s="4" t="s">
        <v>523</v>
      </c>
      <c r="I3536" s="204"/>
      <c r="J3536" s="21" t="s">
        <v>2276</v>
      </c>
      <c r="K3536" s="21" t="s">
        <v>2276</v>
      </c>
      <c r="L3536" s="21" t="s">
        <v>2276</v>
      </c>
      <c r="M3536" s="21" t="s">
        <v>2276</v>
      </c>
      <c r="N3536" s="21" t="s">
        <v>2276</v>
      </c>
      <c r="O3536" s="21" t="s">
        <v>2276</v>
      </c>
      <c r="P3536" s="21" t="s">
        <v>2276</v>
      </c>
      <c r="Q3536" s="21" t="s">
        <v>2276</v>
      </c>
      <c r="R3536" s="21" t="s">
        <v>2276</v>
      </c>
      <c r="S3536" s="21" t="s">
        <v>2276</v>
      </c>
      <c r="T3536" s="21" t="s">
        <v>2276</v>
      </c>
      <c r="U3536" s="21" t="s">
        <v>2276</v>
      </c>
      <c r="V3536" s="21" t="s">
        <v>2276</v>
      </c>
      <c r="W3536" s="21" t="s">
        <v>2276</v>
      </c>
      <c r="X3536" s="21" t="s">
        <v>2276</v>
      </c>
      <c r="Y3536" s="21" t="s">
        <v>2276</v>
      </c>
      <c r="Z3536" s="21" t="s">
        <v>2276</v>
      </c>
      <c r="AA3536" s="21" t="s">
        <v>2276</v>
      </c>
      <c r="AB3536" s="21" t="s">
        <v>2276</v>
      </c>
      <c r="AC3536" s="4" t="s">
        <v>9249</v>
      </c>
      <c r="AD3536" s="4"/>
    </row>
    <row r="3537" spans="1:30" ht="39" customHeight="1">
      <c r="A3537" s="11" t="s">
        <v>9200</v>
      </c>
      <c r="B3537" s="11" t="s">
        <v>9248</v>
      </c>
      <c r="C3537" s="204" t="s">
        <v>24</v>
      </c>
      <c r="D3537" s="204" t="s">
        <v>2659</v>
      </c>
      <c r="E3537" s="4" t="s">
        <v>396</v>
      </c>
      <c r="F3537" s="4" t="s">
        <v>28</v>
      </c>
      <c r="G3537" s="4" t="s">
        <v>28</v>
      </c>
      <c r="H3537" s="4" t="s">
        <v>523</v>
      </c>
      <c r="I3537" s="204"/>
      <c r="J3537" s="21" t="s">
        <v>2276</v>
      </c>
      <c r="K3537" s="21" t="s">
        <v>2276</v>
      </c>
      <c r="L3537" s="21" t="s">
        <v>2276</v>
      </c>
      <c r="M3537" s="21" t="s">
        <v>2276</v>
      </c>
      <c r="N3537" s="21" t="s">
        <v>2276</v>
      </c>
      <c r="O3537" s="21" t="s">
        <v>2276</v>
      </c>
      <c r="P3537" s="21" t="s">
        <v>2276</v>
      </c>
      <c r="Q3537" s="21" t="s">
        <v>2276</v>
      </c>
      <c r="R3537" s="21" t="s">
        <v>2276</v>
      </c>
      <c r="S3537" s="21" t="s">
        <v>2276</v>
      </c>
      <c r="T3537" s="21" t="s">
        <v>2276</v>
      </c>
      <c r="U3537" s="21" t="s">
        <v>2276</v>
      </c>
      <c r="V3537" s="21" t="s">
        <v>2276</v>
      </c>
      <c r="W3537" s="21" t="s">
        <v>2276</v>
      </c>
      <c r="X3537" s="21" t="s">
        <v>2276</v>
      </c>
      <c r="Y3537" s="21" t="s">
        <v>2276</v>
      </c>
      <c r="Z3537" s="21" t="s">
        <v>2276</v>
      </c>
      <c r="AA3537" s="21" t="s">
        <v>2276</v>
      </c>
      <c r="AB3537" s="21" t="s">
        <v>2276</v>
      </c>
      <c r="AC3537" s="4" t="s">
        <v>9249</v>
      </c>
      <c r="AD3537" s="4"/>
    </row>
    <row r="3538" spans="1:30" ht="47.5" customHeight="1">
      <c r="A3538" s="11" t="s">
        <v>9194</v>
      </c>
      <c r="B3538" s="11" t="s">
        <v>9250</v>
      </c>
      <c r="C3538" s="204" t="s">
        <v>31</v>
      </c>
      <c r="D3538" s="204" t="s">
        <v>30</v>
      </c>
      <c r="E3538" s="204" t="s">
        <v>2653</v>
      </c>
      <c r="F3538" s="204" t="s">
        <v>2276</v>
      </c>
      <c r="G3538" s="4" t="s">
        <v>2662</v>
      </c>
      <c r="H3538" s="4" t="s">
        <v>523</v>
      </c>
      <c r="I3538" s="204"/>
      <c r="J3538" s="21" t="s">
        <v>2276</v>
      </c>
      <c r="K3538" s="21" t="s">
        <v>2276</v>
      </c>
      <c r="L3538" s="21" t="s">
        <v>2276</v>
      </c>
      <c r="M3538" s="21" t="s">
        <v>2276</v>
      </c>
      <c r="N3538" s="21" t="s">
        <v>2276</v>
      </c>
      <c r="O3538" s="21" t="s">
        <v>2276</v>
      </c>
      <c r="P3538" s="21" t="s">
        <v>2276</v>
      </c>
      <c r="Q3538" s="21" t="s">
        <v>2276</v>
      </c>
      <c r="R3538" s="21" t="s">
        <v>2276</v>
      </c>
      <c r="S3538" s="21" t="s">
        <v>2276</v>
      </c>
      <c r="T3538" s="21" t="s">
        <v>2276</v>
      </c>
      <c r="U3538" s="21" t="s">
        <v>2276</v>
      </c>
      <c r="V3538" s="21" t="s">
        <v>2276</v>
      </c>
      <c r="W3538" s="21" t="s">
        <v>2276</v>
      </c>
      <c r="X3538" s="21" t="s">
        <v>2276</v>
      </c>
      <c r="Y3538" s="21" t="s">
        <v>2276</v>
      </c>
      <c r="Z3538" s="21" t="s">
        <v>2276</v>
      </c>
      <c r="AA3538" s="21" t="s">
        <v>2276</v>
      </c>
      <c r="AB3538" s="21" t="s">
        <v>2276</v>
      </c>
      <c r="AC3538" s="4" t="s">
        <v>9246</v>
      </c>
      <c r="AD3538" s="204"/>
    </row>
    <row r="3539" spans="1:30" ht="42.5" customHeight="1">
      <c r="A3539" s="11" t="s">
        <v>9257</v>
      </c>
      <c r="B3539" s="11" t="s">
        <v>9263</v>
      </c>
      <c r="C3539" s="204" t="s">
        <v>2658</v>
      </c>
      <c r="D3539" s="204" t="s">
        <v>2276</v>
      </c>
      <c r="E3539" s="204" t="s">
        <v>137</v>
      </c>
      <c r="F3539" s="204" t="s">
        <v>2276</v>
      </c>
      <c r="G3539" s="204" t="s">
        <v>74</v>
      </c>
      <c r="H3539" s="4" t="s">
        <v>523</v>
      </c>
      <c r="I3539" s="204"/>
      <c r="J3539" s="21" t="s">
        <v>2276</v>
      </c>
      <c r="K3539" s="21" t="s">
        <v>2276</v>
      </c>
      <c r="L3539" s="21" t="s">
        <v>2276</v>
      </c>
      <c r="M3539" s="21" t="s">
        <v>2276</v>
      </c>
      <c r="N3539" s="21" t="s">
        <v>2276</v>
      </c>
      <c r="O3539" s="21" t="s">
        <v>2276</v>
      </c>
      <c r="P3539" s="21" t="s">
        <v>2276</v>
      </c>
      <c r="Q3539" s="21" t="s">
        <v>2276</v>
      </c>
      <c r="R3539" s="21" t="s">
        <v>2276</v>
      </c>
      <c r="S3539" s="21" t="s">
        <v>2276</v>
      </c>
      <c r="T3539" s="21" t="s">
        <v>2276</v>
      </c>
      <c r="U3539" s="21" t="s">
        <v>2276</v>
      </c>
      <c r="V3539" s="21" t="s">
        <v>2276</v>
      </c>
      <c r="W3539" s="21" t="s">
        <v>2276</v>
      </c>
      <c r="X3539" s="21" t="s">
        <v>2276</v>
      </c>
      <c r="Y3539" s="21" t="s">
        <v>2276</v>
      </c>
      <c r="Z3539" s="21" t="s">
        <v>2276</v>
      </c>
      <c r="AA3539" s="21" t="s">
        <v>2276</v>
      </c>
      <c r="AB3539" s="21" t="s">
        <v>2276</v>
      </c>
      <c r="AC3539" s="204"/>
      <c r="AD3539" s="204"/>
    </row>
    <row r="3540" spans="1:30" ht="42.5" customHeight="1">
      <c r="A3540" s="11" t="s">
        <v>9258</v>
      </c>
      <c r="B3540" s="11" t="s">
        <v>9264</v>
      </c>
      <c r="C3540" s="204" t="s">
        <v>24</v>
      </c>
      <c r="D3540" s="204" t="s">
        <v>2659</v>
      </c>
      <c r="E3540" s="4" t="s">
        <v>396</v>
      </c>
      <c r="F3540" s="4" t="s">
        <v>28</v>
      </c>
      <c r="G3540" s="4" t="s">
        <v>28</v>
      </c>
      <c r="H3540" s="4" t="s">
        <v>523</v>
      </c>
      <c r="I3540" s="204"/>
      <c r="J3540" s="21" t="s">
        <v>2276</v>
      </c>
      <c r="K3540" s="21" t="s">
        <v>2276</v>
      </c>
      <c r="L3540" s="21" t="s">
        <v>2276</v>
      </c>
      <c r="M3540" s="21" t="s">
        <v>2276</v>
      </c>
      <c r="N3540" s="21" t="s">
        <v>2276</v>
      </c>
      <c r="O3540" s="21" t="s">
        <v>2276</v>
      </c>
      <c r="P3540" s="21" t="s">
        <v>2276</v>
      </c>
      <c r="Q3540" s="21" t="s">
        <v>2276</v>
      </c>
      <c r="R3540" s="21" t="s">
        <v>2276</v>
      </c>
      <c r="S3540" s="21" t="s">
        <v>2276</v>
      </c>
      <c r="T3540" s="21" t="s">
        <v>2276</v>
      </c>
      <c r="U3540" s="21" t="s">
        <v>2276</v>
      </c>
      <c r="V3540" s="21">
        <v>50</v>
      </c>
      <c r="W3540" s="21" t="s">
        <v>2276</v>
      </c>
      <c r="X3540" s="21">
        <v>50</v>
      </c>
      <c r="Y3540" s="21">
        <v>1</v>
      </c>
      <c r="Z3540" s="21" t="s">
        <v>2276</v>
      </c>
      <c r="AA3540" s="21" t="s">
        <v>2276</v>
      </c>
      <c r="AB3540" s="21" t="s">
        <v>2276</v>
      </c>
      <c r="AC3540" s="204"/>
      <c r="AD3540" s="204"/>
    </row>
    <row r="3541" spans="1:30" ht="42.5" customHeight="1">
      <c r="A3541" s="11" t="s">
        <v>9265</v>
      </c>
      <c r="B3541" s="11" t="s">
        <v>9269</v>
      </c>
      <c r="C3541" s="204" t="s">
        <v>2658</v>
      </c>
      <c r="D3541" s="204" t="s">
        <v>2276</v>
      </c>
      <c r="E3541" s="204" t="s">
        <v>2649</v>
      </c>
      <c r="F3541" s="204" t="s">
        <v>2276</v>
      </c>
      <c r="G3541" s="4" t="s">
        <v>2663</v>
      </c>
      <c r="H3541" s="4" t="s">
        <v>523</v>
      </c>
      <c r="I3541" s="204">
        <v>1983</v>
      </c>
      <c r="J3541" s="21" t="s">
        <v>2276</v>
      </c>
      <c r="K3541" s="21" t="s">
        <v>2276</v>
      </c>
      <c r="L3541" s="21" t="s">
        <v>2276</v>
      </c>
      <c r="M3541" s="21" t="s">
        <v>2276</v>
      </c>
      <c r="N3541" s="21" t="s">
        <v>2276</v>
      </c>
      <c r="O3541" s="21" t="s">
        <v>2276</v>
      </c>
      <c r="P3541" s="21" t="s">
        <v>2276</v>
      </c>
      <c r="Q3541" s="21" t="s">
        <v>2276</v>
      </c>
      <c r="R3541" s="21" t="s">
        <v>2276</v>
      </c>
      <c r="S3541" s="21" t="s">
        <v>2276</v>
      </c>
      <c r="T3541" s="21">
        <v>23000</v>
      </c>
      <c r="U3541" s="21" t="s">
        <v>2276</v>
      </c>
      <c r="V3541" s="21">
        <f>100*23000/418000</f>
        <v>5.5023923444976077</v>
      </c>
      <c r="W3541" s="21" t="s">
        <v>2276</v>
      </c>
      <c r="X3541" s="21" t="s">
        <v>2276</v>
      </c>
      <c r="Y3541" s="21" t="s">
        <v>2276</v>
      </c>
      <c r="Z3541" s="204" t="s">
        <v>188</v>
      </c>
      <c r="AA3541" s="204" t="s">
        <v>188</v>
      </c>
      <c r="AB3541" s="21" t="s">
        <v>2276</v>
      </c>
      <c r="AC3541" s="19" t="s">
        <v>9270</v>
      </c>
      <c r="AD3541" s="204"/>
    </row>
    <row r="3542" spans="1:30" ht="43.5" customHeight="1">
      <c r="A3542" s="11" t="s">
        <v>9276</v>
      </c>
      <c r="B3542" s="11" t="s">
        <v>9277</v>
      </c>
      <c r="C3542" s="204" t="s">
        <v>2658</v>
      </c>
      <c r="D3542" s="204" t="s">
        <v>2276</v>
      </c>
      <c r="E3542" s="204" t="s">
        <v>2649</v>
      </c>
      <c r="F3542" s="204" t="s">
        <v>2276</v>
      </c>
      <c r="G3542" s="4" t="s">
        <v>2663</v>
      </c>
      <c r="H3542" s="4" t="s">
        <v>523</v>
      </c>
      <c r="I3542" s="204"/>
      <c r="J3542" s="21" t="s">
        <v>2276</v>
      </c>
      <c r="K3542" s="21" t="s">
        <v>2276</v>
      </c>
      <c r="L3542" s="21" t="s">
        <v>2276</v>
      </c>
      <c r="M3542" s="21" t="s">
        <v>2276</v>
      </c>
      <c r="N3542" s="21" t="s">
        <v>2276</v>
      </c>
      <c r="O3542" s="21" t="s">
        <v>2276</v>
      </c>
      <c r="P3542" s="21" t="s">
        <v>2276</v>
      </c>
      <c r="Q3542" s="21" t="s">
        <v>2276</v>
      </c>
      <c r="R3542" s="21" t="s">
        <v>2276</v>
      </c>
      <c r="S3542" s="21" t="s">
        <v>2276</v>
      </c>
      <c r="T3542" s="21">
        <f>'Record info'!K1456*'Reported burning'!V3542</f>
        <v>56875</v>
      </c>
      <c r="U3542" s="21" t="s">
        <v>2276</v>
      </c>
      <c r="V3542" s="21">
        <v>3.5</v>
      </c>
      <c r="W3542" s="21" t="s">
        <v>2276</v>
      </c>
      <c r="X3542" s="21">
        <v>3.5</v>
      </c>
      <c r="Y3542" s="21" t="s">
        <v>2276</v>
      </c>
      <c r="Z3542" s="21" t="s">
        <v>2276</v>
      </c>
      <c r="AA3542" s="21" t="s">
        <v>2276</v>
      </c>
      <c r="AB3542" s="21" t="s">
        <v>2276</v>
      </c>
      <c r="AC3542" s="204"/>
      <c r="AD3542" s="204"/>
    </row>
    <row r="3543" spans="1:30" ht="98" customHeight="1">
      <c r="A3543" s="11" t="s">
        <v>9279</v>
      </c>
      <c r="B3543" s="11" t="s">
        <v>9280</v>
      </c>
      <c r="C3543" s="204" t="s">
        <v>2458</v>
      </c>
      <c r="D3543" s="204" t="s">
        <v>2276</v>
      </c>
      <c r="E3543" s="204" t="s">
        <v>2276</v>
      </c>
      <c r="F3543" s="204" t="s">
        <v>2276</v>
      </c>
      <c r="G3543" s="204" t="s">
        <v>2276</v>
      </c>
      <c r="H3543" s="4" t="s">
        <v>523</v>
      </c>
      <c r="I3543" s="204"/>
      <c r="J3543" s="21" t="s">
        <v>2276</v>
      </c>
      <c r="K3543" s="21" t="s">
        <v>2276</v>
      </c>
      <c r="L3543" s="21" t="s">
        <v>2276</v>
      </c>
      <c r="M3543" s="21" t="s">
        <v>2276</v>
      </c>
      <c r="N3543" s="21" t="s">
        <v>2276</v>
      </c>
      <c r="O3543" s="21" t="s">
        <v>2276</v>
      </c>
      <c r="P3543" s="21" t="s">
        <v>2276</v>
      </c>
      <c r="Q3543" s="21" t="s">
        <v>2276</v>
      </c>
      <c r="R3543" s="21" t="s">
        <v>2276</v>
      </c>
      <c r="S3543" s="21" t="s">
        <v>2276</v>
      </c>
      <c r="T3543" s="21">
        <v>37735</v>
      </c>
      <c r="U3543" s="21" t="s">
        <v>2276</v>
      </c>
      <c r="V3543" s="21" t="s">
        <v>2276</v>
      </c>
      <c r="W3543" s="21" t="s">
        <v>2276</v>
      </c>
      <c r="X3543" s="21">
        <f>T3543/'Record info'!K1457</f>
        <v>0.4192777777777778</v>
      </c>
      <c r="Y3543" s="21" t="s">
        <v>2276</v>
      </c>
      <c r="Z3543" s="21" t="s">
        <v>2276</v>
      </c>
      <c r="AA3543" s="21" t="s">
        <v>2276</v>
      </c>
      <c r="AB3543" s="21" t="s">
        <v>2276</v>
      </c>
      <c r="AC3543" s="4" t="s">
        <v>9184</v>
      </c>
      <c r="AD3543" s="204"/>
    </row>
    <row r="3544" spans="1:30" ht="98" customHeight="1">
      <c r="A3544" s="11" t="s">
        <v>9279</v>
      </c>
      <c r="B3544" s="11" t="s">
        <v>9283</v>
      </c>
      <c r="C3544" s="204" t="s">
        <v>2458</v>
      </c>
      <c r="D3544" s="204" t="s">
        <v>2276</v>
      </c>
      <c r="E3544" s="204" t="s">
        <v>2649</v>
      </c>
      <c r="F3544" s="204" t="s">
        <v>2276</v>
      </c>
      <c r="G3544" s="4" t="s">
        <v>2663</v>
      </c>
      <c r="H3544" s="4" t="s">
        <v>523</v>
      </c>
      <c r="I3544" s="204">
        <v>2016</v>
      </c>
      <c r="J3544" s="21" t="s">
        <v>2276</v>
      </c>
      <c r="K3544" s="21" t="s">
        <v>2276</v>
      </c>
      <c r="L3544" s="21" t="s">
        <v>2276</v>
      </c>
      <c r="M3544" s="21" t="s">
        <v>2276</v>
      </c>
      <c r="N3544" s="21" t="s">
        <v>2276</v>
      </c>
      <c r="O3544" s="21" t="s">
        <v>2276</v>
      </c>
      <c r="P3544" s="21" t="s">
        <v>2276</v>
      </c>
      <c r="Q3544" s="21" t="s">
        <v>2276</v>
      </c>
      <c r="R3544" s="21" t="s">
        <v>2276</v>
      </c>
      <c r="S3544" s="21" t="s">
        <v>2276</v>
      </c>
      <c r="T3544" s="21">
        <f>5132*(100)*0.44</f>
        <v>225808</v>
      </c>
      <c r="U3544" s="21" t="s">
        <v>2276</v>
      </c>
      <c r="V3544" s="21">
        <f>T3544/('Record info'!K$1457*'Land use'!N1457/100)</f>
        <v>17.92126984126984</v>
      </c>
      <c r="W3544" s="21" t="s">
        <v>2276</v>
      </c>
      <c r="X3544" s="21">
        <f>T3544/'Record info'!K$1457</f>
        <v>2.508977777777778</v>
      </c>
      <c r="Y3544" s="21" t="s">
        <v>2276</v>
      </c>
      <c r="Z3544" s="204" t="s">
        <v>127</v>
      </c>
      <c r="AA3544" s="204" t="s">
        <v>188</v>
      </c>
      <c r="AB3544" s="21" t="s">
        <v>2276</v>
      </c>
      <c r="AC3544" s="4" t="s">
        <v>9184</v>
      </c>
      <c r="AD3544" s="204"/>
    </row>
    <row r="3545" spans="1:30" ht="98" customHeight="1">
      <c r="A3545" s="11" t="s">
        <v>9279</v>
      </c>
      <c r="B3545" s="11" t="s">
        <v>9284</v>
      </c>
      <c r="C3545" s="204" t="s">
        <v>2458</v>
      </c>
      <c r="D3545" s="204" t="s">
        <v>2276</v>
      </c>
      <c r="E3545" s="204" t="s">
        <v>2276</v>
      </c>
      <c r="F3545" s="204" t="s">
        <v>2276</v>
      </c>
      <c r="G3545" s="4" t="s">
        <v>74</v>
      </c>
      <c r="H3545" s="4" t="s">
        <v>523</v>
      </c>
      <c r="I3545" s="204">
        <v>2016</v>
      </c>
      <c r="J3545" s="21" t="s">
        <v>2276</v>
      </c>
      <c r="K3545" s="21" t="s">
        <v>2276</v>
      </c>
      <c r="L3545" s="21" t="s">
        <v>2276</v>
      </c>
      <c r="M3545" s="21" t="s">
        <v>2276</v>
      </c>
      <c r="N3545" s="21" t="s">
        <v>2276</v>
      </c>
      <c r="O3545" s="21" t="s">
        <v>2276</v>
      </c>
      <c r="P3545" s="21" t="s">
        <v>2276</v>
      </c>
      <c r="Q3545" s="21" t="s">
        <v>2276</v>
      </c>
      <c r="R3545" s="21" t="s">
        <v>2276</v>
      </c>
      <c r="S3545" s="21" t="s">
        <v>2276</v>
      </c>
      <c r="T3545" s="21">
        <f>(5132*100*0.11)</f>
        <v>56452</v>
      </c>
      <c r="U3545" s="21" t="s">
        <v>2276</v>
      </c>
      <c r="V3545" s="21">
        <f>T3545/('Record info'!K$1457*14/100)</f>
        <v>4.48031746031746</v>
      </c>
      <c r="W3545" s="21" t="s">
        <v>2276</v>
      </c>
      <c r="X3545" s="21">
        <f>T3545/'Record info'!K$1457</f>
        <v>0.62724444444444449</v>
      </c>
      <c r="Y3545" s="21" t="s">
        <v>2276</v>
      </c>
      <c r="Z3545" s="204" t="s">
        <v>127</v>
      </c>
      <c r="AA3545" s="204" t="s">
        <v>188</v>
      </c>
      <c r="AB3545" s="21" t="s">
        <v>2276</v>
      </c>
      <c r="AC3545" s="4" t="s">
        <v>9184</v>
      </c>
      <c r="AD3545" s="204"/>
    </row>
    <row r="3546" spans="1:30" ht="98" customHeight="1">
      <c r="A3546" s="11" t="s">
        <v>9279</v>
      </c>
      <c r="B3546" s="11" t="s">
        <v>9285</v>
      </c>
      <c r="C3546" s="204" t="s">
        <v>2458</v>
      </c>
      <c r="D3546" s="204" t="s">
        <v>2276</v>
      </c>
      <c r="E3546" s="4" t="s">
        <v>396</v>
      </c>
      <c r="F3546" s="204" t="s">
        <v>2276</v>
      </c>
      <c r="G3546" s="4" t="s">
        <v>2662</v>
      </c>
      <c r="H3546" s="4" t="s">
        <v>523</v>
      </c>
      <c r="I3546" s="204">
        <v>2016</v>
      </c>
      <c r="J3546" s="21" t="s">
        <v>2276</v>
      </c>
      <c r="K3546" s="21" t="s">
        <v>2276</v>
      </c>
      <c r="L3546" s="21" t="s">
        <v>2276</v>
      </c>
      <c r="M3546" s="21" t="s">
        <v>2276</v>
      </c>
      <c r="N3546" s="21" t="s">
        <v>2276</v>
      </c>
      <c r="O3546" s="21" t="s">
        <v>2276</v>
      </c>
      <c r="P3546" s="21" t="s">
        <v>2276</v>
      </c>
      <c r="Q3546" s="21" t="s">
        <v>2276</v>
      </c>
      <c r="R3546" s="21" t="s">
        <v>2276</v>
      </c>
      <c r="S3546" s="21" t="s">
        <v>2276</v>
      </c>
      <c r="T3546" s="21">
        <f>(5132*100)-SUM(T3544,T3545,T3547,T3548)</f>
        <v>169356</v>
      </c>
      <c r="U3546" s="21" t="s">
        <v>2276</v>
      </c>
      <c r="V3546" s="21" t="s">
        <v>2276</v>
      </c>
      <c r="W3546" s="21" t="s">
        <v>2276</v>
      </c>
      <c r="X3546" s="21">
        <f>T3546/'Record info'!K$1457</f>
        <v>1.8817333333333333</v>
      </c>
      <c r="Y3546" s="21" t="s">
        <v>2276</v>
      </c>
      <c r="Z3546" s="204" t="s">
        <v>127</v>
      </c>
      <c r="AA3546" s="204" t="s">
        <v>188</v>
      </c>
      <c r="AB3546" s="21" t="s">
        <v>2276</v>
      </c>
      <c r="AC3546" s="4" t="s">
        <v>9184</v>
      </c>
      <c r="AD3546" s="204"/>
    </row>
    <row r="3547" spans="1:30" ht="98" customHeight="1">
      <c r="A3547" s="11" t="s">
        <v>9279</v>
      </c>
      <c r="B3547" s="11" t="s">
        <v>9286</v>
      </c>
      <c r="C3547" s="204" t="s">
        <v>2458</v>
      </c>
      <c r="D3547" s="204" t="s">
        <v>2276</v>
      </c>
      <c r="E3547" s="204" t="s">
        <v>2276</v>
      </c>
      <c r="F3547" s="204" t="s">
        <v>2276</v>
      </c>
      <c r="G3547" s="204" t="s">
        <v>55</v>
      </c>
      <c r="H3547" s="4" t="s">
        <v>523</v>
      </c>
      <c r="I3547" s="204">
        <v>2016</v>
      </c>
      <c r="J3547" s="21" t="s">
        <v>2276</v>
      </c>
      <c r="K3547" s="21" t="s">
        <v>2276</v>
      </c>
      <c r="L3547" s="21" t="s">
        <v>2276</v>
      </c>
      <c r="M3547" s="21" t="s">
        <v>2276</v>
      </c>
      <c r="N3547" s="21" t="s">
        <v>2276</v>
      </c>
      <c r="O3547" s="21" t="s">
        <v>2276</v>
      </c>
      <c r="P3547" s="21" t="s">
        <v>2276</v>
      </c>
      <c r="Q3547" s="21" t="s">
        <v>2276</v>
      </c>
      <c r="R3547" s="21" t="s">
        <v>2276</v>
      </c>
      <c r="S3547" s="21" t="s">
        <v>2276</v>
      </c>
      <c r="T3547" s="21">
        <f>5132*100*0.1</f>
        <v>51320</v>
      </c>
      <c r="U3547" s="21" t="s">
        <v>2276</v>
      </c>
      <c r="V3547" s="21">
        <f>T3547/('Record info'!K$1457*'Land use'!O1457/100)</f>
        <v>4.7518518518518515</v>
      </c>
      <c r="W3547" s="21" t="s">
        <v>2276</v>
      </c>
      <c r="X3547" s="21">
        <f>T3547/'Record info'!K$1457</f>
        <v>0.57022222222222219</v>
      </c>
      <c r="Y3547" s="21" t="s">
        <v>2276</v>
      </c>
      <c r="Z3547" s="204" t="s">
        <v>127</v>
      </c>
      <c r="AA3547" s="204" t="s">
        <v>188</v>
      </c>
      <c r="AB3547" s="21" t="s">
        <v>2276</v>
      </c>
      <c r="AC3547" s="4" t="s">
        <v>9184</v>
      </c>
      <c r="AD3547" s="204"/>
    </row>
    <row r="3548" spans="1:30" ht="98" customHeight="1">
      <c r="A3548" s="11" t="s">
        <v>9279</v>
      </c>
      <c r="B3548" s="11" t="s">
        <v>9287</v>
      </c>
      <c r="C3548" s="204" t="s">
        <v>2458</v>
      </c>
      <c r="D3548" s="204" t="s">
        <v>2276</v>
      </c>
      <c r="E3548" s="204" t="s">
        <v>2276</v>
      </c>
      <c r="F3548" s="204" t="s">
        <v>2276</v>
      </c>
      <c r="G3548" s="204" t="s">
        <v>28</v>
      </c>
      <c r="H3548" s="4" t="s">
        <v>523</v>
      </c>
      <c r="I3548" s="204">
        <v>2016</v>
      </c>
      <c r="J3548" s="21" t="s">
        <v>2276</v>
      </c>
      <c r="K3548" s="21" t="s">
        <v>2276</v>
      </c>
      <c r="L3548" s="21" t="s">
        <v>2276</v>
      </c>
      <c r="M3548" s="21" t="s">
        <v>2276</v>
      </c>
      <c r="N3548" s="21" t="s">
        <v>2276</v>
      </c>
      <c r="O3548" s="21" t="s">
        <v>2276</v>
      </c>
      <c r="P3548" s="21" t="s">
        <v>2276</v>
      </c>
      <c r="Q3548" s="21" t="s">
        <v>2276</v>
      </c>
      <c r="R3548" s="21" t="s">
        <v>2276</v>
      </c>
      <c r="S3548" s="21" t="s">
        <v>2276</v>
      </c>
      <c r="T3548" s="21">
        <f>5132*100*0.02</f>
        <v>10264</v>
      </c>
      <c r="U3548" s="21" t="s">
        <v>2276</v>
      </c>
      <c r="V3548" s="21">
        <f>T3548/('Record info'!K$1457*'Land use'!P1457/100)</f>
        <v>1.1404444444444444</v>
      </c>
      <c r="W3548" s="21" t="s">
        <v>2276</v>
      </c>
      <c r="X3548" s="21">
        <f>T3548/'Record info'!K$1457</f>
        <v>0.11404444444444445</v>
      </c>
      <c r="Y3548" s="21" t="s">
        <v>2276</v>
      </c>
      <c r="Z3548" s="204" t="s">
        <v>127</v>
      </c>
      <c r="AA3548" s="204" t="s">
        <v>188</v>
      </c>
      <c r="AB3548" s="21" t="s">
        <v>2276</v>
      </c>
      <c r="AC3548" s="4" t="s">
        <v>9184</v>
      </c>
      <c r="AD3548" s="204"/>
    </row>
    <row r="3549" spans="1:30" ht="41" customHeight="1">
      <c r="A3549" s="11" t="s">
        <v>9293</v>
      </c>
      <c r="B3549" s="11" t="s">
        <v>9297</v>
      </c>
      <c r="C3549" s="204" t="s">
        <v>1105</v>
      </c>
      <c r="D3549" s="204" t="s">
        <v>2276</v>
      </c>
      <c r="E3549" s="204" t="s">
        <v>2276</v>
      </c>
      <c r="F3549" s="204" t="s">
        <v>2276</v>
      </c>
      <c r="G3549" s="204" t="s">
        <v>74</v>
      </c>
      <c r="H3549" s="4" t="s">
        <v>523</v>
      </c>
      <c r="I3549" s="11">
        <v>2000</v>
      </c>
      <c r="J3549" s="21" t="s">
        <v>2276</v>
      </c>
      <c r="K3549" s="21" t="s">
        <v>2276</v>
      </c>
      <c r="L3549" s="21" t="s">
        <v>2276</v>
      </c>
      <c r="M3549" s="21" t="s">
        <v>2276</v>
      </c>
      <c r="N3549" s="21" t="s">
        <v>2276</v>
      </c>
      <c r="O3549" s="21" t="s">
        <v>2276</v>
      </c>
      <c r="P3549" s="21" t="s">
        <v>2276</v>
      </c>
      <c r="Q3549" s="21" t="s">
        <v>2276</v>
      </c>
      <c r="R3549" s="21" t="s">
        <v>2276</v>
      </c>
      <c r="S3549" s="21" t="s">
        <v>2276</v>
      </c>
      <c r="T3549" s="21" t="s">
        <v>2276</v>
      </c>
      <c r="U3549" s="21" t="s">
        <v>2276</v>
      </c>
      <c r="V3549" s="21" t="s">
        <v>2276</v>
      </c>
      <c r="W3549" s="21" t="s">
        <v>2276</v>
      </c>
      <c r="X3549" s="21" t="s">
        <v>2276</v>
      </c>
      <c r="Y3549" s="21" t="s">
        <v>2276</v>
      </c>
      <c r="Z3549" s="21" t="s">
        <v>2276</v>
      </c>
      <c r="AA3549" s="21" t="s">
        <v>2276</v>
      </c>
      <c r="AB3549" s="21" t="s">
        <v>2276</v>
      </c>
      <c r="AC3549" s="204"/>
      <c r="AD3549" s="204"/>
    </row>
    <row r="3550" spans="1:30" ht="36.5" customHeight="1">
      <c r="A3550" s="11" t="s">
        <v>9293</v>
      </c>
      <c r="B3550" s="11" t="s">
        <v>9298</v>
      </c>
      <c r="C3550" s="204" t="s">
        <v>1105</v>
      </c>
      <c r="D3550" s="204" t="s">
        <v>2276</v>
      </c>
      <c r="E3550" s="204" t="s">
        <v>2276</v>
      </c>
      <c r="F3550" s="204" t="s">
        <v>2276</v>
      </c>
      <c r="G3550" s="204" t="s">
        <v>74</v>
      </c>
      <c r="H3550" s="4" t="s">
        <v>523</v>
      </c>
      <c r="I3550" s="11">
        <v>2019</v>
      </c>
      <c r="J3550" s="21" t="s">
        <v>2276</v>
      </c>
      <c r="K3550" s="21" t="s">
        <v>2276</v>
      </c>
      <c r="L3550" s="21" t="s">
        <v>2276</v>
      </c>
      <c r="M3550" s="21" t="s">
        <v>2276</v>
      </c>
      <c r="N3550" s="21">
        <v>510000</v>
      </c>
      <c r="O3550" s="21" t="s">
        <v>2276</v>
      </c>
      <c r="P3550" s="21" t="s">
        <v>2276</v>
      </c>
      <c r="Q3550" s="21" t="s">
        <v>2276</v>
      </c>
      <c r="R3550" s="21" t="s">
        <v>2276</v>
      </c>
      <c r="S3550" s="21" t="s">
        <v>2276</v>
      </c>
      <c r="T3550" s="21">
        <v>5800000</v>
      </c>
      <c r="U3550" s="21" t="s">
        <v>2276</v>
      </c>
      <c r="V3550" s="21">
        <v>21</v>
      </c>
      <c r="W3550" s="21" t="s">
        <v>2276</v>
      </c>
      <c r="X3550" s="21">
        <f>T3550/'Record info'!K1459</f>
        <v>5.6387651493203341</v>
      </c>
      <c r="Y3550" s="21" t="s">
        <v>2276</v>
      </c>
      <c r="Z3550" s="204" t="s">
        <v>425</v>
      </c>
      <c r="AA3550" s="204" t="s">
        <v>399</v>
      </c>
      <c r="AB3550" s="21" t="s">
        <v>2276</v>
      </c>
      <c r="AC3550" s="204"/>
      <c r="AD3550" s="204"/>
    </row>
    <row r="3551" spans="1:30" ht="48" customHeight="1">
      <c r="A3551" s="11" t="s">
        <v>9302</v>
      </c>
      <c r="B3551" s="11" t="s">
        <v>9304</v>
      </c>
      <c r="C3551" s="204" t="s">
        <v>24</v>
      </c>
      <c r="D3551" s="204" t="s">
        <v>1242</v>
      </c>
      <c r="E3551" s="204" t="s">
        <v>2649</v>
      </c>
      <c r="F3551" s="204" t="s">
        <v>74</v>
      </c>
      <c r="G3551" s="204" t="s">
        <v>74</v>
      </c>
      <c r="H3551" s="4" t="s">
        <v>523</v>
      </c>
      <c r="I3551" s="204"/>
      <c r="J3551" s="21" t="s">
        <v>2276</v>
      </c>
      <c r="K3551" s="21" t="s">
        <v>2276</v>
      </c>
      <c r="L3551" s="21" t="s">
        <v>2276</v>
      </c>
      <c r="M3551" s="21" t="s">
        <v>2276</v>
      </c>
      <c r="N3551" s="21" t="s">
        <v>2276</v>
      </c>
      <c r="O3551" s="21" t="s">
        <v>2276</v>
      </c>
      <c r="P3551" s="21" t="s">
        <v>2276</v>
      </c>
      <c r="Q3551" s="21" t="s">
        <v>2276</v>
      </c>
      <c r="R3551" s="21" t="s">
        <v>2276</v>
      </c>
      <c r="S3551" s="21" t="s">
        <v>2276</v>
      </c>
      <c r="T3551" s="21" t="s">
        <v>2276</v>
      </c>
      <c r="U3551" s="21" t="s">
        <v>2276</v>
      </c>
      <c r="V3551" s="21" t="s">
        <v>2276</v>
      </c>
      <c r="W3551" s="21" t="s">
        <v>2276</v>
      </c>
      <c r="X3551" s="21" t="s">
        <v>2276</v>
      </c>
      <c r="Y3551" s="21" t="s">
        <v>2276</v>
      </c>
      <c r="Z3551" s="21" t="s">
        <v>2276</v>
      </c>
      <c r="AA3551" s="21" t="s">
        <v>2276</v>
      </c>
      <c r="AB3551" s="21" t="s">
        <v>2276</v>
      </c>
      <c r="AC3551" s="204"/>
      <c r="AD3551" s="204"/>
    </row>
    <row r="3552" spans="1:30" ht="48" customHeight="1">
      <c r="A3552" s="11" t="s">
        <v>9303</v>
      </c>
      <c r="B3552" s="11" t="s">
        <v>9305</v>
      </c>
      <c r="C3552" s="204" t="s">
        <v>24</v>
      </c>
      <c r="D3552" s="204" t="s">
        <v>1242</v>
      </c>
      <c r="E3552" s="204" t="s">
        <v>2649</v>
      </c>
      <c r="F3552" s="204" t="s">
        <v>74</v>
      </c>
      <c r="G3552" s="204" t="s">
        <v>74</v>
      </c>
      <c r="H3552" s="4" t="s">
        <v>523</v>
      </c>
      <c r="I3552" s="204"/>
      <c r="J3552" s="21" t="s">
        <v>2276</v>
      </c>
      <c r="K3552" s="21" t="s">
        <v>2276</v>
      </c>
      <c r="L3552" s="21" t="s">
        <v>2276</v>
      </c>
      <c r="M3552" s="21" t="s">
        <v>2276</v>
      </c>
      <c r="N3552" s="21" t="s">
        <v>2276</v>
      </c>
      <c r="O3552" s="21" t="s">
        <v>2276</v>
      </c>
      <c r="P3552" s="21" t="s">
        <v>2276</v>
      </c>
      <c r="Q3552" s="21" t="s">
        <v>2276</v>
      </c>
      <c r="R3552" s="21" t="s">
        <v>2276</v>
      </c>
      <c r="S3552" s="21" t="s">
        <v>2276</v>
      </c>
      <c r="T3552" s="21" t="s">
        <v>2276</v>
      </c>
      <c r="U3552" s="21" t="s">
        <v>2276</v>
      </c>
      <c r="V3552" s="21" t="s">
        <v>2276</v>
      </c>
      <c r="W3552" s="21" t="s">
        <v>2276</v>
      </c>
      <c r="X3552" s="21" t="s">
        <v>2276</v>
      </c>
      <c r="Y3552" s="21" t="s">
        <v>2276</v>
      </c>
      <c r="Z3552" s="21" t="s">
        <v>2276</v>
      </c>
      <c r="AA3552" s="21" t="s">
        <v>2276</v>
      </c>
      <c r="AB3552" s="21" t="s">
        <v>2276</v>
      </c>
      <c r="AC3552" s="204"/>
      <c r="AD3552" s="204"/>
    </row>
    <row r="3553" spans="1:30" ht="54" customHeight="1">
      <c r="A3553" s="11" t="s">
        <v>9302</v>
      </c>
      <c r="B3553" s="11" t="s">
        <v>9306</v>
      </c>
      <c r="C3553" s="204" t="s">
        <v>24</v>
      </c>
      <c r="D3553" s="204" t="s">
        <v>1242</v>
      </c>
      <c r="E3553" s="204" t="s">
        <v>3209</v>
      </c>
      <c r="F3553" s="204" t="s">
        <v>74</v>
      </c>
      <c r="G3553" s="204" t="s">
        <v>74</v>
      </c>
      <c r="H3553" s="4" t="s">
        <v>523</v>
      </c>
      <c r="I3553" s="204"/>
      <c r="J3553" s="21" t="s">
        <v>2276</v>
      </c>
      <c r="K3553" s="21" t="s">
        <v>2276</v>
      </c>
      <c r="L3553" s="21" t="s">
        <v>2276</v>
      </c>
      <c r="M3553" s="21" t="s">
        <v>2276</v>
      </c>
      <c r="N3553" s="21" t="s">
        <v>2276</v>
      </c>
      <c r="O3553" s="21" t="s">
        <v>2276</v>
      </c>
      <c r="P3553" s="21" t="s">
        <v>2276</v>
      </c>
      <c r="Q3553" s="21" t="s">
        <v>2276</v>
      </c>
      <c r="R3553" s="21" t="s">
        <v>2276</v>
      </c>
      <c r="S3553" s="21" t="s">
        <v>2276</v>
      </c>
      <c r="T3553" s="21" t="s">
        <v>2276</v>
      </c>
      <c r="U3553" s="21" t="s">
        <v>2276</v>
      </c>
      <c r="V3553" s="21" t="s">
        <v>2276</v>
      </c>
      <c r="W3553" s="21" t="s">
        <v>2276</v>
      </c>
      <c r="X3553" s="21" t="s">
        <v>2276</v>
      </c>
      <c r="Y3553" s="21" t="s">
        <v>2276</v>
      </c>
      <c r="Z3553" s="21" t="s">
        <v>2276</v>
      </c>
      <c r="AA3553" s="21" t="s">
        <v>2276</v>
      </c>
      <c r="AB3553" s="21" t="s">
        <v>2276</v>
      </c>
      <c r="AC3553" s="204"/>
      <c r="AD3553" s="204"/>
    </row>
    <row r="3554" spans="1:30" ht="47" customHeight="1">
      <c r="A3554" s="11" t="s">
        <v>9303</v>
      </c>
      <c r="B3554" s="11" t="s">
        <v>9307</v>
      </c>
      <c r="C3554" s="204" t="s">
        <v>24</v>
      </c>
      <c r="D3554" s="204" t="s">
        <v>1242</v>
      </c>
      <c r="E3554" s="204" t="s">
        <v>3209</v>
      </c>
      <c r="F3554" s="204" t="s">
        <v>74</v>
      </c>
      <c r="G3554" s="204" t="s">
        <v>74</v>
      </c>
      <c r="H3554" s="4" t="s">
        <v>523</v>
      </c>
      <c r="I3554" s="204"/>
      <c r="J3554" s="21" t="s">
        <v>2276</v>
      </c>
      <c r="K3554" s="21" t="s">
        <v>2276</v>
      </c>
      <c r="L3554" s="21" t="s">
        <v>2276</v>
      </c>
      <c r="M3554" s="21" t="s">
        <v>2276</v>
      </c>
      <c r="N3554" s="21" t="s">
        <v>2276</v>
      </c>
      <c r="O3554" s="21" t="s">
        <v>2276</v>
      </c>
      <c r="P3554" s="21" t="s">
        <v>2276</v>
      </c>
      <c r="Q3554" s="21" t="s">
        <v>2276</v>
      </c>
      <c r="R3554" s="21" t="s">
        <v>2276</v>
      </c>
      <c r="S3554" s="21" t="s">
        <v>2276</v>
      </c>
      <c r="T3554" s="21" t="s">
        <v>2276</v>
      </c>
      <c r="U3554" s="21" t="s">
        <v>2276</v>
      </c>
      <c r="V3554" s="21" t="s">
        <v>2276</v>
      </c>
      <c r="W3554" s="21" t="s">
        <v>2276</v>
      </c>
      <c r="X3554" s="21" t="s">
        <v>2276</v>
      </c>
      <c r="Y3554" s="21" t="s">
        <v>2276</v>
      </c>
      <c r="Z3554" s="21" t="s">
        <v>2276</v>
      </c>
      <c r="AA3554" s="21" t="s">
        <v>2276</v>
      </c>
      <c r="AB3554" s="21" t="s">
        <v>2276</v>
      </c>
      <c r="AC3554" s="204"/>
      <c r="AD3554" s="204"/>
    </row>
    <row r="3555" spans="1:30" ht="46" customHeight="1">
      <c r="A3555" s="19" t="s">
        <v>9314</v>
      </c>
      <c r="B3555" s="19" t="s">
        <v>9316</v>
      </c>
      <c r="C3555" s="4" t="s">
        <v>24</v>
      </c>
      <c r="D3555" s="4" t="s">
        <v>1242</v>
      </c>
      <c r="E3555" s="4" t="s">
        <v>3209</v>
      </c>
      <c r="F3555" s="4" t="s">
        <v>2662</v>
      </c>
      <c r="G3555" s="4" t="s">
        <v>2662</v>
      </c>
      <c r="H3555" s="4" t="s">
        <v>523</v>
      </c>
      <c r="I3555" s="4"/>
      <c r="J3555" s="75" t="s">
        <v>2276</v>
      </c>
      <c r="K3555" s="75" t="s">
        <v>2276</v>
      </c>
      <c r="L3555" s="75" t="s">
        <v>2276</v>
      </c>
      <c r="M3555" s="75" t="s">
        <v>2276</v>
      </c>
      <c r="N3555" s="75" t="s">
        <v>2276</v>
      </c>
      <c r="O3555" s="75" t="s">
        <v>2276</v>
      </c>
      <c r="P3555" s="75" t="s">
        <v>2276</v>
      </c>
      <c r="Q3555" s="75" t="s">
        <v>2276</v>
      </c>
      <c r="R3555" s="75" t="s">
        <v>2276</v>
      </c>
      <c r="S3555" s="75">
        <f>1300*100</f>
        <v>130000</v>
      </c>
      <c r="T3555" s="75" t="s">
        <v>2276</v>
      </c>
      <c r="U3555" s="75">
        <v>1.7</v>
      </c>
      <c r="V3555" s="75" t="s">
        <v>2276</v>
      </c>
      <c r="W3555" s="75" t="s">
        <v>2276</v>
      </c>
      <c r="X3555" s="75" t="s">
        <v>2276</v>
      </c>
      <c r="Y3555" s="75" t="s">
        <v>2276</v>
      </c>
      <c r="Z3555" s="75" t="s">
        <v>2276</v>
      </c>
      <c r="AA3555" s="75" t="s">
        <v>2276</v>
      </c>
      <c r="AB3555" s="75" t="s">
        <v>2276</v>
      </c>
      <c r="AC3555" s="82" t="s">
        <v>9317</v>
      </c>
      <c r="AD3555" s="4"/>
    </row>
    <row r="3556" spans="1:30" ht="46" customHeight="1">
      <c r="A3556" s="11" t="s">
        <v>9322</v>
      </c>
      <c r="B3556" s="11" t="s">
        <v>9324</v>
      </c>
      <c r="C3556" s="4" t="s">
        <v>24</v>
      </c>
      <c r="D3556" s="4" t="s">
        <v>1105</v>
      </c>
      <c r="E3556" s="204" t="s">
        <v>1105</v>
      </c>
      <c r="F3556" s="4" t="s">
        <v>2662</v>
      </c>
      <c r="G3556" s="4" t="s">
        <v>2662</v>
      </c>
      <c r="H3556" s="4" t="s">
        <v>523</v>
      </c>
      <c r="I3556" s="204"/>
      <c r="J3556" s="75" t="s">
        <v>2276</v>
      </c>
      <c r="K3556" s="75" t="s">
        <v>2276</v>
      </c>
      <c r="L3556" s="75" t="s">
        <v>2276</v>
      </c>
      <c r="M3556" s="75" t="s">
        <v>2276</v>
      </c>
      <c r="N3556" s="75" t="s">
        <v>2276</v>
      </c>
      <c r="O3556" s="75" t="s">
        <v>2276</v>
      </c>
      <c r="P3556" s="75" t="s">
        <v>2276</v>
      </c>
      <c r="Q3556" s="75" t="s">
        <v>2276</v>
      </c>
      <c r="R3556" s="75" t="s">
        <v>2276</v>
      </c>
      <c r="S3556" s="75" t="s">
        <v>2276</v>
      </c>
      <c r="T3556" s="14">
        <v>270000</v>
      </c>
      <c r="U3556" s="75" t="s">
        <v>2276</v>
      </c>
      <c r="V3556" s="75" t="s">
        <v>2276</v>
      </c>
      <c r="W3556" s="75" t="s">
        <v>2276</v>
      </c>
      <c r="X3556" s="75" t="s">
        <v>2276</v>
      </c>
      <c r="Y3556" s="75" t="s">
        <v>2276</v>
      </c>
      <c r="Z3556" s="75" t="s">
        <v>2276</v>
      </c>
      <c r="AA3556" s="75" t="s">
        <v>2276</v>
      </c>
      <c r="AB3556" s="75" t="s">
        <v>2276</v>
      </c>
      <c r="AC3556" s="4" t="s">
        <v>9330</v>
      </c>
      <c r="AD3556" s="204"/>
    </row>
    <row r="3557" spans="1:30" ht="43" customHeight="1">
      <c r="A3557" s="11" t="s">
        <v>9322</v>
      </c>
      <c r="B3557" s="11" t="s">
        <v>9325</v>
      </c>
      <c r="C3557" s="4" t="s">
        <v>24</v>
      </c>
      <c r="D3557" s="204" t="s">
        <v>1242</v>
      </c>
      <c r="E3557" s="204" t="s">
        <v>137</v>
      </c>
      <c r="F3557" s="4" t="s">
        <v>2662</v>
      </c>
      <c r="G3557" s="4" t="s">
        <v>2662</v>
      </c>
      <c r="H3557" s="4" t="s">
        <v>523</v>
      </c>
      <c r="I3557" s="204"/>
      <c r="J3557" s="75" t="s">
        <v>2276</v>
      </c>
      <c r="K3557" s="75" t="s">
        <v>2276</v>
      </c>
      <c r="L3557" s="75" t="s">
        <v>2276</v>
      </c>
      <c r="M3557" s="75" t="s">
        <v>2276</v>
      </c>
      <c r="N3557" s="75" t="s">
        <v>2276</v>
      </c>
      <c r="O3557" s="75" t="s">
        <v>2276</v>
      </c>
      <c r="P3557" s="75" t="s">
        <v>2276</v>
      </c>
      <c r="Q3557" s="75" t="s">
        <v>2276</v>
      </c>
      <c r="R3557" s="75" t="s">
        <v>2276</v>
      </c>
      <c r="S3557" s="75" t="s">
        <v>2276</v>
      </c>
      <c r="T3557" s="75" t="s">
        <v>2276</v>
      </c>
      <c r="U3557" s="75" t="s">
        <v>2276</v>
      </c>
      <c r="V3557" s="75" t="s">
        <v>2276</v>
      </c>
      <c r="W3557" s="75" t="s">
        <v>2276</v>
      </c>
      <c r="X3557" s="75" t="s">
        <v>2276</v>
      </c>
      <c r="Y3557" s="75" t="s">
        <v>2276</v>
      </c>
      <c r="Z3557" s="75" t="s">
        <v>2276</v>
      </c>
      <c r="AA3557" s="75" t="s">
        <v>2276</v>
      </c>
      <c r="AB3557" s="75" t="s">
        <v>2276</v>
      </c>
      <c r="AC3557" s="204"/>
      <c r="AD3557" s="204"/>
    </row>
    <row r="3558" spans="1:30" ht="40" customHeight="1">
      <c r="A3558" s="11" t="s">
        <v>9322</v>
      </c>
      <c r="B3558" s="11" t="s">
        <v>9326</v>
      </c>
      <c r="C3558" s="4" t="s">
        <v>24</v>
      </c>
      <c r="D3558" s="204" t="s">
        <v>1242</v>
      </c>
      <c r="E3558" s="204" t="s">
        <v>2649</v>
      </c>
      <c r="F3558" s="4" t="s">
        <v>2662</v>
      </c>
      <c r="G3558" s="4" t="s">
        <v>2662</v>
      </c>
      <c r="H3558" s="4" t="s">
        <v>523</v>
      </c>
      <c r="I3558" s="204"/>
      <c r="J3558" s="75" t="s">
        <v>2276</v>
      </c>
      <c r="K3558" s="75" t="s">
        <v>2276</v>
      </c>
      <c r="L3558" s="75" t="s">
        <v>2276</v>
      </c>
      <c r="M3558" s="75" t="s">
        <v>2276</v>
      </c>
      <c r="N3558" s="75" t="s">
        <v>2276</v>
      </c>
      <c r="O3558" s="75" t="s">
        <v>2276</v>
      </c>
      <c r="P3558" s="75" t="s">
        <v>2276</v>
      </c>
      <c r="Q3558" s="75" t="s">
        <v>2276</v>
      </c>
      <c r="R3558" s="75" t="s">
        <v>2276</v>
      </c>
      <c r="S3558" s="75" t="s">
        <v>2276</v>
      </c>
      <c r="T3558" s="75" t="s">
        <v>2276</v>
      </c>
      <c r="U3558" s="75" t="s">
        <v>2276</v>
      </c>
      <c r="V3558" s="75" t="s">
        <v>2276</v>
      </c>
      <c r="W3558" s="75" t="s">
        <v>2276</v>
      </c>
      <c r="X3558" s="75" t="s">
        <v>2276</v>
      </c>
      <c r="Y3558" s="75" t="s">
        <v>2276</v>
      </c>
      <c r="Z3558" s="75" t="s">
        <v>2276</v>
      </c>
      <c r="AA3558" s="75" t="s">
        <v>2276</v>
      </c>
      <c r="AB3558" s="75" t="s">
        <v>2276</v>
      </c>
      <c r="AC3558" s="204"/>
      <c r="AD3558" s="204"/>
    </row>
    <row r="3559" spans="1:30" ht="47" customHeight="1">
      <c r="A3559" s="11" t="s">
        <v>9322</v>
      </c>
      <c r="B3559" s="11" t="s">
        <v>9327</v>
      </c>
      <c r="C3559" s="4" t="s">
        <v>24</v>
      </c>
      <c r="D3559" s="204" t="s">
        <v>1242</v>
      </c>
      <c r="E3559" s="204" t="s">
        <v>2653</v>
      </c>
      <c r="F3559" s="4" t="s">
        <v>2662</v>
      </c>
      <c r="G3559" s="4" t="s">
        <v>2662</v>
      </c>
      <c r="H3559" s="4" t="s">
        <v>523</v>
      </c>
      <c r="I3559" s="204"/>
      <c r="J3559" s="75" t="s">
        <v>2276</v>
      </c>
      <c r="K3559" s="75" t="s">
        <v>2276</v>
      </c>
      <c r="L3559" s="75" t="s">
        <v>2276</v>
      </c>
      <c r="M3559" s="75" t="s">
        <v>2276</v>
      </c>
      <c r="N3559" s="75" t="s">
        <v>2276</v>
      </c>
      <c r="O3559" s="75" t="s">
        <v>2276</v>
      </c>
      <c r="P3559" s="75" t="s">
        <v>2276</v>
      </c>
      <c r="Q3559" s="75" t="s">
        <v>2276</v>
      </c>
      <c r="R3559" s="75" t="s">
        <v>2276</v>
      </c>
      <c r="S3559" s="75" t="s">
        <v>2276</v>
      </c>
      <c r="T3559" s="75" t="s">
        <v>2276</v>
      </c>
      <c r="U3559" s="75" t="s">
        <v>2276</v>
      </c>
      <c r="V3559" s="75" t="s">
        <v>2276</v>
      </c>
      <c r="W3559" s="75" t="s">
        <v>2276</v>
      </c>
      <c r="X3559" s="75" t="s">
        <v>2276</v>
      </c>
      <c r="Y3559" s="75" t="s">
        <v>2276</v>
      </c>
      <c r="Z3559" s="75" t="s">
        <v>2276</v>
      </c>
      <c r="AA3559" s="75" t="s">
        <v>2276</v>
      </c>
      <c r="AB3559" s="75" t="s">
        <v>2276</v>
      </c>
      <c r="AC3559" s="204"/>
      <c r="AD3559" s="204"/>
    </row>
    <row r="3560" spans="1:30" ht="41" customHeight="1">
      <c r="A3560" s="11" t="s">
        <v>9322</v>
      </c>
      <c r="B3560" s="11" t="s">
        <v>9328</v>
      </c>
      <c r="C3560" s="4" t="s">
        <v>24</v>
      </c>
      <c r="D3560" s="204" t="s">
        <v>1242</v>
      </c>
      <c r="E3560" s="204" t="s">
        <v>3209</v>
      </c>
      <c r="F3560" s="4" t="s">
        <v>2662</v>
      </c>
      <c r="G3560" s="4" t="s">
        <v>2662</v>
      </c>
      <c r="H3560" s="4" t="s">
        <v>523</v>
      </c>
      <c r="I3560" s="204"/>
      <c r="J3560" s="75" t="s">
        <v>2276</v>
      </c>
      <c r="K3560" s="75" t="s">
        <v>2276</v>
      </c>
      <c r="L3560" s="75" t="s">
        <v>2276</v>
      </c>
      <c r="M3560" s="75" t="s">
        <v>2276</v>
      </c>
      <c r="N3560" s="75" t="s">
        <v>2276</v>
      </c>
      <c r="O3560" s="75" t="s">
        <v>2276</v>
      </c>
      <c r="P3560" s="75" t="s">
        <v>2276</v>
      </c>
      <c r="Q3560" s="75" t="s">
        <v>2276</v>
      </c>
      <c r="R3560" s="75" t="s">
        <v>2276</v>
      </c>
      <c r="S3560" s="75" t="s">
        <v>2276</v>
      </c>
      <c r="T3560" s="75" t="s">
        <v>2276</v>
      </c>
      <c r="U3560" s="75" t="s">
        <v>2276</v>
      </c>
      <c r="V3560" s="75" t="s">
        <v>2276</v>
      </c>
      <c r="W3560" s="75" t="s">
        <v>2276</v>
      </c>
      <c r="X3560" s="75" t="s">
        <v>2276</v>
      </c>
      <c r="Y3560" s="75" t="s">
        <v>2276</v>
      </c>
      <c r="Z3560" s="75" t="s">
        <v>2276</v>
      </c>
      <c r="AA3560" s="75" t="s">
        <v>2276</v>
      </c>
      <c r="AB3560" s="75" t="s">
        <v>2276</v>
      </c>
      <c r="AC3560" s="204"/>
      <c r="AD3560" s="204"/>
    </row>
    <row r="3561" spans="1:30" ht="44.5" customHeight="1">
      <c r="A3561" s="11" t="s">
        <v>9322</v>
      </c>
      <c r="B3561" s="11" t="s">
        <v>9329</v>
      </c>
      <c r="C3561" s="4" t="s">
        <v>24</v>
      </c>
      <c r="D3561" s="204" t="s">
        <v>1242</v>
      </c>
      <c r="E3561" s="204" t="s">
        <v>116</v>
      </c>
      <c r="F3561" s="4" t="s">
        <v>2662</v>
      </c>
      <c r="G3561" s="4" t="s">
        <v>2662</v>
      </c>
      <c r="H3561" s="4" t="s">
        <v>523</v>
      </c>
      <c r="I3561" s="204"/>
      <c r="J3561" s="75" t="s">
        <v>2276</v>
      </c>
      <c r="K3561" s="75" t="s">
        <v>2276</v>
      </c>
      <c r="L3561" s="75" t="s">
        <v>2276</v>
      </c>
      <c r="M3561" s="75" t="s">
        <v>2276</v>
      </c>
      <c r="N3561" s="75" t="s">
        <v>2276</v>
      </c>
      <c r="O3561" s="75" t="s">
        <v>2276</v>
      </c>
      <c r="P3561" s="75" t="s">
        <v>2276</v>
      </c>
      <c r="Q3561" s="75" t="s">
        <v>2276</v>
      </c>
      <c r="R3561" s="75" t="s">
        <v>2276</v>
      </c>
      <c r="S3561" s="75" t="s">
        <v>2276</v>
      </c>
      <c r="T3561" s="75" t="s">
        <v>2276</v>
      </c>
      <c r="U3561" s="75" t="s">
        <v>2276</v>
      </c>
      <c r="V3561" s="75" t="s">
        <v>2276</v>
      </c>
      <c r="W3561" s="75" t="s">
        <v>2276</v>
      </c>
      <c r="X3561" s="75" t="s">
        <v>2276</v>
      </c>
      <c r="Y3561" s="75" t="s">
        <v>2276</v>
      </c>
      <c r="Z3561" s="75" t="s">
        <v>2276</v>
      </c>
      <c r="AA3561" s="75" t="s">
        <v>2276</v>
      </c>
      <c r="AB3561" s="75" t="s">
        <v>2276</v>
      </c>
      <c r="AC3561" s="204"/>
      <c r="AD3561" s="204"/>
    </row>
    <row r="3562" spans="1:30" ht="39" customHeight="1">
      <c r="A3562" s="11" t="s">
        <v>9322</v>
      </c>
      <c r="B3562" s="11" t="s">
        <v>9331</v>
      </c>
      <c r="C3562" s="4" t="s">
        <v>24</v>
      </c>
      <c r="D3562" s="204" t="s">
        <v>144</v>
      </c>
      <c r="E3562" s="204" t="s">
        <v>137</v>
      </c>
      <c r="F3562" s="4" t="s">
        <v>2662</v>
      </c>
      <c r="G3562" s="4" t="s">
        <v>2662</v>
      </c>
      <c r="H3562" s="4" t="s">
        <v>523</v>
      </c>
      <c r="I3562" s="204"/>
      <c r="J3562" s="75" t="s">
        <v>2276</v>
      </c>
      <c r="K3562" s="75" t="s">
        <v>2276</v>
      </c>
      <c r="L3562" s="75" t="s">
        <v>2276</v>
      </c>
      <c r="M3562" s="75" t="s">
        <v>2276</v>
      </c>
      <c r="N3562" s="75" t="s">
        <v>2276</v>
      </c>
      <c r="O3562" s="75" t="s">
        <v>2276</v>
      </c>
      <c r="P3562" s="75" t="s">
        <v>2276</v>
      </c>
      <c r="Q3562" s="75" t="s">
        <v>2276</v>
      </c>
      <c r="R3562" s="75" t="s">
        <v>2276</v>
      </c>
      <c r="S3562" s="75" t="s">
        <v>2276</v>
      </c>
      <c r="T3562" s="75" t="s">
        <v>2276</v>
      </c>
      <c r="U3562" s="75" t="s">
        <v>2276</v>
      </c>
      <c r="V3562" s="75" t="s">
        <v>2276</v>
      </c>
      <c r="W3562" s="75" t="s">
        <v>2276</v>
      </c>
      <c r="X3562" s="75" t="s">
        <v>2276</v>
      </c>
      <c r="Y3562" s="75" t="s">
        <v>2276</v>
      </c>
      <c r="Z3562" s="75" t="s">
        <v>2276</v>
      </c>
      <c r="AA3562" s="75" t="s">
        <v>2276</v>
      </c>
      <c r="AB3562" s="75" t="s">
        <v>2276</v>
      </c>
      <c r="AC3562" s="204"/>
      <c r="AD3562" s="204"/>
    </row>
    <row r="3563" spans="1:30" ht="40" customHeight="1">
      <c r="A3563" s="11" t="s">
        <v>9322</v>
      </c>
      <c r="B3563" s="11" t="s">
        <v>9332</v>
      </c>
      <c r="C3563" s="4" t="s">
        <v>24</v>
      </c>
      <c r="D3563" s="204" t="s">
        <v>144</v>
      </c>
      <c r="E3563" s="204" t="s">
        <v>137</v>
      </c>
      <c r="F3563" s="4" t="s">
        <v>55</v>
      </c>
      <c r="G3563" s="4" t="s">
        <v>55</v>
      </c>
      <c r="H3563" s="4" t="s">
        <v>523</v>
      </c>
      <c r="I3563" s="204"/>
      <c r="J3563" s="75" t="s">
        <v>2276</v>
      </c>
      <c r="K3563" s="75" t="s">
        <v>2276</v>
      </c>
      <c r="L3563" s="75" t="s">
        <v>2276</v>
      </c>
      <c r="M3563" s="75" t="s">
        <v>2276</v>
      </c>
      <c r="N3563" s="75" t="s">
        <v>2276</v>
      </c>
      <c r="O3563" s="75" t="s">
        <v>2276</v>
      </c>
      <c r="P3563" s="75" t="s">
        <v>2276</v>
      </c>
      <c r="Q3563" s="75" t="s">
        <v>2276</v>
      </c>
      <c r="R3563" s="75" t="s">
        <v>2276</v>
      </c>
      <c r="S3563" s="75" t="s">
        <v>2276</v>
      </c>
      <c r="T3563" s="75" t="s">
        <v>2276</v>
      </c>
      <c r="U3563" s="75" t="s">
        <v>2276</v>
      </c>
      <c r="V3563" s="75" t="s">
        <v>2276</v>
      </c>
      <c r="W3563" s="75" t="s">
        <v>2276</v>
      </c>
      <c r="X3563" s="75" t="s">
        <v>2276</v>
      </c>
      <c r="Y3563" s="75" t="s">
        <v>2276</v>
      </c>
      <c r="Z3563" s="75" t="s">
        <v>2276</v>
      </c>
      <c r="AA3563" s="75" t="s">
        <v>2276</v>
      </c>
      <c r="AB3563" s="75" t="s">
        <v>2276</v>
      </c>
      <c r="AC3563" s="204"/>
      <c r="AD3563" s="204"/>
    </row>
    <row r="3564" spans="1:30" ht="41" customHeight="1">
      <c r="A3564" s="11" t="s">
        <v>9322</v>
      </c>
      <c r="B3564" s="11" t="s">
        <v>9333</v>
      </c>
      <c r="C3564" s="4" t="s">
        <v>24</v>
      </c>
      <c r="D3564" s="204" t="s">
        <v>144</v>
      </c>
      <c r="E3564" s="204" t="s">
        <v>137</v>
      </c>
      <c r="F3564" s="4" t="s">
        <v>74</v>
      </c>
      <c r="G3564" s="4" t="s">
        <v>74</v>
      </c>
      <c r="H3564" s="4" t="s">
        <v>523</v>
      </c>
      <c r="I3564" s="204"/>
      <c r="J3564" s="75" t="s">
        <v>2276</v>
      </c>
      <c r="K3564" s="75" t="s">
        <v>2276</v>
      </c>
      <c r="L3564" s="75" t="s">
        <v>2276</v>
      </c>
      <c r="M3564" s="75" t="s">
        <v>2276</v>
      </c>
      <c r="N3564" s="75" t="s">
        <v>2276</v>
      </c>
      <c r="O3564" s="75" t="s">
        <v>2276</v>
      </c>
      <c r="P3564" s="75" t="s">
        <v>2276</v>
      </c>
      <c r="Q3564" s="75" t="s">
        <v>2276</v>
      </c>
      <c r="R3564" s="75" t="s">
        <v>2276</v>
      </c>
      <c r="S3564" s="75" t="s">
        <v>2276</v>
      </c>
      <c r="T3564" s="75" t="s">
        <v>2276</v>
      </c>
      <c r="U3564" s="75" t="s">
        <v>2276</v>
      </c>
      <c r="V3564" s="75" t="s">
        <v>2276</v>
      </c>
      <c r="W3564" s="75" t="s">
        <v>2276</v>
      </c>
      <c r="X3564" s="75" t="s">
        <v>2276</v>
      </c>
      <c r="Y3564" s="75" t="s">
        <v>2276</v>
      </c>
      <c r="Z3564" s="75" t="s">
        <v>2276</v>
      </c>
      <c r="AA3564" s="75" t="s">
        <v>2276</v>
      </c>
      <c r="AB3564" s="75" t="s">
        <v>2276</v>
      </c>
      <c r="AC3564" s="204"/>
      <c r="AD3564" s="204"/>
    </row>
    <row r="3565" spans="1:30" ht="43.5" customHeight="1">
      <c r="A3565" s="11" t="s">
        <v>9322</v>
      </c>
      <c r="B3565" s="11" t="s">
        <v>9334</v>
      </c>
      <c r="C3565" s="4" t="s">
        <v>24</v>
      </c>
      <c r="D3565" s="204" t="s">
        <v>26</v>
      </c>
      <c r="E3565" s="204" t="s">
        <v>137</v>
      </c>
      <c r="F3565" s="4" t="s">
        <v>2662</v>
      </c>
      <c r="G3565" s="4" t="s">
        <v>2662</v>
      </c>
      <c r="H3565" s="4" t="s">
        <v>523</v>
      </c>
      <c r="I3565" s="204"/>
      <c r="J3565" s="75" t="s">
        <v>2276</v>
      </c>
      <c r="K3565" s="75" t="s">
        <v>2276</v>
      </c>
      <c r="L3565" s="75" t="s">
        <v>2276</v>
      </c>
      <c r="M3565" s="75" t="s">
        <v>2276</v>
      </c>
      <c r="N3565" s="75" t="s">
        <v>2276</v>
      </c>
      <c r="O3565" s="75" t="s">
        <v>2276</v>
      </c>
      <c r="P3565" s="75" t="s">
        <v>2276</v>
      </c>
      <c r="Q3565" s="75" t="s">
        <v>2276</v>
      </c>
      <c r="R3565" s="75" t="s">
        <v>2276</v>
      </c>
      <c r="S3565" s="75" t="s">
        <v>2276</v>
      </c>
      <c r="T3565" s="75" t="s">
        <v>2276</v>
      </c>
      <c r="U3565" s="75" t="s">
        <v>2276</v>
      </c>
      <c r="V3565" s="75" t="s">
        <v>2276</v>
      </c>
      <c r="W3565" s="75" t="s">
        <v>2276</v>
      </c>
      <c r="X3565" s="75" t="s">
        <v>2276</v>
      </c>
      <c r="Y3565" s="75" t="s">
        <v>2276</v>
      </c>
      <c r="Z3565" s="75" t="s">
        <v>2276</v>
      </c>
      <c r="AA3565" s="75" t="s">
        <v>2276</v>
      </c>
      <c r="AB3565" s="75" t="s">
        <v>2276</v>
      </c>
      <c r="AC3565" s="204"/>
      <c r="AD3565" s="204"/>
    </row>
    <row r="3566" spans="1:30" ht="54" customHeight="1">
      <c r="A3566" s="11" t="s">
        <v>9371</v>
      </c>
      <c r="B3566" s="11" t="s">
        <v>9373</v>
      </c>
      <c r="C3566" s="4" t="s">
        <v>24</v>
      </c>
      <c r="D3566" s="204" t="s">
        <v>2276</v>
      </c>
      <c r="E3566" s="204" t="s">
        <v>2276</v>
      </c>
      <c r="F3566" s="204" t="s">
        <v>2276</v>
      </c>
      <c r="G3566" s="4" t="s">
        <v>74</v>
      </c>
      <c r="H3566" s="4" t="s">
        <v>523</v>
      </c>
      <c r="I3566" s="204"/>
      <c r="J3566" s="239" t="s">
        <v>2276</v>
      </c>
      <c r="K3566" s="75" t="s">
        <v>2276</v>
      </c>
      <c r="L3566" s="75" t="s">
        <v>2276</v>
      </c>
      <c r="M3566" s="75" t="s">
        <v>2276</v>
      </c>
      <c r="N3566" s="75" t="s">
        <v>2276</v>
      </c>
      <c r="O3566" s="75" t="s">
        <v>2276</v>
      </c>
      <c r="P3566" s="75" t="s">
        <v>2276</v>
      </c>
      <c r="Q3566" s="75" t="s">
        <v>2276</v>
      </c>
      <c r="R3566" s="75" t="s">
        <v>2276</v>
      </c>
      <c r="S3566" s="75" t="s">
        <v>2276</v>
      </c>
      <c r="T3566" s="75" t="s">
        <v>2276</v>
      </c>
      <c r="U3566" s="75" t="s">
        <v>2276</v>
      </c>
      <c r="V3566" s="75" t="s">
        <v>2276</v>
      </c>
      <c r="W3566" s="75" t="s">
        <v>2276</v>
      </c>
      <c r="X3566" s="75" t="s">
        <v>2276</v>
      </c>
      <c r="Y3566" s="75" t="s">
        <v>2276</v>
      </c>
      <c r="Z3566" s="75" t="s">
        <v>2276</v>
      </c>
      <c r="AA3566" s="75" t="s">
        <v>2276</v>
      </c>
      <c r="AB3566" s="75" t="s">
        <v>2276</v>
      </c>
      <c r="AC3566" s="82" t="s">
        <v>9378</v>
      </c>
      <c r="AD3566" s="204"/>
    </row>
    <row r="3567" spans="1:30" ht="45.5" customHeight="1">
      <c r="A3567" s="11" t="s">
        <v>9371</v>
      </c>
      <c r="B3567" s="11" t="s">
        <v>9375</v>
      </c>
      <c r="C3567" s="4" t="s">
        <v>2656</v>
      </c>
      <c r="D3567" s="204" t="s">
        <v>2276</v>
      </c>
      <c r="E3567" s="204" t="s">
        <v>2276</v>
      </c>
      <c r="F3567" s="204" t="s">
        <v>2276</v>
      </c>
      <c r="G3567" s="4" t="s">
        <v>74</v>
      </c>
      <c r="H3567" s="4" t="s">
        <v>523</v>
      </c>
      <c r="I3567" s="204"/>
      <c r="J3567" s="239" t="s">
        <v>2276</v>
      </c>
      <c r="K3567" s="75" t="s">
        <v>2276</v>
      </c>
      <c r="L3567" s="75" t="s">
        <v>2276</v>
      </c>
      <c r="M3567" s="75" t="s">
        <v>2276</v>
      </c>
      <c r="N3567" s="75" t="s">
        <v>2276</v>
      </c>
      <c r="O3567" s="75" t="s">
        <v>2276</v>
      </c>
      <c r="P3567" s="75" t="s">
        <v>2276</v>
      </c>
      <c r="Q3567" s="75" t="s">
        <v>2276</v>
      </c>
      <c r="R3567" s="75" t="s">
        <v>2276</v>
      </c>
      <c r="S3567" s="75" t="s">
        <v>2276</v>
      </c>
      <c r="T3567" s="75" t="s">
        <v>2276</v>
      </c>
      <c r="U3567" s="75" t="s">
        <v>2276</v>
      </c>
      <c r="V3567" s="75" t="s">
        <v>2276</v>
      </c>
      <c r="W3567" s="75" t="s">
        <v>2276</v>
      </c>
      <c r="X3567" s="75" t="s">
        <v>2276</v>
      </c>
      <c r="Y3567" s="75" t="s">
        <v>2276</v>
      </c>
      <c r="Z3567" s="75" t="s">
        <v>2276</v>
      </c>
      <c r="AA3567" s="75" t="s">
        <v>2276</v>
      </c>
      <c r="AB3567" s="75" t="s">
        <v>2276</v>
      </c>
      <c r="AC3567" s="82" t="s">
        <v>9378</v>
      </c>
      <c r="AD3567" s="204"/>
    </row>
    <row r="3568" spans="1:30" ht="49.5" customHeight="1">
      <c r="A3568" s="11" t="s">
        <v>9371</v>
      </c>
      <c r="B3568" s="11" t="s">
        <v>9376</v>
      </c>
      <c r="C3568" s="4" t="s">
        <v>24</v>
      </c>
      <c r="D3568" s="204" t="s">
        <v>2276</v>
      </c>
      <c r="E3568" s="204" t="s">
        <v>2276</v>
      </c>
      <c r="F3568" s="204" t="s">
        <v>2276</v>
      </c>
      <c r="G3568" s="4" t="s">
        <v>160</v>
      </c>
      <c r="H3568" s="4" t="s">
        <v>523</v>
      </c>
      <c r="I3568" s="204"/>
      <c r="J3568" s="239" t="s">
        <v>2276</v>
      </c>
      <c r="K3568" s="75" t="s">
        <v>2276</v>
      </c>
      <c r="L3568" s="75" t="s">
        <v>2276</v>
      </c>
      <c r="M3568" s="75" t="s">
        <v>2276</v>
      </c>
      <c r="N3568" s="75" t="s">
        <v>2276</v>
      </c>
      <c r="O3568" s="75" t="s">
        <v>2276</v>
      </c>
      <c r="P3568" s="75" t="s">
        <v>2276</v>
      </c>
      <c r="Q3568" s="75" t="s">
        <v>2276</v>
      </c>
      <c r="R3568" s="75" t="s">
        <v>2276</v>
      </c>
      <c r="S3568" s="75" t="s">
        <v>2276</v>
      </c>
      <c r="T3568" s="75" t="s">
        <v>2276</v>
      </c>
      <c r="U3568" s="75" t="s">
        <v>2276</v>
      </c>
      <c r="V3568" s="75" t="s">
        <v>2276</v>
      </c>
      <c r="W3568" s="75" t="s">
        <v>2276</v>
      </c>
      <c r="X3568" s="75" t="s">
        <v>2276</v>
      </c>
      <c r="Y3568" s="75" t="s">
        <v>2276</v>
      </c>
      <c r="Z3568" s="75" t="s">
        <v>2276</v>
      </c>
      <c r="AA3568" s="75" t="s">
        <v>2276</v>
      </c>
      <c r="AB3568" s="75" t="s">
        <v>2276</v>
      </c>
      <c r="AC3568" s="82" t="s">
        <v>9378</v>
      </c>
      <c r="AD3568" s="204"/>
    </row>
    <row r="3569" spans="1:30" ht="42" customHeight="1">
      <c r="A3569" s="11" t="s">
        <v>9371</v>
      </c>
      <c r="B3569" s="11" t="s">
        <v>9377</v>
      </c>
      <c r="C3569" s="4" t="s">
        <v>2656</v>
      </c>
      <c r="D3569" s="204" t="s">
        <v>2276</v>
      </c>
      <c r="E3569" s="204" t="s">
        <v>2276</v>
      </c>
      <c r="F3569" s="204" t="s">
        <v>2276</v>
      </c>
      <c r="G3569" s="4" t="s">
        <v>160</v>
      </c>
      <c r="H3569" s="4" t="s">
        <v>523</v>
      </c>
      <c r="I3569" s="204"/>
      <c r="J3569" s="239" t="s">
        <v>2276</v>
      </c>
      <c r="K3569" s="75" t="s">
        <v>2276</v>
      </c>
      <c r="L3569" s="75" t="s">
        <v>2276</v>
      </c>
      <c r="M3569" s="75" t="s">
        <v>2276</v>
      </c>
      <c r="N3569" s="75" t="s">
        <v>2276</v>
      </c>
      <c r="O3569" s="75" t="s">
        <v>2276</v>
      </c>
      <c r="P3569" s="75" t="s">
        <v>2276</v>
      </c>
      <c r="Q3569" s="75" t="s">
        <v>2276</v>
      </c>
      <c r="R3569" s="75" t="s">
        <v>2276</v>
      </c>
      <c r="S3569" s="75" t="s">
        <v>2276</v>
      </c>
      <c r="T3569" s="75" t="s">
        <v>2276</v>
      </c>
      <c r="U3569" s="75" t="s">
        <v>2276</v>
      </c>
      <c r="V3569" s="75" t="s">
        <v>2276</v>
      </c>
      <c r="W3569" s="75" t="s">
        <v>2276</v>
      </c>
      <c r="X3569" s="75" t="s">
        <v>2276</v>
      </c>
      <c r="Y3569" s="75" t="s">
        <v>2276</v>
      </c>
      <c r="Z3569" s="75" t="s">
        <v>2276</v>
      </c>
      <c r="AA3569" s="75" t="s">
        <v>2276</v>
      </c>
      <c r="AB3569" s="75" t="s">
        <v>2276</v>
      </c>
      <c r="AC3569" s="82" t="s">
        <v>9378</v>
      </c>
      <c r="AD3569" s="204"/>
    </row>
    <row r="3570" spans="1:30" ht="40" customHeight="1">
      <c r="A3570" s="11" t="s">
        <v>9381</v>
      </c>
      <c r="B3570" s="11" t="s">
        <v>9384</v>
      </c>
      <c r="C3570" s="204" t="s">
        <v>1105</v>
      </c>
      <c r="D3570" s="204" t="s">
        <v>2276</v>
      </c>
      <c r="E3570" s="204" t="s">
        <v>2276</v>
      </c>
      <c r="F3570" s="204" t="s">
        <v>2276</v>
      </c>
      <c r="G3570" s="4" t="s">
        <v>74</v>
      </c>
      <c r="H3570" s="4" t="s">
        <v>523</v>
      </c>
      <c r="I3570" s="204"/>
      <c r="J3570" s="75" t="s">
        <v>2276</v>
      </c>
      <c r="K3570" s="75" t="s">
        <v>2276</v>
      </c>
      <c r="L3570" s="75" t="s">
        <v>2276</v>
      </c>
      <c r="M3570" s="75" t="s">
        <v>2276</v>
      </c>
      <c r="N3570" s="75" t="s">
        <v>2276</v>
      </c>
      <c r="O3570" s="75" t="s">
        <v>2276</v>
      </c>
      <c r="P3570" s="75" t="s">
        <v>2276</v>
      </c>
      <c r="Q3570" s="75" t="s">
        <v>2276</v>
      </c>
      <c r="R3570" s="75" t="s">
        <v>2276</v>
      </c>
      <c r="S3570" s="75" t="s">
        <v>2276</v>
      </c>
      <c r="T3570" s="75">
        <f>AVERAGE(144746, 28950)</f>
        <v>86848</v>
      </c>
      <c r="U3570" s="75" t="s">
        <v>2276</v>
      </c>
      <c r="V3570" s="75" t="s">
        <v>2276</v>
      </c>
      <c r="W3570" s="75" t="s">
        <v>2276</v>
      </c>
      <c r="X3570" s="21">
        <f>AVERAGE(1.287, 100*28950/'Record info'!K1476)</f>
        <v>0.72814912280701749</v>
      </c>
      <c r="Y3570" s="75" t="s">
        <v>2276</v>
      </c>
      <c r="Z3570" s="75" t="s">
        <v>2276</v>
      </c>
      <c r="AA3570" s="75" t="s">
        <v>2276</v>
      </c>
      <c r="AB3570" s="75" t="s">
        <v>2276</v>
      </c>
      <c r="AC3570" s="204"/>
      <c r="AD3570" s="204"/>
    </row>
    <row r="3571" spans="1:30" ht="65.5" customHeight="1">
      <c r="A3571" s="11" t="s">
        <v>9382</v>
      </c>
      <c r="B3571" s="11" t="s">
        <v>9383</v>
      </c>
      <c r="C3571" s="204" t="s">
        <v>24</v>
      </c>
      <c r="D3571" s="204" t="s">
        <v>2231</v>
      </c>
      <c r="E3571" s="204" t="s">
        <v>45</v>
      </c>
      <c r="F3571" s="4" t="s">
        <v>2662</v>
      </c>
      <c r="G3571" s="4" t="s">
        <v>2662</v>
      </c>
      <c r="H3571" s="4" t="s">
        <v>523</v>
      </c>
      <c r="I3571" s="204"/>
      <c r="J3571" s="75" t="s">
        <v>2276</v>
      </c>
      <c r="K3571" s="75" t="s">
        <v>2276</v>
      </c>
      <c r="L3571" s="75" t="s">
        <v>2276</v>
      </c>
      <c r="M3571" s="75" t="s">
        <v>2276</v>
      </c>
      <c r="N3571" s="75" t="s">
        <v>2276</v>
      </c>
      <c r="O3571" s="75" t="s">
        <v>2276</v>
      </c>
      <c r="P3571" s="75" t="s">
        <v>2276</v>
      </c>
      <c r="Q3571" s="75" t="s">
        <v>2276</v>
      </c>
      <c r="R3571" s="75" t="s">
        <v>2276</v>
      </c>
      <c r="S3571" s="75" t="s">
        <v>2276</v>
      </c>
      <c r="T3571" s="75" t="s">
        <v>2276</v>
      </c>
      <c r="U3571" s="75" t="s">
        <v>2276</v>
      </c>
      <c r="V3571" s="75" t="s">
        <v>2276</v>
      </c>
      <c r="W3571" s="75" t="s">
        <v>2276</v>
      </c>
      <c r="X3571" s="75" t="s">
        <v>2276</v>
      </c>
      <c r="Y3571" s="75" t="s">
        <v>2276</v>
      </c>
      <c r="Z3571" s="75" t="s">
        <v>2276</v>
      </c>
      <c r="AA3571" s="75" t="s">
        <v>2276</v>
      </c>
      <c r="AB3571" s="75" t="s">
        <v>2276</v>
      </c>
      <c r="AC3571" s="4" t="s">
        <v>9403</v>
      </c>
      <c r="AD3571" s="204"/>
    </row>
    <row r="3572" spans="1:30" ht="50" customHeight="1">
      <c r="A3572" s="11" t="s">
        <v>9382</v>
      </c>
      <c r="B3572" s="11" t="s">
        <v>9389</v>
      </c>
      <c r="C3572" s="204" t="s">
        <v>24</v>
      </c>
      <c r="D3572" s="204" t="s">
        <v>4162</v>
      </c>
      <c r="E3572" s="204" t="s">
        <v>116</v>
      </c>
      <c r="F3572" s="4" t="s">
        <v>2662</v>
      </c>
      <c r="G3572" s="4" t="s">
        <v>2662</v>
      </c>
      <c r="H3572" s="4" t="s">
        <v>523</v>
      </c>
      <c r="I3572" s="204"/>
      <c r="J3572" s="75" t="s">
        <v>2276</v>
      </c>
      <c r="K3572" s="75" t="s">
        <v>2276</v>
      </c>
      <c r="L3572" s="75" t="s">
        <v>2276</v>
      </c>
      <c r="M3572" s="75" t="s">
        <v>2276</v>
      </c>
      <c r="N3572" s="75" t="s">
        <v>2276</v>
      </c>
      <c r="O3572" s="75" t="s">
        <v>2276</v>
      </c>
      <c r="P3572" s="75" t="s">
        <v>2276</v>
      </c>
      <c r="Q3572" s="75" t="s">
        <v>2276</v>
      </c>
      <c r="R3572" s="75" t="s">
        <v>2276</v>
      </c>
      <c r="S3572" s="75" t="s">
        <v>2276</v>
      </c>
      <c r="T3572" s="75" t="s">
        <v>2276</v>
      </c>
      <c r="U3572" s="75" t="s">
        <v>2276</v>
      </c>
      <c r="V3572" s="75" t="s">
        <v>2276</v>
      </c>
      <c r="W3572" s="75" t="s">
        <v>2276</v>
      </c>
      <c r="X3572" s="75" t="s">
        <v>2276</v>
      </c>
      <c r="Y3572" s="75" t="s">
        <v>2276</v>
      </c>
      <c r="Z3572" s="75" t="s">
        <v>2276</v>
      </c>
      <c r="AA3572" s="75" t="s">
        <v>2276</v>
      </c>
      <c r="AB3572" s="75" t="s">
        <v>2276</v>
      </c>
      <c r="AC3572" s="204"/>
      <c r="AD3572" s="204"/>
    </row>
    <row r="3573" spans="1:30" ht="50" customHeight="1">
      <c r="A3573" s="11" t="s">
        <v>9382</v>
      </c>
      <c r="B3573" s="11" t="s">
        <v>9390</v>
      </c>
      <c r="C3573" s="204" t="s">
        <v>24</v>
      </c>
      <c r="D3573" s="204" t="s">
        <v>406</v>
      </c>
      <c r="E3573" s="204" t="s">
        <v>2276</v>
      </c>
      <c r="F3573" s="4" t="s">
        <v>2662</v>
      </c>
      <c r="G3573" s="4" t="s">
        <v>2662</v>
      </c>
      <c r="H3573" s="4" t="s">
        <v>523</v>
      </c>
      <c r="I3573" s="204"/>
      <c r="J3573" s="75" t="s">
        <v>2276</v>
      </c>
      <c r="K3573" s="75" t="s">
        <v>2276</v>
      </c>
      <c r="L3573" s="75" t="s">
        <v>2276</v>
      </c>
      <c r="M3573" s="75" t="s">
        <v>2276</v>
      </c>
      <c r="N3573" s="75" t="s">
        <v>2276</v>
      </c>
      <c r="O3573" s="75" t="s">
        <v>2276</v>
      </c>
      <c r="P3573" s="75" t="s">
        <v>2276</v>
      </c>
      <c r="Q3573" s="75" t="s">
        <v>2276</v>
      </c>
      <c r="R3573" s="75" t="s">
        <v>2276</v>
      </c>
      <c r="S3573" s="75" t="s">
        <v>2276</v>
      </c>
      <c r="T3573" s="75" t="s">
        <v>2276</v>
      </c>
      <c r="U3573" s="75" t="s">
        <v>2276</v>
      </c>
      <c r="V3573" s="75" t="s">
        <v>2276</v>
      </c>
      <c r="W3573" s="75" t="s">
        <v>2276</v>
      </c>
      <c r="X3573" s="75" t="s">
        <v>2276</v>
      </c>
      <c r="Y3573" s="75" t="s">
        <v>2276</v>
      </c>
      <c r="Z3573" s="75" t="s">
        <v>2276</v>
      </c>
      <c r="AA3573" s="75" t="s">
        <v>2276</v>
      </c>
      <c r="AB3573" s="75" t="s">
        <v>2276</v>
      </c>
      <c r="AC3573" s="204"/>
      <c r="AD3573" s="204"/>
    </row>
    <row r="3574" spans="1:30" ht="44.5" customHeight="1">
      <c r="A3574" s="11" t="s">
        <v>9382</v>
      </c>
      <c r="B3574" s="11" t="s">
        <v>9392</v>
      </c>
      <c r="C3574" s="204" t="s">
        <v>1105</v>
      </c>
      <c r="D3574" s="204" t="s">
        <v>2276</v>
      </c>
      <c r="E3574" s="204" t="s">
        <v>2276</v>
      </c>
      <c r="F3574" s="4" t="s">
        <v>55</v>
      </c>
      <c r="G3574" s="4" t="s">
        <v>55</v>
      </c>
      <c r="H3574" s="4" t="s">
        <v>523</v>
      </c>
      <c r="I3574" s="204"/>
      <c r="J3574" s="75" t="s">
        <v>2276</v>
      </c>
      <c r="K3574" s="75" t="s">
        <v>2276</v>
      </c>
      <c r="L3574" s="75" t="s">
        <v>2276</v>
      </c>
      <c r="M3574" s="75" t="s">
        <v>2276</v>
      </c>
      <c r="N3574" s="75" t="s">
        <v>2276</v>
      </c>
      <c r="O3574" s="75" t="s">
        <v>2276</v>
      </c>
      <c r="P3574" s="75" t="s">
        <v>2276</v>
      </c>
      <c r="Q3574" s="75" t="s">
        <v>2276</v>
      </c>
      <c r="R3574" s="75" t="s">
        <v>2276</v>
      </c>
      <c r="S3574" s="75" t="s">
        <v>2276</v>
      </c>
      <c r="T3574" s="75" t="s">
        <v>2276</v>
      </c>
      <c r="U3574" s="75" t="s">
        <v>2276</v>
      </c>
      <c r="V3574" s="75" t="s">
        <v>2276</v>
      </c>
      <c r="W3574" s="75" t="s">
        <v>2276</v>
      </c>
      <c r="X3574" s="75" t="s">
        <v>2276</v>
      </c>
      <c r="Y3574" s="75" t="s">
        <v>2276</v>
      </c>
      <c r="Z3574" s="204" t="s">
        <v>34</v>
      </c>
      <c r="AA3574" s="204" t="s">
        <v>425</v>
      </c>
      <c r="AB3574" s="75" t="s">
        <v>2276</v>
      </c>
      <c r="AC3574" s="144" t="s">
        <v>9393</v>
      </c>
      <c r="AD3574" s="204" t="s">
        <v>9394</v>
      </c>
    </row>
    <row r="3575" spans="1:30" ht="55.5" customHeight="1">
      <c r="A3575" s="11" t="s">
        <v>9382</v>
      </c>
      <c r="B3575" s="11" t="s">
        <v>9396</v>
      </c>
      <c r="C3575" s="204" t="s">
        <v>24</v>
      </c>
      <c r="D3575" s="204" t="s">
        <v>25</v>
      </c>
      <c r="E3575" s="204" t="s">
        <v>45</v>
      </c>
      <c r="F3575" s="4" t="s">
        <v>55</v>
      </c>
      <c r="G3575" s="4" t="s">
        <v>55</v>
      </c>
      <c r="H3575" s="4" t="s">
        <v>523</v>
      </c>
      <c r="I3575" s="204"/>
      <c r="J3575" s="75" t="s">
        <v>2276</v>
      </c>
      <c r="K3575" s="75" t="s">
        <v>2276</v>
      </c>
      <c r="L3575" s="75" t="s">
        <v>2276</v>
      </c>
      <c r="M3575" s="75" t="s">
        <v>2276</v>
      </c>
      <c r="N3575" s="75" t="s">
        <v>2276</v>
      </c>
      <c r="O3575" s="75" t="s">
        <v>2276</v>
      </c>
      <c r="P3575" s="75" t="s">
        <v>2276</v>
      </c>
      <c r="Q3575" s="75" t="s">
        <v>2276</v>
      </c>
      <c r="R3575" s="75" t="s">
        <v>2276</v>
      </c>
      <c r="S3575" s="75" t="s">
        <v>2276</v>
      </c>
      <c r="T3575" s="75" t="s">
        <v>2276</v>
      </c>
      <c r="U3575" s="75" t="s">
        <v>2276</v>
      </c>
      <c r="V3575" s="75" t="s">
        <v>2276</v>
      </c>
      <c r="W3575" s="75" t="s">
        <v>2276</v>
      </c>
      <c r="X3575" s="75" t="s">
        <v>2276</v>
      </c>
      <c r="Y3575" s="75" t="s">
        <v>2276</v>
      </c>
      <c r="Z3575" s="204" t="s">
        <v>34</v>
      </c>
      <c r="AA3575" s="204" t="s">
        <v>425</v>
      </c>
      <c r="AB3575" s="75" t="s">
        <v>2276</v>
      </c>
      <c r="AC3575" s="204"/>
      <c r="AD3575" s="204"/>
    </row>
    <row r="3576" spans="1:30" ht="55.5" customHeight="1">
      <c r="A3576" s="11" t="s">
        <v>9382</v>
      </c>
      <c r="B3576" s="11" t="s">
        <v>9398</v>
      </c>
      <c r="C3576" s="204" t="s">
        <v>24</v>
      </c>
      <c r="D3576" s="204" t="s">
        <v>2231</v>
      </c>
      <c r="E3576" s="204" t="s">
        <v>5005</v>
      </c>
      <c r="F3576" s="4" t="s">
        <v>2662</v>
      </c>
      <c r="G3576" s="4" t="s">
        <v>2662</v>
      </c>
      <c r="H3576" s="4" t="s">
        <v>523</v>
      </c>
      <c r="I3576" s="204"/>
      <c r="J3576" s="75" t="s">
        <v>2276</v>
      </c>
      <c r="K3576" s="75" t="s">
        <v>2276</v>
      </c>
      <c r="L3576" s="75" t="s">
        <v>2276</v>
      </c>
      <c r="M3576" s="75" t="s">
        <v>2276</v>
      </c>
      <c r="N3576" s="75" t="s">
        <v>2276</v>
      </c>
      <c r="O3576" s="75" t="s">
        <v>2276</v>
      </c>
      <c r="P3576" s="75" t="s">
        <v>2276</v>
      </c>
      <c r="Q3576" s="75" t="s">
        <v>2276</v>
      </c>
      <c r="R3576" s="75" t="s">
        <v>2276</v>
      </c>
      <c r="S3576" s="75" t="s">
        <v>2276</v>
      </c>
      <c r="T3576" s="75" t="s">
        <v>2276</v>
      </c>
      <c r="U3576" s="75" t="s">
        <v>2276</v>
      </c>
      <c r="V3576" s="75" t="s">
        <v>2276</v>
      </c>
      <c r="W3576" s="75" t="s">
        <v>2276</v>
      </c>
      <c r="X3576" s="75" t="s">
        <v>2276</v>
      </c>
      <c r="Y3576" s="75" t="s">
        <v>2276</v>
      </c>
      <c r="Z3576" s="75" t="s">
        <v>2276</v>
      </c>
      <c r="AA3576" s="75" t="s">
        <v>2276</v>
      </c>
      <c r="AB3576" s="75" t="s">
        <v>2276</v>
      </c>
      <c r="AC3576" s="204"/>
      <c r="AD3576" s="204"/>
    </row>
    <row r="3577" spans="1:30" ht="55.5" customHeight="1">
      <c r="A3577" s="11" t="s">
        <v>9382</v>
      </c>
      <c r="B3577" s="11" t="s">
        <v>9399</v>
      </c>
      <c r="C3577" s="204" t="s">
        <v>24</v>
      </c>
      <c r="D3577" s="204" t="s">
        <v>25</v>
      </c>
      <c r="E3577" s="204" t="s">
        <v>5005</v>
      </c>
      <c r="F3577" s="4" t="s">
        <v>55</v>
      </c>
      <c r="G3577" s="4" t="s">
        <v>55</v>
      </c>
      <c r="H3577" s="4" t="s">
        <v>523</v>
      </c>
      <c r="I3577" s="204"/>
      <c r="J3577" s="75" t="s">
        <v>2276</v>
      </c>
      <c r="K3577" s="75" t="s">
        <v>2276</v>
      </c>
      <c r="L3577" s="75" t="s">
        <v>2276</v>
      </c>
      <c r="M3577" s="75" t="s">
        <v>2276</v>
      </c>
      <c r="N3577" s="75" t="s">
        <v>2276</v>
      </c>
      <c r="O3577" s="75" t="s">
        <v>2276</v>
      </c>
      <c r="P3577" s="75" t="s">
        <v>2276</v>
      </c>
      <c r="Q3577" s="75" t="s">
        <v>2276</v>
      </c>
      <c r="R3577" s="75" t="s">
        <v>2276</v>
      </c>
      <c r="S3577" s="75" t="s">
        <v>2276</v>
      </c>
      <c r="T3577" s="75" t="s">
        <v>2276</v>
      </c>
      <c r="U3577" s="75" t="s">
        <v>2276</v>
      </c>
      <c r="V3577" s="75" t="s">
        <v>2276</v>
      </c>
      <c r="W3577" s="75" t="s">
        <v>2276</v>
      </c>
      <c r="X3577" s="75" t="s">
        <v>2276</v>
      </c>
      <c r="Y3577" s="75" t="s">
        <v>2276</v>
      </c>
      <c r="Z3577" s="204" t="s">
        <v>34</v>
      </c>
      <c r="AA3577" s="204" t="s">
        <v>425</v>
      </c>
      <c r="AB3577" s="75" t="s">
        <v>2276</v>
      </c>
      <c r="AC3577" s="204"/>
      <c r="AD3577" s="204"/>
    </row>
    <row r="3578" spans="1:30" ht="54.5" customHeight="1">
      <c r="A3578" s="11" t="s">
        <v>9382</v>
      </c>
      <c r="B3578" s="11" t="s">
        <v>9400</v>
      </c>
      <c r="C3578" s="204" t="s">
        <v>24</v>
      </c>
      <c r="D3578" s="204" t="s">
        <v>3480</v>
      </c>
      <c r="E3578" s="204" t="s">
        <v>116</v>
      </c>
      <c r="F3578" s="4" t="s">
        <v>2662</v>
      </c>
      <c r="G3578" s="4" t="s">
        <v>2662</v>
      </c>
      <c r="H3578" s="4" t="s">
        <v>523</v>
      </c>
      <c r="I3578" s="204"/>
      <c r="J3578" s="75" t="s">
        <v>2276</v>
      </c>
      <c r="K3578" s="75" t="s">
        <v>2276</v>
      </c>
      <c r="L3578" s="75" t="s">
        <v>2276</v>
      </c>
      <c r="M3578" s="75" t="s">
        <v>2276</v>
      </c>
      <c r="N3578" s="75" t="s">
        <v>2276</v>
      </c>
      <c r="O3578" s="75" t="s">
        <v>2276</v>
      </c>
      <c r="P3578" s="75" t="s">
        <v>2276</v>
      </c>
      <c r="Q3578" s="75" t="s">
        <v>2276</v>
      </c>
      <c r="R3578" s="75" t="s">
        <v>2276</v>
      </c>
      <c r="S3578" s="75" t="s">
        <v>2276</v>
      </c>
      <c r="T3578" s="75" t="s">
        <v>2276</v>
      </c>
      <c r="U3578" s="75" t="s">
        <v>2276</v>
      </c>
      <c r="V3578" s="75" t="s">
        <v>2276</v>
      </c>
      <c r="W3578" s="75" t="s">
        <v>2276</v>
      </c>
      <c r="X3578" s="75" t="s">
        <v>2276</v>
      </c>
      <c r="Y3578" s="75" t="s">
        <v>2276</v>
      </c>
      <c r="Z3578" s="75" t="s">
        <v>2276</v>
      </c>
      <c r="AA3578" s="75" t="s">
        <v>2276</v>
      </c>
      <c r="AB3578" s="75" t="s">
        <v>2276</v>
      </c>
      <c r="AC3578" s="204"/>
      <c r="AD3578" s="204"/>
    </row>
    <row r="3579" spans="1:30" ht="49" customHeight="1">
      <c r="A3579" s="11" t="s">
        <v>9382</v>
      </c>
      <c r="B3579" s="11" t="s">
        <v>9401</v>
      </c>
      <c r="C3579" s="204" t="s">
        <v>31</v>
      </c>
      <c r="D3579" s="204" t="s">
        <v>2276</v>
      </c>
      <c r="E3579" s="204" t="s">
        <v>2276</v>
      </c>
      <c r="F3579" s="4" t="s">
        <v>2662</v>
      </c>
      <c r="G3579" s="4" t="s">
        <v>2662</v>
      </c>
      <c r="H3579" s="4" t="s">
        <v>523</v>
      </c>
      <c r="I3579" s="204"/>
      <c r="J3579" s="75" t="s">
        <v>2276</v>
      </c>
      <c r="K3579" s="75" t="s">
        <v>2276</v>
      </c>
      <c r="L3579" s="75" t="s">
        <v>2276</v>
      </c>
      <c r="M3579" s="75" t="s">
        <v>2276</v>
      </c>
      <c r="N3579" s="75" t="s">
        <v>2276</v>
      </c>
      <c r="O3579" s="75" t="s">
        <v>2276</v>
      </c>
      <c r="P3579" s="75" t="s">
        <v>2276</v>
      </c>
      <c r="Q3579" s="75" t="s">
        <v>2276</v>
      </c>
      <c r="R3579" s="75" t="s">
        <v>2276</v>
      </c>
      <c r="S3579" s="75" t="s">
        <v>2276</v>
      </c>
      <c r="T3579" s="75" t="s">
        <v>2276</v>
      </c>
      <c r="U3579" s="75" t="s">
        <v>2276</v>
      </c>
      <c r="V3579" s="75" t="s">
        <v>2276</v>
      </c>
      <c r="W3579" s="75" t="s">
        <v>2276</v>
      </c>
      <c r="X3579" s="75" t="s">
        <v>2276</v>
      </c>
      <c r="Y3579" s="75" t="s">
        <v>2276</v>
      </c>
      <c r="Z3579" s="75" t="s">
        <v>2276</v>
      </c>
      <c r="AA3579" s="75" t="s">
        <v>2276</v>
      </c>
      <c r="AB3579" s="75" t="s">
        <v>2276</v>
      </c>
      <c r="AC3579" s="204"/>
      <c r="AD3579" s="204"/>
    </row>
    <row r="3580" spans="1:30" ht="50" customHeight="1">
      <c r="A3580" s="11" t="s">
        <v>9382</v>
      </c>
      <c r="B3580" s="11" t="s">
        <v>9402</v>
      </c>
      <c r="C3580" s="204" t="s">
        <v>24</v>
      </c>
      <c r="D3580" s="204" t="s">
        <v>3476</v>
      </c>
      <c r="E3580" s="204" t="s">
        <v>863</v>
      </c>
      <c r="F3580" s="4" t="s">
        <v>2662</v>
      </c>
      <c r="G3580" s="4" t="s">
        <v>2662</v>
      </c>
      <c r="H3580" s="4" t="s">
        <v>523</v>
      </c>
      <c r="I3580" s="204"/>
      <c r="J3580" s="75" t="s">
        <v>2276</v>
      </c>
      <c r="K3580" s="75" t="s">
        <v>2276</v>
      </c>
      <c r="L3580" s="75" t="s">
        <v>2276</v>
      </c>
      <c r="M3580" s="75" t="s">
        <v>2276</v>
      </c>
      <c r="N3580" s="75" t="s">
        <v>2276</v>
      </c>
      <c r="O3580" s="75" t="s">
        <v>2276</v>
      </c>
      <c r="P3580" s="75" t="s">
        <v>2276</v>
      </c>
      <c r="Q3580" s="75" t="s">
        <v>2276</v>
      </c>
      <c r="R3580" s="75" t="s">
        <v>2276</v>
      </c>
      <c r="S3580" s="75" t="s">
        <v>2276</v>
      </c>
      <c r="T3580" s="75" t="s">
        <v>2276</v>
      </c>
      <c r="U3580" s="75" t="s">
        <v>2276</v>
      </c>
      <c r="V3580" s="75" t="s">
        <v>2276</v>
      </c>
      <c r="W3580" s="75" t="s">
        <v>2276</v>
      </c>
      <c r="X3580" s="75" t="s">
        <v>2276</v>
      </c>
      <c r="Y3580" s="75" t="s">
        <v>2276</v>
      </c>
      <c r="Z3580" s="75" t="s">
        <v>2276</v>
      </c>
      <c r="AA3580" s="75" t="s">
        <v>2276</v>
      </c>
      <c r="AB3580" s="75" t="s">
        <v>2276</v>
      </c>
      <c r="AC3580" s="204"/>
      <c r="AD3580" s="204"/>
    </row>
    <row r="3581" spans="1:30" ht="46.5" customHeight="1">
      <c r="A3581" s="204" t="s">
        <v>9405</v>
      </c>
      <c r="B3581" s="204" t="s">
        <v>9407</v>
      </c>
      <c r="C3581" s="204" t="s">
        <v>24</v>
      </c>
      <c r="D3581" s="204" t="s">
        <v>143</v>
      </c>
      <c r="E3581" s="204" t="s">
        <v>84</v>
      </c>
      <c r="F3581" s="204" t="s">
        <v>74</v>
      </c>
      <c r="G3581" s="204" t="s">
        <v>74</v>
      </c>
      <c r="H3581" s="4" t="s">
        <v>523</v>
      </c>
      <c r="I3581" s="204">
        <v>1997</v>
      </c>
      <c r="J3581" s="21">
        <f>0.22</f>
        <v>0.22</v>
      </c>
      <c r="K3581" s="75" t="s">
        <v>2276</v>
      </c>
      <c r="L3581" s="75" t="s">
        <v>2276</v>
      </c>
      <c r="M3581" s="75" t="s">
        <v>2276</v>
      </c>
      <c r="N3581" s="75" t="s">
        <v>2276</v>
      </c>
      <c r="O3581" s="75" t="s">
        <v>2276</v>
      </c>
      <c r="P3581" s="75" t="s">
        <v>2276</v>
      </c>
      <c r="Q3581" s="75" t="s">
        <v>2276</v>
      </c>
      <c r="R3581" s="75" t="s">
        <v>2276</v>
      </c>
      <c r="S3581" s="75" t="s">
        <v>2276</v>
      </c>
      <c r="T3581" s="75" t="s">
        <v>2276</v>
      </c>
      <c r="U3581" s="75" t="s">
        <v>2276</v>
      </c>
      <c r="V3581" s="75" t="s">
        <v>2276</v>
      </c>
      <c r="W3581" s="75" t="s">
        <v>2276</v>
      </c>
      <c r="X3581" s="75" t="s">
        <v>2276</v>
      </c>
      <c r="Y3581" s="75" t="s">
        <v>2276</v>
      </c>
      <c r="Z3581" s="75" t="s">
        <v>2276</v>
      </c>
      <c r="AA3581" s="75" t="s">
        <v>2276</v>
      </c>
      <c r="AB3581" s="75" t="s">
        <v>2276</v>
      </c>
      <c r="AC3581" s="204"/>
      <c r="AD3581" s="204"/>
    </row>
    <row r="3582" spans="1:30" ht="46.5" customHeight="1">
      <c r="A3582" s="204" t="s">
        <v>9405</v>
      </c>
      <c r="B3582" s="204" t="s">
        <v>9408</v>
      </c>
      <c r="C3582" s="204" t="s">
        <v>24</v>
      </c>
      <c r="D3582" s="204" t="s">
        <v>143</v>
      </c>
      <c r="E3582" s="204" t="s">
        <v>2649</v>
      </c>
      <c r="F3582" s="204" t="s">
        <v>74</v>
      </c>
      <c r="G3582" s="204" t="s">
        <v>74</v>
      </c>
      <c r="H3582" s="4" t="s">
        <v>523</v>
      </c>
      <c r="I3582" s="204">
        <v>1997</v>
      </c>
      <c r="J3582" s="21">
        <v>0.31</v>
      </c>
      <c r="K3582" s="75" t="s">
        <v>2276</v>
      </c>
      <c r="L3582" s="75" t="s">
        <v>2276</v>
      </c>
      <c r="M3582" s="75" t="s">
        <v>2276</v>
      </c>
      <c r="N3582" s="75" t="s">
        <v>2276</v>
      </c>
      <c r="O3582" s="75" t="s">
        <v>2276</v>
      </c>
      <c r="P3582" s="75" t="s">
        <v>2276</v>
      </c>
      <c r="Q3582" s="75" t="s">
        <v>2276</v>
      </c>
      <c r="R3582" s="75" t="s">
        <v>2276</v>
      </c>
      <c r="S3582" s="75" t="s">
        <v>2276</v>
      </c>
      <c r="T3582" s="75" t="s">
        <v>2276</v>
      </c>
      <c r="U3582" s="75" t="s">
        <v>2276</v>
      </c>
      <c r="V3582" s="75" t="s">
        <v>2276</v>
      </c>
      <c r="W3582" s="75" t="s">
        <v>2276</v>
      </c>
      <c r="X3582" s="75" t="s">
        <v>2276</v>
      </c>
      <c r="Y3582" s="75" t="s">
        <v>2276</v>
      </c>
      <c r="Z3582" s="75" t="s">
        <v>2276</v>
      </c>
      <c r="AA3582" s="75" t="s">
        <v>2276</v>
      </c>
      <c r="AB3582" s="75" t="s">
        <v>2276</v>
      </c>
      <c r="AC3582" s="204"/>
      <c r="AD3582" s="204"/>
    </row>
    <row r="3583" spans="1:30" ht="51" customHeight="1">
      <c r="A3583" s="204" t="s">
        <v>9405</v>
      </c>
      <c r="B3583" s="204" t="s">
        <v>9409</v>
      </c>
      <c r="C3583" s="204" t="s">
        <v>24</v>
      </c>
      <c r="D3583" s="204" t="s">
        <v>2276</v>
      </c>
      <c r="E3583" s="4" t="s">
        <v>3854</v>
      </c>
      <c r="F3583" s="4" t="s">
        <v>2276</v>
      </c>
      <c r="G3583" s="204" t="s">
        <v>55</v>
      </c>
      <c r="H3583" s="4" t="s">
        <v>523</v>
      </c>
      <c r="I3583" s="204">
        <v>1997</v>
      </c>
      <c r="J3583" s="21">
        <v>0.51</v>
      </c>
      <c r="K3583" s="75" t="s">
        <v>2276</v>
      </c>
      <c r="L3583" s="75" t="s">
        <v>2276</v>
      </c>
      <c r="M3583" s="75" t="s">
        <v>2276</v>
      </c>
      <c r="N3583" s="75" t="s">
        <v>2276</v>
      </c>
      <c r="O3583" s="75" t="s">
        <v>2276</v>
      </c>
      <c r="P3583" s="75" t="s">
        <v>2276</v>
      </c>
      <c r="Q3583" s="75" t="s">
        <v>2276</v>
      </c>
      <c r="R3583" s="75" t="s">
        <v>2276</v>
      </c>
      <c r="S3583" s="75" t="s">
        <v>2276</v>
      </c>
      <c r="T3583" s="75" t="s">
        <v>2276</v>
      </c>
      <c r="U3583" s="75" t="s">
        <v>2276</v>
      </c>
      <c r="V3583" s="75" t="s">
        <v>2276</v>
      </c>
      <c r="W3583" s="75" t="s">
        <v>2276</v>
      </c>
      <c r="X3583" s="75" t="s">
        <v>2276</v>
      </c>
      <c r="Y3583" s="75" t="s">
        <v>2276</v>
      </c>
      <c r="Z3583" s="75" t="s">
        <v>2276</v>
      </c>
      <c r="AA3583" s="75" t="s">
        <v>2276</v>
      </c>
      <c r="AB3583" s="75" t="s">
        <v>2276</v>
      </c>
      <c r="AC3583" s="204"/>
      <c r="AD3583" s="204"/>
    </row>
    <row r="3584" spans="1:30" ht="46.5" customHeight="1">
      <c r="A3584" s="204" t="s">
        <v>9405</v>
      </c>
      <c r="B3584" s="204" t="s">
        <v>9410</v>
      </c>
      <c r="C3584" s="204" t="s">
        <v>24</v>
      </c>
      <c r="D3584" s="204" t="s">
        <v>2276</v>
      </c>
      <c r="E3584" s="4" t="s">
        <v>130</v>
      </c>
      <c r="F3584" s="4" t="s">
        <v>2276</v>
      </c>
      <c r="G3584" s="4" t="s">
        <v>2662</v>
      </c>
      <c r="H3584" s="4" t="s">
        <v>523</v>
      </c>
      <c r="I3584" s="204">
        <v>1997</v>
      </c>
      <c r="J3584" s="21">
        <v>0.25</v>
      </c>
      <c r="K3584" s="75" t="s">
        <v>2276</v>
      </c>
      <c r="L3584" s="75" t="s">
        <v>2276</v>
      </c>
      <c r="M3584" s="75" t="s">
        <v>2276</v>
      </c>
      <c r="N3584" s="75" t="s">
        <v>2276</v>
      </c>
      <c r="O3584" s="75" t="s">
        <v>2276</v>
      </c>
      <c r="P3584" s="75" t="s">
        <v>2276</v>
      </c>
      <c r="Q3584" s="75" t="s">
        <v>2276</v>
      </c>
      <c r="R3584" s="75" t="s">
        <v>2276</v>
      </c>
      <c r="S3584" s="75" t="s">
        <v>2276</v>
      </c>
      <c r="T3584" s="75" t="s">
        <v>2276</v>
      </c>
      <c r="U3584" s="75" t="s">
        <v>2276</v>
      </c>
      <c r="V3584" s="75" t="s">
        <v>2276</v>
      </c>
      <c r="W3584" s="75" t="s">
        <v>2276</v>
      </c>
      <c r="X3584" s="75" t="s">
        <v>2276</v>
      </c>
      <c r="Y3584" s="75" t="s">
        <v>2276</v>
      </c>
      <c r="Z3584" s="75" t="s">
        <v>2276</v>
      </c>
      <c r="AA3584" s="75" t="s">
        <v>2276</v>
      </c>
      <c r="AB3584" s="75" t="s">
        <v>2276</v>
      </c>
      <c r="AC3584" s="204"/>
      <c r="AD3584" s="204"/>
    </row>
    <row r="3585" spans="1:30" ht="46.5" customHeight="1">
      <c r="A3585" s="204" t="s">
        <v>9405</v>
      </c>
      <c r="B3585" s="204" t="s">
        <v>9411</v>
      </c>
      <c r="C3585" s="204" t="s">
        <v>1105</v>
      </c>
      <c r="D3585" s="204" t="s">
        <v>2276</v>
      </c>
      <c r="E3585" s="204" t="s">
        <v>2276</v>
      </c>
      <c r="F3585" s="204" t="s">
        <v>2276</v>
      </c>
      <c r="G3585" s="4" t="s">
        <v>2662</v>
      </c>
      <c r="H3585" s="4" t="s">
        <v>523</v>
      </c>
      <c r="I3585" s="38">
        <v>1997</v>
      </c>
      <c r="J3585" s="14">
        <f>462/1728</f>
        <v>0.2673611111111111</v>
      </c>
      <c r="K3585" s="75" t="s">
        <v>2276</v>
      </c>
      <c r="L3585" s="75" t="s">
        <v>2276</v>
      </c>
      <c r="M3585" s="75" t="s">
        <v>2276</v>
      </c>
      <c r="N3585" s="75" t="s">
        <v>2276</v>
      </c>
      <c r="O3585" s="75" t="s">
        <v>2276</v>
      </c>
      <c r="P3585" s="75" t="s">
        <v>2276</v>
      </c>
      <c r="Q3585" s="75" t="s">
        <v>2276</v>
      </c>
      <c r="R3585" s="75" t="s">
        <v>2276</v>
      </c>
      <c r="S3585" s="75" t="s">
        <v>2276</v>
      </c>
      <c r="T3585" s="75" t="s">
        <v>2276</v>
      </c>
      <c r="U3585" s="75" t="s">
        <v>2276</v>
      </c>
      <c r="V3585" s="75" t="s">
        <v>2276</v>
      </c>
      <c r="W3585" s="75" t="s">
        <v>2276</v>
      </c>
      <c r="X3585" s="75" t="s">
        <v>2276</v>
      </c>
      <c r="Y3585" s="75" t="s">
        <v>2276</v>
      </c>
      <c r="Z3585" s="75" t="s">
        <v>2276</v>
      </c>
      <c r="AA3585" s="75" t="s">
        <v>2276</v>
      </c>
      <c r="AB3585" s="75" t="s">
        <v>2276</v>
      </c>
      <c r="AC3585" s="38"/>
      <c r="AD3585" s="38"/>
    </row>
    <row r="3586" spans="1:30" ht="46.5" customHeight="1">
      <c r="A3586" s="204" t="s">
        <v>9405</v>
      </c>
      <c r="B3586" s="204" t="s">
        <v>9412</v>
      </c>
      <c r="C3586" s="204" t="s">
        <v>1105</v>
      </c>
      <c r="D3586" s="204" t="s">
        <v>2346</v>
      </c>
      <c r="E3586" s="204" t="s">
        <v>130</v>
      </c>
      <c r="F3586" s="204" t="s">
        <v>2276</v>
      </c>
      <c r="G3586" s="4" t="s">
        <v>28</v>
      </c>
      <c r="H3586" s="4" t="s">
        <v>523</v>
      </c>
      <c r="I3586" s="204"/>
      <c r="J3586" s="75" t="s">
        <v>2276</v>
      </c>
      <c r="K3586" s="75" t="s">
        <v>2276</v>
      </c>
      <c r="L3586" s="75" t="s">
        <v>2276</v>
      </c>
      <c r="M3586" s="75" t="s">
        <v>2276</v>
      </c>
      <c r="N3586" s="75" t="s">
        <v>2276</v>
      </c>
      <c r="O3586" s="75" t="s">
        <v>2276</v>
      </c>
      <c r="P3586" s="75" t="s">
        <v>2276</v>
      </c>
      <c r="Q3586" s="75" t="s">
        <v>2276</v>
      </c>
      <c r="R3586" s="75" t="s">
        <v>2276</v>
      </c>
      <c r="S3586" s="75" t="s">
        <v>2276</v>
      </c>
      <c r="T3586" s="75" t="s">
        <v>2276</v>
      </c>
      <c r="U3586" s="75" t="s">
        <v>2276</v>
      </c>
      <c r="V3586" s="75" t="s">
        <v>2276</v>
      </c>
      <c r="W3586" s="75" t="s">
        <v>2276</v>
      </c>
      <c r="X3586" s="75" t="s">
        <v>2276</v>
      </c>
      <c r="Y3586" s="75" t="s">
        <v>2276</v>
      </c>
      <c r="Z3586" s="75" t="s">
        <v>2276</v>
      </c>
      <c r="AA3586" s="75" t="s">
        <v>2276</v>
      </c>
      <c r="AB3586" s="75" t="s">
        <v>2276</v>
      </c>
      <c r="AC3586" s="204"/>
      <c r="AD3586" s="204"/>
    </row>
    <row r="3587" spans="1:30" ht="46.5" customHeight="1">
      <c r="A3587" s="204" t="s">
        <v>9405</v>
      </c>
      <c r="B3587" s="204" t="s">
        <v>9413</v>
      </c>
      <c r="C3587" s="204" t="s">
        <v>1105</v>
      </c>
      <c r="D3587" s="204" t="s">
        <v>2346</v>
      </c>
      <c r="E3587" s="204" t="s">
        <v>130</v>
      </c>
      <c r="F3587" s="204" t="s">
        <v>2276</v>
      </c>
      <c r="G3587" s="4" t="s">
        <v>2663</v>
      </c>
      <c r="H3587" s="4" t="s">
        <v>523</v>
      </c>
      <c r="I3587" s="204"/>
      <c r="J3587" s="75" t="s">
        <v>2276</v>
      </c>
      <c r="K3587" s="75" t="s">
        <v>2276</v>
      </c>
      <c r="L3587" s="75" t="s">
        <v>2276</v>
      </c>
      <c r="M3587" s="75" t="s">
        <v>2276</v>
      </c>
      <c r="N3587" s="75" t="s">
        <v>2276</v>
      </c>
      <c r="O3587" s="75" t="s">
        <v>2276</v>
      </c>
      <c r="P3587" s="75" t="s">
        <v>2276</v>
      </c>
      <c r="Q3587" s="75" t="s">
        <v>2276</v>
      </c>
      <c r="R3587" s="75" t="s">
        <v>2276</v>
      </c>
      <c r="S3587" s="75" t="s">
        <v>2276</v>
      </c>
      <c r="T3587" s="75" t="s">
        <v>2276</v>
      </c>
      <c r="U3587" s="75" t="s">
        <v>2276</v>
      </c>
      <c r="V3587" s="75" t="s">
        <v>2276</v>
      </c>
      <c r="W3587" s="75" t="s">
        <v>2276</v>
      </c>
      <c r="X3587" s="75" t="s">
        <v>2276</v>
      </c>
      <c r="Y3587" s="75" t="s">
        <v>2276</v>
      </c>
      <c r="Z3587" s="75" t="s">
        <v>2276</v>
      </c>
      <c r="AA3587" s="75" t="s">
        <v>2276</v>
      </c>
      <c r="AB3587" s="75" t="s">
        <v>2276</v>
      </c>
      <c r="AC3587" s="204"/>
      <c r="AD3587" s="204"/>
    </row>
    <row r="3588" spans="1:30" ht="52.5" customHeight="1">
      <c r="A3588" s="204" t="s">
        <v>9405</v>
      </c>
      <c r="B3588" s="204" t="s">
        <v>9418</v>
      </c>
      <c r="C3588" s="204" t="s">
        <v>1105</v>
      </c>
      <c r="D3588" s="204" t="s">
        <v>2346</v>
      </c>
      <c r="E3588" s="204" t="s">
        <v>84</v>
      </c>
      <c r="F3588" s="204" t="s">
        <v>2276</v>
      </c>
      <c r="G3588" s="4" t="s">
        <v>2662</v>
      </c>
      <c r="H3588" s="4" t="s">
        <v>523</v>
      </c>
      <c r="I3588" s="204"/>
      <c r="J3588" s="75" t="s">
        <v>2276</v>
      </c>
      <c r="K3588" s="75" t="s">
        <v>2276</v>
      </c>
      <c r="L3588" s="75" t="s">
        <v>2276</v>
      </c>
      <c r="M3588" s="75" t="s">
        <v>2276</v>
      </c>
      <c r="N3588" s="75" t="s">
        <v>2276</v>
      </c>
      <c r="O3588" s="75" t="s">
        <v>2276</v>
      </c>
      <c r="P3588" s="75" t="s">
        <v>2276</v>
      </c>
      <c r="Q3588" s="75" t="s">
        <v>2276</v>
      </c>
      <c r="R3588" s="75" t="s">
        <v>2276</v>
      </c>
      <c r="S3588" s="75" t="s">
        <v>2276</v>
      </c>
      <c r="T3588" s="75" t="s">
        <v>2276</v>
      </c>
      <c r="U3588" s="75" t="s">
        <v>2276</v>
      </c>
      <c r="V3588" s="75" t="s">
        <v>2276</v>
      </c>
      <c r="W3588" s="75" t="s">
        <v>2276</v>
      </c>
      <c r="X3588" s="75" t="s">
        <v>2276</v>
      </c>
      <c r="Y3588" s="75" t="s">
        <v>2276</v>
      </c>
      <c r="Z3588" s="75" t="s">
        <v>2276</v>
      </c>
      <c r="AA3588" s="75" t="s">
        <v>2276</v>
      </c>
      <c r="AB3588" s="75" t="s">
        <v>2276</v>
      </c>
      <c r="AC3588" s="204"/>
      <c r="AD3588" s="204"/>
    </row>
    <row r="3589" spans="1:30" ht="44.5" customHeight="1">
      <c r="A3589" s="204" t="s">
        <v>9414</v>
      </c>
      <c r="B3589" s="204" t="s">
        <v>9416</v>
      </c>
      <c r="C3589" s="204" t="s">
        <v>1105</v>
      </c>
      <c r="D3589" s="204" t="s">
        <v>2276</v>
      </c>
      <c r="E3589" s="204" t="s">
        <v>2276</v>
      </c>
      <c r="F3589" s="204" t="s">
        <v>2276</v>
      </c>
      <c r="G3589" s="204" t="s">
        <v>2276</v>
      </c>
      <c r="H3589" s="4" t="s">
        <v>523</v>
      </c>
      <c r="I3589" s="204">
        <v>1997</v>
      </c>
      <c r="J3589" s="21">
        <f>5870/'Record info'!K1479</f>
        <v>6.7452656738371031E-2</v>
      </c>
      <c r="K3589" s="75" t="s">
        <v>2276</v>
      </c>
      <c r="L3589" s="75" t="s">
        <v>2276</v>
      </c>
      <c r="M3589" s="75" t="s">
        <v>2276</v>
      </c>
      <c r="N3589" s="75" t="s">
        <v>2276</v>
      </c>
      <c r="O3589" s="75" t="s">
        <v>2276</v>
      </c>
      <c r="P3589" s="75" t="s">
        <v>2276</v>
      </c>
      <c r="Q3589" s="75" t="s">
        <v>2276</v>
      </c>
      <c r="R3589" s="75" t="s">
        <v>2276</v>
      </c>
      <c r="S3589" s="75" t="s">
        <v>2276</v>
      </c>
      <c r="T3589" s="75" t="s">
        <v>2276</v>
      </c>
      <c r="U3589" s="75" t="s">
        <v>2276</v>
      </c>
      <c r="V3589" s="75" t="s">
        <v>2276</v>
      </c>
      <c r="W3589" s="75" t="s">
        <v>2276</v>
      </c>
      <c r="X3589" s="75" t="s">
        <v>2276</v>
      </c>
      <c r="Y3589" s="75" t="s">
        <v>2276</v>
      </c>
      <c r="Z3589" s="75" t="s">
        <v>2276</v>
      </c>
      <c r="AA3589" s="75" t="s">
        <v>2276</v>
      </c>
      <c r="AB3589" s="75" t="s">
        <v>2276</v>
      </c>
      <c r="AC3589" s="204"/>
      <c r="AD3589" s="204"/>
    </row>
    <row r="3590" spans="1:30" ht="44.5" customHeight="1">
      <c r="A3590" s="11" t="s">
        <v>9426</v>
      </c>
      <c r="B3590" s="11" t="s">
        <v>9438</v>
      </c>
      <c r="C3590" s="204" t="s">
        <v>24</v>
      </c>
      <c r="D3590" s="204" t="s">
        <v>27</v>
      </c>
      <c r="E3590" s="204" t="s">
        <v>130</v>
      </c>
      <c r="F3590" s="204" t="s">
        <v>160</v>
      </c>
      <c r="G3590" s="204" t="s">
        <v>160</v>
      </c>
      <c r="H3590" s="4" t="s">
        <v>523</v>
      </c>
      <c r="I3590" s="204"/>
      <c r="J3590" s="75" t="s">
        <v>2276</v>
      </c>
      <c r="K3590" s="75" t="s">
        <v>2276</v>
      </c>
      <c r="L3590" s="75" t="s">
        <v>2276</v>
      </c>
      <c r="M3590" s="75" t="s">
        <v>2276</v>
      </c>
      <c r="N3590" s="75" t="s">
        <v>2276</v>
      </c>
      <c r="O3590" s="75" t="s">
        <v>2276</v>
      </c>
      <c r="P3590" s="75" t="s">
        <v>2276</v>
      </c>
      <c r="Q3590" s="75" t="s">
        <v>2276</v>
      </c>
      <c r="R3590" s="75" t="s">
        <v>2276</v>
      </c>
      <c r="S3590" s="75" t="s">
        <v>2276</v>
      </c>
      <c r="T3590" s="75" t="s">
        <v>2276</v>
      </c>
      <c r="U3590" s="75" t="s">
        <v>2276</v>
      </c>
      <c r="V3590" s="75" t="s">
        <v>2276</v>
      </c>
      <c r="W3590" s="75" t="s">
        <v>2276</v>
      </c>
      <c r="X3590" s="75" t="s">
        <v>2276</v>
      </c>
      <c r="Y3590" s="21">
        <v>11.8</v>
      </c>
      <c r="Z3590" s="75" t="s">
        <v>2276</v>
      </c>
      <c r="AA3590" s="75" t="s">
        <v>2276</v>
      </c>
      <c r="AB3590" s="75" t="s">
        <v>2276</v>
      </c>
      <c r="AC3590" s="204"/>
      <c r="AD3590" s="204"/>
    </row>
    <row r="3591" spans="1:30" ht="44.5" customHeight="1">
      <c r="A3591" s="11" t="s">
        <v>9432</v>
      </c>
      <c r="B3591" s="11" t="s">
        <v>9439</v>
      </c>
      <c r="C3591" s="204" t="s">
        <v>24</v>
      </c>
      <c r="D3591" s="204" t="s">
        <v>27</v>
      </c>
      <c r="E3591" s="204" t="s">
        <v>130</v>
      </c>
      <c r="F3591" s="204" t="s">
        <v>160</v>
      </c>
      <c r="G3591" s="204" t="s">
        <v>160</v>
      </c>
      <c r="H3591" s="4" t="s">
        <v>523</v>
      </c>
      <c r="I3591" s="204"/>
      <c r="J3591" s="75" t="s">
        <v>2276</v>
      </c>
      <c r="K3591" s="75" t="s">
        <v>2276</v>
      </c>
      <c r="L3591" s="75" t="s">
        <v>2276</v>
      </c>
      <c r="M3591" s="75" t="s">
        <v>2276</v>
      </c>
      <c r="N3591" s="75" t="s">
        <v>2276</v>
      </c>
      <c r="O3591" s="75" t="s">
        <v>2276</v>
      </c>
      <c r="P3591" s="75" t="s">
        <v>2276</v>
      </c>
      <c r="Q3591" s="75" t="s">
        <v>2276</v>
      </c>
      <c r="R3591" s="75" t="s">
        <v>2276</v>
      </c>
      <c r="S3591" s="75" t="s">
        <v>2276</v>
      </c>
      <c r="T3591" s="75" t="s">
        <v>2276</v>
      </c>
      <c r="U3591" s="75" t="s">
        <v>2276</v>
      </c>
      <c r="V3591" s="75" t="s">
        <v>2276</v>
      </c>
      <c r="W3591" s="75" t="s">
        <v>2276</v>
      </c>
      <c r="X3591" s="75" t="s">
        <v>2276</v>
      </c>
      <c r="Y3591" s="21">
        <v>11.8</v>
      </c>
      <c r="Z3591" s="75" t="s">
        <v>2276</v>
      </c>
      <c r="AA3591" s="75" t="s">
        <v>2276</v>
      </c>
      <c r="AB3591" s="75" t="s">
        <v>2276</v>
      </c>
      <c r="AC3591" s="204"/>
      <c r="AD3591" s="204"/>
    </row>
    <row r="3592" spans="1:30" ht="44.5" customHeight="1">
      <c r="A3592" s="11" t="s">
        <v>9433</v>
      </c>
      <c r="B3592" s="11" t="s">
        <v>9440</v>
      </c>
      <c r="C3592" s="204" t="s">
        <v>24</v>
      </c>
      <c r="D3592" s="204" t="s">
        <v>27</v>
      </c>
      <c r="E3592" s="204" t="s">
        <v>130</v>
      </c>
      <c r="F3592" s="204" t="s">
        <v>160</v>
      </c>
      <c r="G3592" s="204" t="s">
        <v>160</v>
      </c>
      <c r="H3592" s="4" t="s">
        <v>523</v>
      </c>
      <c r="I3592" s="204"/>
      <c r="J3592" s="75" t="s">
        <v>2276</v>
      </c>
      <c r="K3592" s="75" t="s">
        <v>2276</v>
      </c>
      <c r="L3592" s="75" t="s">
        <v>2276</v>
      </c>
      <c r="M3592" s="75" t="s">
        <v>2276</v>
      </c>
      <c r="N3592" s="75" t="s">
        <v>2276</v>
      </c>
      <c r="O3592" s="75" t="s">
        <v>2276</v>
      </c>
      <c r="P3592" s="75" t="s">
        <v>2276</v>
      </c>
      <c r="Q3592" s="75" t="s">
        <v>2276</v>
      </c>
      <c r="R3592" s="75" t="s">
        <v>2276</v>
      </c>
      <c r="S3592" s="75" t="s">
        <v>2276</v>
      </c>
      <c r="T3592" s="75" t="s">
        <v>2276</v>
      </c>
      <c r="U3592" s="75" t="s">
        <v>2276</v>
      </c>
      <c r="V3592" s="75" t="s">
        <v>2276</v>
      </c>
      <c r="W3592" s="75" t="s">
        <v>2276</v>
      </c>
      <c r="X3592" s="75" t="s">
        <v>2276</v>
      </c>
      <c r="Y3592" s="21">
        <v>8.8000000000000007</v>
      </c>
      <c r="Z3592" s="75" t="s">
        <v>2276</v>
      </c>
      <c r="AA3592" s="75" t="s">
        <v>2276</v>
      </c>
      <c r="AB3592" s="75" t="s">
        <v>2276</v>
      </c>
      <c r="AC3592" s="204"/>
      <c r="AD3592" s="204"/>
    </row>
    <row r="3593" spans="1:30" ht="44.5" customHeight="1">
      <c r="A3593" s="11" t="s">
        <v>9434</v>
      </c>
      <c r="B3593" s="11" t="s">
        <v>9441</v>
      </c>
      <c r="C3593" s="204" t="s">
        <v>24</v>
      </c>
      <c r="D3593" s="204" t="s">
        <v>27</v>
      </c>
      <c r="E3593" s="204" t="s">
        <v>130</v>
      </c>
      <c r="F3593" s="204" t="s">
        <v>160</v>
      </c>
      <c r="G3593" s="204" t="s">
        <v>160</v>
      </c>
      <c r="H3593" s="4" t="s">
        <v>523</v>
      </c>
      <c r="I3593" s="204"/>
      <c r="J3593" s="75" t="s">
        <v>2276</v>
      </c>
      <c r="K3593" s="75" t="s">
        <v>2276</v>
      </c>
      <c r="L3593" s="75" t="s">
        <v>2276</v>
      </c>
      <c r="M3593" s="75" t="s">
        <v>2276</v>
      </c>
      <c r="N3593" s="75" t="s">
        <v>2276</v>
      </c>
      <c r="O3593" s="75" t="s">
        <v>2276</v>
      </c>
      <c r="P3593" s="75" t="s">
        <v>2276</v>
      </c>
      <c r="Q3593" s="75" t="s">
        <v>2276</v>
      </c>
      <c r="R3593" s="75" t="s">
        <v>2276</v>
      </c>
      <c r="S3593" s="75" t="s">
        <v>2276</v>
      </c>
      <c r="T3593" s="75" t="s">
        <v>2276</v>
      </c>
      <c r="U3593" s="75" t="s">
        <v>2276</v>
      </c>
      <c r="V3593" s="75" t="s">
        <v>2276</v>
      </c>
      <c r="W3593" s="75" t="s">
        <v>2276</v>
      </c>
      <c r="X3593" s="75" t="s">
        <v>2276</v>
      </c>
      <c r="Y3593" s="21">
        <v>9.5</v>
      </c>
      <c r="Z3593" s="75" t="s">
        <v>2276</v>
      </c>
      <c r="AA3593" s="75" t="s">
        <v>2276</v>
      </c>
      <c r="AB3593" s="75" t="s">
        <v>2276</v>
      </c>
      <c r="AC3593" s="204"/>
      <c r="AD3593" s="204"/>
    </row>
    <row r="3594" spans="1:30" ht="49" customHeight="1">
      <c r="A3594" s="11" t="s">
        <v>9431</v>
      </c>
      <c r="B3594" s="11" t="s">
        <v>9442</v>
      </c>
      <c r="C3594" s="204" t="s">
        <v>24</v>
      </c>
      <c r="D3594" s="204" t="s">
        <v>27</v>
      </c>
      <c r="E3594" s="204" t="s">
        <v>130</v>
      </c>
      <c r="F3594" s="204" t="s">
        <v>160</v>
      </c>
      <c r="G3594" s="204" t="s">
        <v>160</v>
      </c>
      <c r="H3594" s="4" t="s">
        <v>523</v>
      </c>
      <c r="I3594" s="204"/>
      <c r="J3594" s="75" t="s">
        <v>2276</v>
      </c>
      <c r="K3594" s="75" t="s">
        <v>2276</v>
      </c>
      <c r="L3594" s="75" t="s">
        <v>2276</v>
      </c>
      <c r="M3594" s="75" t="s">
        <v>2276</v>
      </c>
      <c r="N3594" s="75" t="s">
        <v>2276</v>
      </c>
      <c r="O3594" s="75" t="s">
        <v>2276</v>
      </c>
      <c r="P3594" s="75" t="s">
        <v>2276</v>
      </c>
      <c r="Q3594" s="75" t="s">
        <v>2276</v>
      </c>
      <c r="R3594" s="75" t="s">
        <v>2276</v>
      </c>
      <c r="S3594" s="75" t="s">
        <v>2276</v>
      </c>
      <c r="T3594" s="75" t="s">
        <v>2276</v>
      </c>
      <c r="U3594" s="75" t="s">
        <v>2276</v>
      </c>
      <c r="V3594" s="75" t="s">
        <v>2276</v>
      </c>
      <c r="W3594" s="75" t="s">
        <v>2276</v>
      </c>
      <c r="X3594" s="75" t="s">
        <v>2276</v>
      </c>
      <c r="Y3594" s="21">
        <v>9.5</v>
      </c>
      <c r="Z3594" s="75" t="s">
        <v>2276</v>
      </c>
      <c r="AA3594" s="75" t="s">
        <v>2276</v>
      </c>
      <c r="AB3594" s="75" t="s">
        <v>2276</v>
      </c>
      <c r="AC3594" s="204"/>
      <c r="AD3594" s="204"/>
    </row>
    <row r="3595" spans="1:30" ht="49" customHeight="1">
      <c r="A3595" s="11" t="s">
        <v>9426</v>
      </c>
      <c r="B3595" s="11" t="s">
        <v>9443</v>
      </c>
      <c r="C3595" s="204" t="s">
        <v>24</v>
      </c>
      <c r="D3595" s="204" t="s">
        <v>1105</v>
      </c>
      <c r="E3595" s="4" t="s">
        <v>2651</v>
      </c>
      <c r="F3595" s="4" t="s">
        <v>2663</v>
      </c>
      <c r="G3595" s="4" t="s">
        <v>2663</v>
      </c>
      <c r="H3595" s="4" t="s">
        <v>524</v>
      </c>
      <c r="I3595" s="204"/>
      <c r="J3595" s="21">
        <v>0</v>
      </c>
      <c r="K3595" s="21">
        <v>0</v>
      </c>
      <c r="L3595" s="21">
        <v>0</v>
      </c>
      <c r="M3595" s="21">
        <v>0</v>
      </c>
      <c r="N3595" s="21">
        <v>0</v>
      </c>
      <c r="O3595" s="21">
        <v>0</v>
      </c>
      <c r="P3595" s="21">
        <v>0</v>
      </c>
      <c r="Q3595" s="21">
        <v>0</v>
      </c>
      <c r="R3595" s="21">
        <v>0</v>
      </c>
      <c r="S3595" s="21">
        <v>0</v>
      </c>
      <c r="T3595" s="21">
        <v>0</v>
      </c>
      <c r="U3595" s="21">
        <v>0</v>
      </c>
      <c r="V3595" s="21">
        <v>0</v>
      </c>
      <c r="W3595" s="21">
        <v>0</v>
      </c>
      <c r="X3595" s="21">
        <v>0</v>
      </c>
      <c r="Y3595" s="75" t="s">
        <v>2276</v>
      </c>
      <c r="Z3595" s="75" t="s">
        <v>2276</v>
      </c>
      <c r="AA3595" s="75" t="s">
        <v>2276</v>
      </c>
      <c r="AB3595" s="75" t="s">
        <v>2276</v>
      </c>
      <c r="AC3595" s="4" t="s">
        <v>9453</v>
      </c>
      <c r="AD3595" s="204"/>
    </row>
    <row r="3596" spans="1:30" ht="49" customHeight="1">
      <c r="A3596" s="11" t="s">
        <v>9432</v>
      </c>
      <c r="B3596" s="11" t="s">
        <v>9444</v>
      </c>
      <c r="C3596" s="204" t="s">
        <v>24</v>
      </c>
      <c r="D3596" s="204" t="s">
        <v>1105</v>
      </c>
      <c r="E3596" s="4" t="s">
        <v>2651</v>
      </c>
      <c r="F3596" s="4" t="s">
        <v>2663</v>
      </c>
      <c r="G3596" s="4" t="s">
        <v>2663</v>
      </c>
      <c r="H3596" s="4" t="s">
        <v>524</v>
      </c>
      <c r="I3596" s="204"/>
      <c r="J3596" s="21">
        <v>0</v>
      </c>
      <c r="K3596" s="21">
        <v>0</v>
      </c>
      <c r="L3596" s="21">
        <v>0</v>
      </c>
      <c r="M3596" s="21">
        <v>0</v>
      </c>
      <c r="N3596" s="21">
        <v>0</v>
      </c>
      <c r="O3596" s="21">
        <v>0</v>
      </c>
      <c r="P3596" s="21">
        <v>0</v>
      </c>
      <c r="Q3596" s="21">
        <v>0</v>
      </c>
      <c r="R3596" s="21">
        <v>0</v>
      </c>
      <c r="S3596" s="21">
        <v>0</v>
      </c>
      <c r="T3596" s="21">
        <v>0</v>
      </c>
      <c r="U3596" s="21">
        <v>0</v>
      </c>
      <c r="V3596" s="21">
        <v>0</v>
      </c>
      <c r="W3596" s="21">
        <v>0</v>
      </c>
      <c r="X3596" s="21">
        <v>0</v>
      </c>
      <c r="Y3596" s="75" t="s">
        <v>2276</v>
      </c>
      <c r="Z3596" s="75" t="s">
        <v>2276</v>
      </c>
      <c r="AA3596" s="75" t="s">
        <v>2276</v>
      </c>
      <c r="AB3596" s="75" t="s">
        <v>2276</v>
      </c>
      <c r="AC3596" s="4" t="s">
        <v>9453</v>
      </c>
      <c r="AD3596" s="204"/>
    </row>
    <row r="3597" spans="1:30" ht="49" customHeight="1">
      <c r="A3597" s="11" t="s">
        <v>9433</v>
      </c>
      <c r="B3597" s="11" t="s">
        <v>9445</v>
      </c>
      <c r="C3597" s="204" t="s">
        <v>24</v>
      </c>
      <c r="D3597" s="204" t="s">
        <v>1105</v>
      </c>
      <c r="E3597" s="4" t="s">
        <v>2651</v>
      </c>
      <c r="F3597" s="4" t="s">
        <v>2663</v>
      </c>
      <c r="G3597" s="4" t="s">
        <v>2663</v>
      </c>
      <c r="H3597" s="4" t="s">
        <v>524</v>
      </c>
      <c r="I3597" s="204"/>
      <c r="J3597" s="21">
        <v>0</v>
      </c>
      <c r="K3597" s="21">
        <v>0</v>
      </c>
      <c r="L3597" s="21">
        <v>0</v>
      </c>
      <c r="M3597" s="21">
        <v>0</v>
      </c>
      <c r="N3597" s="21">
        <v>0</v>
      </c>
      <c r="O3597" s="21">
        <v>0</v>
      </c>
      <c r="P3597" s="21">
        <v>0</v>
      </c>
      <c r="Q3597" s="21">
        <v>0</v>
      </c>
      <c r="R3597" s="21">
        <v>0</v>
      </c>
      <c r="S3597" s="21">
        <v>0</v>
      </c>
      <c r="T3597" s="21">
        <v>0</v>
      </c>
      <c r="U3597" s="21">
        <v>0</v>
      </c>
      <c r="V3597" s="21">
        <v>0</v>
      </c>
      <c r="W3597" s="21">
        <v>0</v>
      </c>
      <c r="X3597" s="21">
        <v>0</v>
      </c>
      <c r="Y3597" s="75" t="s">
        <v>2276</v>
      </c>
      <c r="Z3597" s="75" t="s">
        <v>2276</v>
      </c>
      <c r="AA3597" s="75" t="s">
        <v>2276</v>
      </c>
      <c r="AB3597" s="75" t="s">
        <v>2276</v>
      </c>
      <c r="AC3597" s="4" t="s">
        <v>9453</v>
      </c>
      <c r="AD3597" s="204"/>
    </row>
    <row r="3598" spans="1:30" ht="49" customHeight="1">
      <c r="A3598" s="11" t="s">
        <v>9434</v>
      </c>
      <c r="B3598" s="11" t="s">
        <v>9446</v>
      </c>
      <c r="C3598" s="204" t="s">
        <v>24</v>
      </c>
      <c r="D3598" s="204" t="s">
        <v>1105</v>
      </c>
      <c r="E3598" s="4" t="s">
        <v>2651</v>
      </c>
      <c r="F3598" s="4" t="s">
        <v>2663</v>
      </c>
      <c r="G3598" s="4" t="s">
        <v>2663</v>
      </c>
      <c r="H3598" s="4" t="s">
        <v>524</v>
      </c>
      <c r="I3598" s="204"/>
      <c r="J3598" s="21">
        <v>0</v>
      </c>
      <c r="K3598" s="21">
        <v>0</v>
      </c>
      <c r="L3598" s="21">
        <v>0</v>
      </c>
      <c r="M3598" s="21">
        <v>0</v>
      </c>
      <c r="N3598" s="21">
        <v>0</v>
      </c>
      <c r="O3598" s="21">
        <v>0</v>
      </c>
      <c r="P3598" s="21">
        <v>0</v>
      </c>
      <c r="Q3598" s="21">
        <v>0</v>
      </c>
      <c r="R3598" s="21">
        <v>0</v>
      </c>
      <c r="S3598" s="21">
        <v>0</v>
      </c>
      <c r="T3598" s="21">
        <v>0</v>
      </c>
      <c r="U3598" s="21">
        <v>0</v>
      </c>
      <c r="V3598" s="21">
        <v>0</v>
      </c>
      <c r="W3598" s="21">
        <v>0</v>
      </c>
      <c r="X3598" s="21">
        <v>0</v>
      </c>
      <c r="Y3598" s="75" t="s">
        <v>2276</v>
      </c>
      <c r="Z3598" s="75" t="s">
        <v>2276</v>
      </c>
      <c r="AA3598" s="75" t="s">
        <v>2276</v>
      </c>
      <c r="AB3598" s="75" t="s">
        <v>2276</v>
      </c>
      <c r="AC3598" s="4" t="s">
        <v>9453</v>
      </c>
      <c r="AD3598" s="204"/>
    </row>
    <row r="3599" spans="1:30" ht="49" customHeight="1">
      <c r="A3599" s="11" t="s">
        <v>9431</v>
      </c>
      <c r="B3599" s="11" t="s">
        <v>9447</v>
      </c>
      <c r="C3599" s="204" t="s">
        <v>24</v>
      </c>
      <c r="D3599" s="204" t="s">
        <v>1105</v>
      </c>
      <c r="E3599" s="4" t="s">
        <v>2651</v>
      </c>
      <c r="F3599" s="4" t="s">
        <v>2663</v>
      </c>
      <c r="G3599" s="4" t="s">
        <v>2663</v>
      </c>
      <c r="H3599" s="4" t="s">
        <v>524</v>
      </c>
      <c r="I3599" s="204"/>
      <c r="J3599" s="21">
        <v>0</v>
      </c>
      <c r="K3599" s="21">
        <v>0</v>
      </c>
      <c r="L3599" s="21">
        <v>0</v>
      </c>
      <c r="M3599" s="21">
        <v>0</v>
      </c>
      <c r="N3599" s="21">
        <v>0</v>
      </c>
      <c r="O3599" s="21">
        <v>0</v>
      </c>
      <c r="P3599" s="21">
        <v>0</v>
      </c>
      <c r="Q3599" s="21">
        <v>0</v>
      </c>
      <c r="R3599" s="21">
        <v>0</v>
      </c>
      <c r="S3599" s="21">
        <v>0</v>
      </c>
      <c r="T3599" s="21">
        <v>0</v>
      </c>
      <c r="U3599" s="21">
        <v>0</v>
      </c>
      <c r="V3599" s="21">
        <v>0</v>
      </c>
      <c r="W3599" s="21">
        <v>0</v>
      </c>
      <c r="X3599" s="21">
        <v>0</v>
      </c>
      <c r="Y3599" s="75" t="s">
        <v>2276</v>
      </c>
      <c r="Z3599" s="75" t="s">
        <v>2276</v>
      </c>
      <c r="AA3599" s="75" t="s">
        <v>2276</v>
      </c>
      <c r="AB3599" s="75" t="s">
        <v>2276</v>
      </c>
      <c r="AC3599" s="4" t="s">
        <v>9453</v>
      </c>
      <c r="AD3599" s="204"/>
    </row>
    <row r="3600" spans="1:30" ht="55.5" customHeight="1">
      <c r="A3600" s="11" t="s">
        <v>9426</v>
      </c>
      <c r="B3600" s="11" t="s">
        <v>9448</v>
      </c>
      <c r="C3600" s="204" t="s">
        <v>24</v>
      </c>
      <c r="D3600" s="204" t="s">
        <v>1105</v>
      </c>
      <c r="E3600" s="4" t="s">
        <v>2650</v>
      </c>
      <c r="F3600" s="4" t="s">
        <v>2663</v>
      </c>
      <c r="G3600" s="4" t="s">
        <v>2663</v>
      </c>
      <c r="H3600" s="4" t="s">
        <v>524</v>
      </c>
      <c r="I3600" s="204"/>
      <c r="J3600" s="21">
        <v>0</v>
      </c>
      <c r="K3600" s="21">
        <v>0</v>
      </c>
      <c r="L3600" s="21">
        <v>0</v>
      </c>
      <c r="M3600" s="21">
        <v>0</v>
      </c>
      <c r="N3600" s="21">
        <v>0</v>
      </c>
      <c r="O3600" s="21">
        <v>0</v>
      </c>
      <c r="P3600" s="21">
        <v>0</v>
      </c>
      <c r="Q3600" s="21">
        <v>0</v>
      </c>
      <c r="R3600" s="21">
        <v>0</v>
      </c>
      <c r="S3600" s="21">
        <v>0</v>
      </c>
      <c r="T3600" s="21">
        <v>0</v>
      </c>
      <c r="U3600" s="21">
        <v>0</v>
      </c>
      <c r="V3600" s="21">
        <v>0</v>
      </c>
      <c r="W3600" s="21">
        <v>0</v>
      </c>
      <c r="X3600" s="21">
        <v>0</v>
      </c>
      <c r="Y3600" s="75" t="s">
        <v>2276</v>
      </c>
      <c r="Z3600" s="75" t="s">
        <v>2276</v>
      </c>
      <c r="AA3600" s="75" t="s">
        <v>2276</v>
      </c>
      <c r="AB3600" s="75" t="s">
        <v>2276</v>
      </c>
      <c r="AC3600" s="4" t="s">
        <v>9453</v>
      </c>
      <c r="AD3600" s="204"/>
    </row>
    <row r="3601" spans="1:30" ht="55.5" customHeight="1">
      <c r="A3601" s="11" t="s">
        <v>9432</v>
      </c>
      <c r="B3601" s="11" t="s">
        <v>9449</v>
      </c>
      <c r="C3601" s="204" t="s">
        <v>24</v>
      </c>
      <c r="D3601" s="204" t="s">
        <v>1105</v>
      </c>
      <c r="E3601" s="4" t="s">
        <v>2650</v>
      </c>
      <c r="F3601" s="4" t="s">
        <v>2663</v>
      </c>
      <c r="G3601" s="4" t="s">
        <v>2663</v>
      </c>
      <c r="H3601" s="4" t="s">
        <v>524</v>
      </c>
      <c r="I3601" s="204"/>
      <c r="J3601" s="21">
        <v>0</v>
      </c>
      <c r="K3601" s="21">
        <v>0</v>
      </c>
      <c r="L3601" s="21">
        <v>0</v>
      </c>
      <c r="M3601" s="21">
        <v>0</v>
      </c>
      <c r="N3601" s="21">
        <v>0</v>
      </c>
      <c r="O3601" s="21">
        <v>0</v>
      </c>
      <c r="P3601" s="21">
        <v>0</v>
      </c>
      <c r="Q3601" s="21">
        <v>0</v>
      </c>
      <c r="R3601" s="21">
        <v>0</v>
      </c>
      <c r="S3601" s="21">
        <v>0</v>
      </c>
      <c r="T3601" s="21">
        <v>0</v>
      </c>
      <c r="U3601" s="21">
        <v>0</v>
      </c>
      <c r="V3601" s="21">
        <v>0</v>
      </c>
      <c r="W3601" s="21">
        <v>0</v>
      </c>
      <c r="X3601" s="21">
        <v>0</v>
      </c>
      <c r="Y3601" s="75" t="s">
        <v>2276</v>
      </c>
      <c r="Z3601" s="75" t="s">
        <v>2276</v>
      </c>
      <c r="AA3601" s="75" t="s">
        <v>2276</v>
      </c>
      <c r="AB3601" s="75" t="s">
        <v>2276</v>
      </c>
      <c r="AC3601" s="4" t="s">
        <v>9453</v>
      </c>
      <c r="AD3601" s="204"/>
    </row>
    <row r="3602" spans="1:30" ht="55.5" customHeight="1">
      <c r="A3602" s="11" t="s">
        <v>9433</v>
      </c>
      <c r="B3602" s="11" t="s">
        <v>9450</v>
      </c>
      <c r="C3602" s="204" t="s">
        <v>24</v>
      </c>
      <c r="D3602" s="204" t="s">
        <v>1105</v>
      </c>
      <c r="E3602" s="4" t="s">
        <v>2650</v>
      </c>
      <c r="F3602" s="4" t="s">
        <v>2663</v>
      </c>
      <c r="G3602" s="4" t="s">
        <v>2663</v>
      </c>
      <c r="H3602" s="4" t="s">
        <v>524</v>
      </c>
      <c r="I3602" s="204"/>
      <c r="J3602" s="21">
        <v>0</v>
      </c>
      <c r="K3602" s="21">
        <v>0</v>
      </c>
      <c r="L3602" s="21">
        <v>0</v>
      </c>
      <c r="M3602" s="21">
        <v>0</v>
      </c>
      <c r="N3602" s="21">
        <v>0</v>
      </c>
      <c r="O3602" s="21">
        <v>0</v>
      </c>
      <c r="P3602" s="21">
        <v>0</v>
      </c>
      <c r="Q3602" s="21">
        <v>0</v>
      </c>
      <c r="R3602" s="21">
        <v>0</v>
      </c>
      <c r="S3602" s="21">
        <v>0</v>
      </c>
      <c r="T3602" s="21">
        <v>0</v>
      </c>
      <c r="U3602" s="21">
        <v>0</v>
      </c>
      <c r="V3602" s="21">
        <v>0</v>
      </c>
      <c r="W3602" s="21">
        <v>0</v>
      </c>
      <c r="X3602" s="21">
        <v>0</v>
      </c>
      <c r="Y3602" s="75" t="s">
        <v>2276</v>
      </c>
      <c r="Z3602" s="75" t="s">
        <v>2276</v>
      </c>
      <c r="AA3602" s="75" t="s">
        <v>2276</v>
      </c>
      <c r="AB3602" s="75" t="s">
        <v>2276</v>
      </c>
      <c r="AC3602" s="4" t="s">
        <v>9453</v>
      </c>
      <c r="AD3602" s="204"/>
    </row>
    <row r="3603" spans="1:30" ht="55.5" customHeight="1">
      <c r="A3603" s="11" t="s">
        <v>9434</v>
      </c>
      <c r="B3603" s="11" t="s">
        <v>9451</v>
      </c>
      <c r="C3603" s="204" t="s">
        <v>24</v>
      </c>
      <c r="D3603" s="204" t="s">
        <v>1105</v>
      </c>
      <c r="E3603" s="4" t="s">
        <v>2650</v>
      </c>
      <c r="F3603" s="4" t="s">
        <v>2663</v>
      </c>
      <c r="G3603" s="4" t="s">
        <v>2663</v>
      </c>
      <c r="H3603" s="4" t="s">
        <v>524</v>
      </c>
      <c r="I3603" s="204"/>
      <c r="J3603" s="21">
        <v>0</v>
      </c>
      <c r="K3603" s="21">
        <v>0</v>
      </c>
      <c r="L3603" s="21">
        <v>0</v>
      </c>
      <c r="M3603" s="21">
        <v>0</v>
      </c>
      <c r="N3603" s="21">
        <v>0</v>
      </c>
      <c r="O3603" s="21">
        <v>0</v>
      </c>
      <c r="P3603" s="21">
        <v>0</v>
      </c>
      <c r="Q3603" s="21">
        <v>0</v>
      </c>
      <c r="R3603" s="21">
        <v>0</v>
      </c>
      <c r="S3603" s="21">
        <v>0</v>
      </c>
      <c r="T3603" s="21">
        <v>0</v>
      </c>
      <c r="U3603" s="21">
        <v>0</v>
      </c>
      <c r="V3603" s="21">
        <v>0</v>
      </c>
      <c r="W3603" s="21">
        <v>0</v>
      </c>
      <c r="X3603" s="21">
        <v>0</v>
      </c>
      <c r="Y3603" s="75" t="s">
        <v>2276</v>
      </c>
      <c r="Z3603" s="75" t="s">
        <v>2276</v>
      </c>
      <c r="AA3603" s="75" t="s">
        <v>2276</v>
      </c>
      <c r="AB3603" s="75" t="s">
        <v>2276</v>
      </c>
      <c r="AC3603" s="4" t="s">
        <v>9453</v>
      </c>
      <c r="AD3603" s="204"/>
    </row>
    <row r="3604" spans="1:30" ht="55.5" customHeight="1">
      <c r="A3604" s="11" t="s">
        <v>9431</v>
      </c>
      <c r="B3604" s="11" t="s">
        <v>9452</v>
      </c>
      <c r="C3604" s="204" t="s">
        <v>24</v>
      </c>
      <c r="D3604" s="204" t="s">
        <v>1105</v>
      </c>
      <c r="E3604" s="4" t="s">
        <v>2650</v>
      </c>
      <c r="F3604" s="4" t="s">
        <v>2663</v>
      </c>
      <c r="G3604" s="4" t="s">
        <v>2663</v>
      </c>
      <c r="H3604" s="4" t="s">
        <v>524</v>
      </c>
      <c r="I3604" s="204"/>
      <c r="J3604" s="21">
        <v>0</v>
      </c>
      <c r="K3604" s="21">
        <v>0</v>
      </c>
      <c r="L3604" s="21">
        <v>0</v>
      </c>
      <c r="M3604" s="21">
        <v>0</v>
      </c>
      <c r="N3604" s="21">
        <v>0</v>
      </c>
      <c r="O3604" s="21">
        <v>0</v>
      </c>
      <c r="P3604" s="21">
        <v>0</v>
      </c>
      <c r="Q3604" s="21">
        <v>0</v>
      </c>
      <c r="R3604" s="21">
        <v>0</v>
      </c>
      <c r="S3604" s="21">
        <v>0</v>
      </c>
      <c r="T3604" s="21">
        <v>0</v>
      </c>
      <c r="U3604" s="21">
        <v>0</v>
      </c>
      <c r="V3604" s="21">
        <v>0</v>
      </c>
      <c r="W3604" s="21">
        <v>0</v>
      </c>
      <c r="X3604" s="21">
        <v>0</v>
      </c>
      <c r="Y3604" s="75" t="s">
        <v>2276</v>
      </c>
      <c r="Z3604" s="75" t="s">
        <v>2276</v>
      </c>
      <c r="AA3604" s="75" t="s">
        <v>2276</v>
      </c>
      <c r="AB3604" s="75" t="s">
        <v>2276</v>
      </c>
      <c r="AC3604" s="4" t="s">
        <v>9453</v>
      </c>
      <c r="AD3604" s="204"/>
    </row>
    <row r="3605" spans="1:30" ht="39" customHeight="1">
      <c r="A3605" s="11" t="s">
        <v>9466</v>
      </c>
      <c r="B3605" s="11" t="s">
        <v>9477</v>
      </c>
      <c r="C3605" s="204" t="s">
        <v>24</v>
      </c>
      <c r="D3605" s="204" t="s">
        <v>143</v>
      </c>
      <c r="E3605" s="204" t="s">
        <v>2276</v>
      </c>
      <c r="F3605" s="204" t="s">
        <v>2276</v>
      </c>
      <c r="G3605" s="4" t="s">
        <v>2662</v>
      </c>
      <c r="H3605" s="4" t="s">
        <v>523</v>
      </c>
      <c r="I3605" s="204"/>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204" t="s">
        <v>189</v>
      </c>
      <c r="AA3605" s="204" t="s">
        <v>425</v>
      </c>
      <c r="AB3605" s="204" t="s">
        <v>2655</v>
      </c>
      <c r="AC3605" s="4" t="s">
        <v>9484</v>
      </c>
      <c r="AD3605" s="204"/>
    </row>
    <row r="3606" spans="1:30" s="203" customFormat="1" ht="39" customHeight="1">
      <c r="A3606" s="11" t="s">
        <v>9466</v>
      </c>
      <c r="B3606" s="11" t="s">
        <v>9482</v>
      </c>
      <c r="C3606" s="204" t="s">
        <v>2458</v>
      </c>
      <c r="D3606" s="204" t="s">
        <v>2994</v>
      </c>
      <c r="E3606" s="4" t="s">
        <v>116</v>
      </c>
      <c r="F3606" s="204" t="s">
        <v>2276</v>
      </c>
      <c r="G3606" s="204" t="s">
        <v>74</v>
      </c>
      <c r="H3606" s="4" t="s">
        <v>523</v>
      </c>
      <c r="I3606" s="204"/>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204" t="s">
        <v>189</v>
      </c>
      <c r="AA3606" s="204" t="s">
        <v>425</v>
      </c>
      <c r="AB3606" s="204" t="s">
        <v>2655</v>
      </c>
      <c r="AC3606" s="4" t="s">
        <v>9484</v>
      </c>
      <c r="AD3606" s="204"/>
    </row>
    <row r="3607" spans="1:30" s="203" customFormat="1" ht="39" customHeight="1">
      <c r="A3607" s="11" t="s">
        <v>9466</v>
      </c>
      <c r="B3607" s="11" t="s">
        <v>9483</v>
      </c>
      <c r="C3607" s="204" t="s">
        <v>31</v>
      </c>
      <c r="D3607" s="204" t="s">
        <v>1245</v>
      </c>
      <c r="E3607" s="4" t="s">
        <v>116</v>
      </c>
      <c r="F3607" s="204" t="s">
        <v>2276</v>
      </c>
      <c r="G3607" s="204" t="s">
        <v>74</v>
      </c>
      <c r="H3607" s="4" t="s">
        <v>523</v>
      </c>
      <c r="I3607" s="204"/>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204" t="s">
        <v>189</v>
      </c>
      <c r="AA3607" s="204" t="s">
        <v>425</v>
      </c>
      <c r="AB3607" s="204" t="s">
        <v>2655</v>
      </c>
      <c r="AC3607" s="4" t="s">
        <v>9484</v>
      </c>
      <c r="AD3607" s="204"/>
    </row>
    <row r="3608" spans="1:30" ht="37" customHeight="1">
      <c r="A3608" s="11" t="s">
        <v>9466</v>
      </c>
      <c r="B3608" s="11" t="s">
        <v>9485</v>
      </c>
      <c r="C3608" s="204" t="s">
        <v>31</v>
      </c>
      <c r="D3608" s="204" t="s">
        <v>2276</v>
      </c>
      <c r="E3608" s="4" t="s">
        <v>396</v>
      </c>
      <c r="F3608" s="204" t="s">
        <v>2276</v>
      </c>
      <c r="G3608" s="204" t="s">
        <v>74</v>
      </c>
      <c r="H3608" s="4" t="s">
        <v>523</v>
      </c>
      <c r="I3608" s="204"/>
      <c r="J3608" s="75" t="s">
        <v>2276</v>
      </c>
      <c r="K3608" s="75" t="s">
        <v>2276</v>
      </c>
      <c r="L3608" s="75" t="s">
        <v>2276</v>
      </c>
      <c r="M3608" s="75" t="s">
        <v>2276</v>
      </c>
      <c r="N3608" s="75" t="s">
        <v>2276</v>
      </c>
      <c r="O3608" s="75" t="s">
        <v>2276</v>
      </c>
      <c r="P3608" s="75" t="s">
        <v>2276</v>
      </c>
      <c r="Q3608" s="75" t="s">
        <v>2276</v>
      </c>
      <c r="R3608" s="75" t="s">
        <v>2276</v>
      </c>
      <c r="S3608" s="75" t="s">
        <v>2276</v>
      </c>
      <c r="T3608" s="75" t="s">
        <v>2276</v>
      </c>
      <c r="U3608" s="75" t="s">
        <v>2276</v>
      </c>
      <c r="V3608" s="75" t="s">
        <v>2276</v>
      </c>
      <c r="W3608" s="75" t="s">
        <v>2276</v>
      </c>
      <c r="X3608" s="75" t="s">
        <v>2276</v>
      </c>
      <c r="Y3608" s="75" t="s">
        <v>2276</v>
      </c>
      <c r="Z3608" s="204" t="s">
        <v>189</v>
      </c>
      <c r="AA3608" s="204" t="s">
        <v>425</v>
      </c>
      <c r="AB3608" s="204" t="s">
        <v>2655</v>
      </c>
      <c r="AC3608" s="4" t="s">
        <v>9484</v>
      </c>
      <c r="AD3608" s="204"/>
    </row>
    <row r="3609" spans="1:30" ht="37" customHeight="1">
      <c r="A3609" s="11" t="s">
        <v>9467</v>
      </c>
      <c r="B3609" s="11" t="s">
        <v>9478</v>
      </c>
      <c r="C3609" s="204" t="s">
        <v>2656</v>
      </c>
      <c r="D3609" s="204" t="s">
        <v>2276</v>
      </c>
      <c r="E3609" s="204" t="s">
        <v>9476</v>
      </c>
      <c r="F3609" s="204" t="s">
        <v>2276</v>
      </c>
      <c r="G3609" s="204" t="s">
        <v>74</v>
      </c>
      <c r="H3609" s="4" t="s">
        <v>523</v>
      </c>
      <c r="I3609" s="204"/>
      <c r="J3609" s="75" t="s">
        <v>2276</v>
      </c>
      <c r="K3609" s="75" t="s">
        <v>2276</v>
      </c>
      <c r="L3609" s="75" t="s">
        <v>2276</v>
      </c>
      <c r="M3609" s="75" t="s">
        <v>2276</v>
      </c>
      <c r="N3609" s="75" t="s">
        <v>2276</v>
      </c>
      <c r="O3609" s="75" t="s">
        <v>2276</v>
      </c>
      <c r="P3609" s="75" t="s">
        <v>2276</v>
      </c>
      <c r="Q3609" s="75" t="s">
        <v>2276</v>
      </c>
      <c r="R3609" s="75" t="s">
        <v>2276</v>
      </c>
      <c r="S3609" s="75" t="s">
        <v>2276</v>
      </c>
      <c r="T3609" s="75" t="s">
        <v>2276</v>
      </c>
      <c r="U3609" s="75" t="s">
        <v>2276</v>
      </c>
      <c r="V3609" s="75" t="s">
        <v>2276</v>
      </c>
      <c r="W3609" s="75" t="s">
        <v>2276</v>
      </c>
      <c r="X3609" s="75" t="s">
        <v>2276</v>
      </c>
      <c r="Y3609" s="21">
        <v>45.98</v>
      </c>
      <c r="Z3609" s="204" t="s">
        <v>189</v>
      </c>
      <c r="AA3609" s="204" t="s">
        <v>425</v>
      </c>
      <c r="AB3609" s="204" t="s">
        <v>2655</v>
      </c>
      <c r="AC3609" s="204"/>
      <c r="AD3609" s="204"/>
    </row>
    <row r="3610" spans="1:30" ht="37" customHeight="1">
      <c r="A3610" s="11" t="s">
        <v>9468</v>
      </c>
      <c r="B3610" s="11" t="s">
        <v>9479</v>
      </c>
      <c r="C3610" s="204" t="s">
        <v>2656</v>
      </c>
      <c r="D3610" s="204" t="s">
        <v>2276</v>
      </c>
      <c r="E3610" s="204" t="s">
        <v>9476</v>
      </c>
      <c r="F3610" s="204" t="s">
        <v>2276</v>
      </c>
      <c r="G3610" s="204" t="s">
        <v>74</v>
      </c>
      <c r="H3610" s="4" t="s">
        <v>523</v>
      </c>
      <c r="I3610" s="204"/>
      <c r="J3610" s="75" t="s">
        <v>2276</v>
      </c>
      <c r="K3610" s="75" t="s">
        <v>2276</v>
      </c>
      <c r="L3610" s="75" t="s">
        <v>2276</v>
      </c>
      <c r="M3610" s="75" t="s">
        <v>2276</v>
      </c>
      <c r="N3610" s="75" t="s">
        <v>2276</v>
      </c>
      <c r="O3610" s="75" t="s">
        <v>2276</v>
      </c>
      <c r="P3610" s="75" t="s">
        <v>2276</v>
      </c>
      <c r="Q3610" s="75" t="s">
        <v>2276</v>
      </c>
      <c r="R3610" s="75" t="s">
        <v>2276</v>
      </c>
      <c r="S3610" s="75" t="s">
        <v>2276</v>
      </c>
      <c r="T3610" s="75" t="s">
        <v>2276</v>
      </c>
      <c r="U3610" s="75" t="s">
        <v>2276</v>
      </c>
      <c r="V3610" s="75" t="s">
        <v>2276</v>
      </c>
      <c r="W3610" s="75" t="s">
        <v>2276</v>
      </c>
      <c r="X3610" s="75" t="s">
        <v>2276</v>
      </c>
      <c r="Y3610" s="21">
        <v>38.99</v>
      </c>
      <c r="Z3610" s="204" t="s">
        <v>189</v>
      </c>
      <c r="AA3610" s="204" t="s">
        <v>425</v>
      </c>
      <c r="AB3610" s="204" t="s">
        <v>2655</v>
      </c>
      <c r="AC3610" s="204"/>
      <c r="AD3610" s="204"/>
    </row>
    <row r="3611" spans="1:30" ht="37" customHeight="1">
      <c r="A3611" s="11" t="s">
        <v>9469</v>
      </c>
      <c r="B3611" s="11" t="s">
        <v>9480</v>
      </c>
      <c r="C3611" s="204" t="s">
        <v>2656</v>
      </c>
      <c r="D3611" s="204" t="s">
        <v>2276</v>
      </c>
      <c r="E3611" s="204" t="s">
        <v>9476</v>
      </c>
      <c r="F3611" s="204" t="s">
        <v>2276</v>
      </c>
      <c r="G3611" s="204" t="s">
        <v>74</v>
      </c>
      <c r="H3611" s="4" t="s">
        <v>523</v>
      </c>
      <c r="I3611" s="204"/>
      <c r="J3611" s="75" t="s">
        <v>2276</v>
      </c>
      <c r="K3611" s="75" t="s">
        <v>2276</v>
      </c>
      <c r="L3611" s="75" t="s">
        <v>2276</v>
      </c>
      <c r="M3611" s="75" t="s">
        <v>2276</v>
      </c>
      <c r="N3611" s="75" t="s">
        <v>2276</v>
      </c>
      <c r="O3611" s="75" t="s">
        <v>2276</v>
      </c>
      <c r="P3611" s="75" t="s">
        <v>2276</v>
      </c>
      <c r="Q3611" s="75" t="s">
        <v>2276</v>
      </c>
      <c r="R3611" s="75" t="s">
        <v>2276</v>
      </c>
      <c r="S3611" s="75" t="s">
        <v>2276</v>
      </c>
      <c r="T3611" s="75" t="s">
        <v>2276</v>
      </c>
      <c r="U3611" s="75" t="s">
        <v>2276</v>
      </c>
      <c r="V3611" s="75" t="s">
        <v>2276</v>
      </c>
      <c r="W3611" s="75" t="s">
        <v>2276</v>
      </c>
      <c r="X3611" s="75" t="s">
        <v>2276</v>
      </c>
      <c r="Y3611" s="21">
        <v>8.5</v>
      </c>
      <c r="Z3611" s="204" t="s">
        <v>189</v>
      </c>
      <c r="AA3611" s="204" t="s">
        <v>425</v>
      </c>
      <c r="AB3611" s="204" t="s">
        <v>2655</v>
      </c>
      <c r="AC3611" s="204"/>
      <c r="AD3611" s="204"/>
    </row>
    <row r="3612" spans="1:30" ht="32.5" customHeight="1">
      <c r="A3612" s="11" t="s">
        <v>9470</v>
      </c>
      <c r="B3612" s="11" t="s">
        <v>9481</v>
      </c>
      <c r="C3612" s="204" t="s">
        <v>2656</v>
      </c>
      <c r="D3612" s="204" t="s">
        <v>2276</v>
      </c>
      <c r="E3612" s="204" t="s">
        <v>9476</v>
      </c>
      <c r="F3612" s="204" t="s">
        <v>2276</v>
      </c>
      <c r="G3612" s="204" t="s">
        <v>74</v>
      </c>
      <c r="H3612" s="4" t="s">
        <v>523</v>
      </c>
      <c r="I3612" s="204"/>
      <c r="J3612" s="75" t="s">
        <v>2276</v>
      </c>
      <c r="K3612" s="75" t="s">
        <v>2276</v>
      </c>
      <c r="L3612" s="75" t="s">
        <v>2276</v>
      </c>
      <c r="M3612" s="75" t="s">
        <v>2276</v>
      </c>
      <c r="N3612" s="75" t="s">
        <v>2276</v>
      </c>
      <c r="O3612" s="75" t="s">
        <v>2276</v>
      </c>
      <c r="P3612" s="75" t="s">
        <v>2276</v>
      </c>
      <c r="Q3612" s="75" t="s">
        <v>2276</v>
      </c>
      <c r="R3612" s="75" t="s">
        <v>2276</v>
      </c>
      <c r="S3612" s="75" t="s">
        <v>2276</v>
      </c>
      <c r="T3612" s="75" t="s">
        <v>2276</v>
      </c>
      <c r="U3612" s="75" t="s">
        <v>2276</v>
      </c>
      <c r="V3612" s="75" t="s">
        <v>2276</v>
      </c>
      <c r="W3612" s="75" t="s">
        <v>2276</v>
      </c>
      <c r="X3612" s="75" t="s">
        <v>2276</v>
      </c>
      <c r="Y3612" s="21">
        <v>11.68</v>
      </c>
      <c r="Z3612" s="204" t="s">
        <v>189</v>
      </c>
      <c r="AA3612" s="204" t="s">
        <v>425</v>
      </c>
      <c r="AB3612" s="204" t="s">
        <v>2655</v>
      </c>
      <c r="AC3612" s="204"/>
      <c r="AD3612" s="204"/>
    </row>
    <row r="3613" spans="1:30" ht="45.5" customHeight="1">
      <c r="A3613" s="11" t="s">
        <v>9487</v>
      </c>
      <c r="B3613" s="11" t="s">
        <v>9489</v>
      </c>
      <c r="C3613" s="204" t="s">
        <v>24</v>
      </c>
      <c r="D3613" s="204" t="s">
        <v>1242</v>
      </c>
      <c r="E3613" s="204" t="s">
        <v>2649</v>
      </c>
      <c r="F3613" s="4" t="s">
        <v>55</v>
      </c>
      <c r="G3613" s="4" t="s">
        <v>55</v>
      </c>
      <c r="H3613" s="4" t="s">
        <v>523</v>
      </c>
      <c r="I3613" s="204"/>
      <c r="J3613" s="75" t="s">
        <v>2276</v>
      </c>
      <c r="K3613" s="75" t="s">
        <v>2276</v>
      </c>
      <c r="L3613" s="75" t="s">
        <v>2276</v>
      </c>
      <c r="M3613" s="75" t="s">
        <v>2276</v>
      </c>
      <c r="N3613" s="75" t="s">
        <v>2276</v>
      </c>
      <c r="O3613" s="75" t="s">
        <v>2276</v>
      </c>
      <c r="P3613" s="75" t="s">
        <v>2276</v>
      </c>
      <c r="Q3613" s="75" t="s">
        <v>2276</v>
      </c>
      <c r="R3613" s="75" t="s">
        <v>2276</v>
      </c>
      <c r="S3613" s="75" t="s">
        <v>2276</v>
      </c>
      <c r="T3613" s="75" t="s">
        <v>2276</v>
      </c>
      <c r="U3613" s="75" t="s">
        <v>2276</v>
      </c>
      <c r="V3613" s="75" t="s">
        <v>2276</v>
      </c>
      <c r="W3613" s="75" t="s">
        <v>2276</v>
      </c>
      <c r="X3613" s="75" t="s">
        <v>2276</v>
      </c>
      <c r="Y3613" s="75" t="s">
        <v>2276</v>
      </c>
      <c r="Z3613" s="75" t="s">
        <v>2276</v>
      </c>
      <c r="AA3613" s="75" t="s">
        <v>2276</v>
      </c>
      <c r="AB3613" s="75" t="s">
        <v>2276</v>
      </c>
      <c r="AC3613" s="204"/>
      <c r="AD3613" s="204"/>
    </row>
    <row r="3614" spans="1:30" ht="39" customHeight="1">
      <c r="A3614" s="11" t="s">
        <v>9492</v>
      </c>
      <c r="B3614" s="11" t="s">
        <v>9497</v>
      </c>
      <c r="C3614" s="204" t="s">
        <v>24</v>
      </c>
      <c r="D3614" s="204" t="s">
        <v>2231</v>
      </c>
      <c r="E3614" s="4" t="s">
        <v>396</v>
      </c>
      <c r="F3614" s="204" t="s">
        <v>160</v>
      </c>
      <c r="G3614" s="204" t="s">
        <v>160</v>
      </c>
      <c r="H3614" s="4" t="s">
        <v>523</v>
      </c>
      <c r="I3614" s="204"/>
      <c r="J3614" s="75" t="s">
        <v>2276</v>
      </c>
      <c r="K3614" s="75" t="s">
        <v>2276</v>
      </c>
      <c r="L3614" s="75" t="s">
        <v>2276</v>
      </c>
      <c r="M3614" s="75" t="s">
        <v>2276</v>
      </c>
      <c r="N3614" s="75" t="s">
        <v>2276</v>
      </c>
      <c r="O3614" s="75" t="s">
        <v>2276</v>
      </c>
      <c r="P3614" s="75" t="s">
        <v>2276</v>
      </c>
      <c r="Q3614" s="75" t="s">
        <v>2276</v>
      </c>
      <c r="R3614" s="75" t="s">
        <v>2276</v>
      </c>
      <c r="S3614" s="75" t="s">
        <v>2276</v>
      </c>
      <c r="T3614" s="75" t="s">
        <v>2276</v>
      </c>
      <c r="U3614" s="75" t="s">
        <v>2276</v>
      </c>
      <c r="V3614" s="75" t="s">
        <v>2276</v>
      </c>
      <c r="W3614" s="75" t="s">
        <v>2276</v>
      </c>
      <c r="X3614" s="75" t="s">
        <v>2276</v>
      </c>
      <c r="Y3614" s="75" t="s">
        <v>2276</v>
      </c>
      <c r="Z3614" s="75" t="s">
        <v>2276</v>
      </c>
      <c r="AA3614" s="75" t="s">
        <v>2276</v>
      </c>
      <c r="AB3614" s="75" t="s">
        <v>2276</v>
      </c>
      <c r="AC3614" s="4" t="s">
        <v>9502</v>
      </c>
      <c r="AD3614" s="204"/>
    </row>
    <row r="3615" spans="1:30" ht="43" customHeight="1">
      <c r="A3615" s="11" t="s">
        <v>9493</v>
      </c>
      <c r="B3615" s="11" t="s">
        <v>9498</v>
      </c>
      <c r="C3615" s="204" t="s">
        <v>24</v>
      </c>
      <c r="D3615" s="204" t="s">
        <v>143</v>
      </c>
      <c r="E3615" s="4" t="s">
        <v>396</v>
      </c>
      <c r="F3615" s="204" t="s">
        <v>74</v>
      </c>
      <c r="G3615" s="204" t="s">
        <v>74</v>
      </c>
      <c r="H3615" s="4" t="s">
        <v>523</v>
      </c>
      <c r="I3615" s="204"/>
      <c r="J3615" s="75" t="s">
        <v>2276</v>
      </c>
      <c r="K3615" s="75" t="s">
        <v>2276</v>
      </c>
      <c r="L3615" s="75" t="s">
        <v>2276</v>
      </c>
      <c r="M3615" s="75" t="s">
        <v>2276</v>
      </c>
      <c r="N3615" s="75" t="s">
        <v>2276</v>
      </c>
      <c r="O3615" s="75" t="s">
        <v>2276</v>
      </c>
      <c r="P3615" s="75" t="s">
        <v>2276</v>
      </c>
      <c r="Q3615" s="75" t="s">
        <v>2276</v>
      </c>
      <c r="R3615" s="75" t="s">
        <v>2276</v>
      </c>
      <c r="S3615" s="75" t="s">
        <v>2276</v>
      </c>
      <c r="T3615" s="75" t="s">
        <v>2276</v>
      </c>
      <c r="U3615" s="75" t="s">
        <v>2276</v>
      </c>
      <c r="V3615" s="75" t="s">
        <v>2276</v>
      </c>
      <c r="W3615" s="75" t="s">
        <v>2276</v>
      </c>
      <c r="X3615" s="75" t="s">
        <v>2276</v>
      </c>
      <c r="Y3615" s="75" t="s">
        <v>2276</v>
      </c>
      <c r="Z3615" s="75" t="s">
        <v>2276</v>
      </c>
      <c r="AA3615" s="75" t="s">
        <v>2276</v>
      </c>
      <c r="AB3615" s="75" t="s">
        <v>2276</v>
      </c>
      <c r="AC3615" s="4" t="s">
        <v>9501</v>
      </c>
      <c r="AD3615" s="204"/>
    </row>
    <row r="3616" spans="1:30" ht="61.5" customHeight="1">
      <c r="A3616" s="11" t="s">
        <v>9493</v>
      </c>
      <c r="B3616" s="11" t="s">
        <v>9499</v>
      </c>
      <c r="C3616" s="204" t="s">
        <v>24</v>
      </c>
      <c r="D3616" s="204" t="s">
        <v>2231</v>
      </c>
      <c r="E3616" s="4" t="s">
        <v>2650</v>
      </c>
      <c r="F3616" s="204" t="s">
        <v>74</v>
      </c>
      <c r="G3616" s="204" t="s">
        <v>74</v>
      </c>
      <c r="H3616" s="4" t="s">
        <v>523</v>
      </c>
      <c r="I3616" s="204"/>
      <c r="J3616" s="75" t="s">
        <v>2276</v>
      </c>
      <c r="K3616" s="75" t="s">
        <v>2276</v>
      </c>
      <c r="L3616" s="75" t="s">
        <v>2276</v>
      </c>
      <c r="M3616" s="75" t="s">
        <v>2276</v>
      </c>
      <c r="N3616" s="75" t="s">
        <v>2276</v>
      </c>
      <c r="O3616" s="75" t="s">
        <v>2276</v>
      </c>
      <c r="P3616" s="75" t="s">
        <v>2276</v>
      </c>
      <c r="Q3616" s="75" t="s">
        <v>2276</v>
      </c>
      <c r="R3616" s="75" t="s">
        <v>2276</v>
      </c>
      <c r="S3616" s="75" t="s">
        <v>2276</v>
      </c>
      <c r="T3616" s="75" t="s">
        <v>2276</v>
      </c>
      <c r="U3616" s="75" t="s">
        <v>2276</v>
      </c>
      <c r="V3616" s="75" t="s">
        <v>2276</v>
      </c>
      <c r="W3616" s="75" t="s">
        <v>2276</v>
      </c>
      <c r="X3616" s="75" t="s">
        <v>2276</v>
      </c>
      <c r="Y3616" s="75" t="s">
        <v>2276</v>
      </c>
      <c r="Z3616" s="75" t="s">
        <v>2276</v>
      </c>
      <c r="AA3616" s="75" t="s">
        <v>2276</v>
      </c>
      <c r="AB3616" s="75" t="s">
        <v>2276</v>
      </c>
      <c r="AC3616" s="4" t="s">
        <v>9500</v>
      </c>
      <c r="AD3616" s="204"/>
    </row>
    <row r="3617" spans="1:30" ht="35.5" customHeight="1">
      <c r="A3617" s="11" t="s">
        <v>9504</v>
      </c>
      <c r="B3617" s="11" t="s">
        <v>9507</v>
      </c>
      <c r="C3617" s="204" t="s">
        <v>24</v>
      </c>
      <c r="D3617" s="204" t="s">
        <v>143</v>
      </c>
      <c r="E3617" s="204" t="s">
        <v>84</v>
      </c>
      <c r="F3617" s="204" t="s">
        <v>74</v>
      </c>
      <c r="G3617" s="204" t="s">
        <v>74</v>
      </c>
      <c r="H3617" s="4" t="s">
        <v>523</v>
      </c>
      <c r="I3617" s="204"/>
      <c r="J3617" s="75" t="s">
        <v>2276</v>
      </c>
      <c r="K3617" s="75" t="s">
        <v>2276</v>
      </c>
      <c r="L3617" s="75" t="s">
        <v>2276</v>
      </c>
      <c r="M3617" s="75" t="s">
        <v>2276</v>
      </c>
      <c r="N3617" s="75" t="s">
        <v>2276</v>
      </c>
      <c r="O3617" s="75" t="s">
        <v>2276</v>
      </c>
      <c r="P3617" s="75" t="s">
        <v>2276</v>
      </c>
      <c r="Q3617" s="75" t="s">
        <v>2276</v>
      </c>
      <c r="R3617" s="75" t="s">
        <v>2276</v>
      </c>
      <c r="S3617" s="75" t="s">
        <v>2276</v>
      </c>
      <c r="T3617" s="75" t="s">
        <v>2276</v>
      </c>
      <c r="U3617" s="75" t="s">
        <v>2276</v>
      </c>
      <c r="V3617" s="75" t="s">
        <v>2276</v>
      </c>
      <c r="W3617" s="75" t="s">
        <v>2276</v>
      </c>
      <c r="X3617" s="75" t="s">
        <v>2276</v>
      </c>
      <c r="Y3617" s="75" t="s">
        <v>2276</v>
      </c>
      <c r="Z3617" s="75" t="s">
        <v>2276</v>
      </c>
      <c r="AA3617" s="75" t="s">
        <v>2276</v>
      </c>
      <c r="AB3617" s="75" t="s">
        <v>2276</v>
      </c>
      <c r="AC3617" s="19" t="s">
        <v>9510</v>
      </c>
      <c r="AD3617" s="204"/>
    </row>
    <row r="3618" spans="1:30" ht="35.5" customHeight="1">
      <c r="A3618" s="11" t="s">
        <v>9504</v>
      </c>
      <c r="B3618" s="11" t="s">
        <v>9508</v>
      </c>
      <c r="C3618" s="204" t="s">
        <v>24</v>
      </c>
      <c r="D3618" s="204" t="s">
        <v>143</v>
      </c>
      <c r="E3618" s="4" t="s">
        <v>396</v>
      </c>
      <c r="F3618" s="204" t="s">
        <v>74</v>
      </c>
      <c r="G3618" s="204" t="s">
        <v>74</v>
      </c>
      <c r="H3618" s="4" t="s">
        <v>523</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75" t="s">
        <v>2276</v>
      </c>
      <c r="Y3618" s="75" t="s">
        <v>2276</v>
      </c>
      <c r="Z3618" s="75" t="s">
        <v>2276</v>
      </c>
      <c r="AA3618" s="75" t="s">
        <v>2276</v>
      </c>
      <c r="AB3618" s="75" t="s">
        <v>2276</v>
      </c>
      <c r="AC3618" s="19" t="s">
        <v>9510</v>
      </c>
      <c r="AD3618" s="204"/>
    </row>
    <row r="3619" spans="1:30" ht="32.5" customHeight="1">
      <c r="A3619" s="11" t="s">
        <v>9504</v>
      </c>
      <c r="B3619" s="11" t="s">
        <v>9509</v>
      </c>
      <c r="C3619" s="204" t="s">
        <v>24</v>
      </c>
      <c r="D3619" s="204" t="s">
        <v>27</v>
      </c>
      <c r="E3619" s="204" t="s">
        <v>130</v>
      </c>
      <c r="F3619" s="4" t="s">
        <v>74</v>
      </c>
      <c r="G3619" s="204" t="s">
        <v>74</v>
      </c>
      <c r="H3619" s="4" t="s">
        <v>523</v>
      </c>
      <c r="I3619" s="204"/>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75" t="s">
        <v>2276</v>
      </c>
      <c r="Y3619" s="75" t="s">
        <v>2276</v>
      </c>
      <c r="Z3619" s="75" t="s">
        <v>2276</v>
      </c>
      <c r="AA3619" s="75" t="s">
        <v>2276</v>
      </c>
      <c r="AB3619" s="75" t="s">
        <v>2276</v>
      </c>
      <c r="AC3619" s="19" t="s">
        <v>9510</v>
      </c>
      <c r="AD3619" s="204"/>
    </row>
    <row r="3620" spans="1:30" ht="41" customHeight="1">
      <c r="A3620" s="11" t="s">
        <v>9506</v>
      </c>
      <c r="B3620" s="11" t="s">
        <v>9511</v>
      </c>
      <c r="C3620" s="204" t="s">
        <v>24</v>
      </c>
      <c r="D3620" s="204" t="s">
        <v>143</v>
      </c>
      <c r="E3620" s="204" t="s">
        <v>84</v>
      </c>
      <c r="F3620" s="204" t="s">
        <v>74</v>
      </c>
      <c r="G3620" s="204" t="s">
        <v>74</v>
      </c>
      <c r="H3620" s="4" t="s">
        <v>523</v>
      </c>
      <c r="I3620" s="204"/>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75" t="s">
        <v>2276</v>
      </c>
      <c r="AA3620" s="75" t="s">
        <v>2276</v>
      </c>
      <c r="AB3620" s="75" t="s">
        <v>2276</v>
      </c>
      <c r="AC3620" s="19" t="s">
        <v>9510</v>
      </c>
      <c r="AD3620" s="204"/>
    </row>
    <row r="3621" spans="1:30" ht="41" customHeight="1">
      <c r="A3621" s="11" t="s">
        <v>9506</v>
      </c>
      <c r="B3621" s="11" t="s">
        <v>9512</v>
      </c>
      <c r="C3621" s="204" t="s">
        <v>24</v>
      </c>
      <c r="D3621" s="204" t="s">
        <v>143</v>
      </c>
      <c r="E3621" s="4" t="s">
        <v>396</v>
      </c>
      <c r="F3621" s="204" t="s">
        <v>74</v>
      </c>
      <c r="G3621" s="204" t="s">
        <v>74</v>
      </c>
      <c r="H3621" s="4" t="s">
        <v>523</v>
      </c>
      <c r="I3621" s="204"/>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75" t="s">
        <v>2276</v>
      </c>
      <c r="AA3621" s="75" t="s">
        <v>2276</v>
      </c>
      <c r="AB3621" s="75" t="s">
        <v>2276</v>
      </c>
      <c r="AC3621" s="19" t="s">
        <v>9510</v>
      </c>
      <c r="AD3621" s="204"/>
    </row>
    <row r="3622" spans="1:30" ht="41" customHeight="1">
      <c r="A3622" s="11" t="s">
        <v>9506</v>
      </c>
      <c r="B3622" s="11" t="s">
        <v>9513</v>
      </c>
      <c r="C3622" s="204" t="s">
        <v>24</v>
      </c>
      <c r="D3622" s="204" t="s">
        <v>27</v>
      </c>
      <c r="E3622" s="204" t="s">
        <v>130</v>
      </c>
      <c r="F3622" s="4" t="s">
        <v>74</v>
      </c>
      <c r="G3622" s="204" t="s">
        <v>74</v>
      </c>
      <c r="H3622" s="4" t="s">
        <v>523</v>
      </c>
      <c r="I3622" s="204"/>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75" t="s">
        <v>2276</v>
      </c>
      <c r="Z3622" s="75" t="s">
        <v>2276</v>
      </c>
      <c r="AA3622" s="75" t="s">
        <v>2276</v>
      </c>
      <c r="AB3622" s="75" t="s">
        <v>2276</v>
      </c>
      <c r="AC3622" s="19" t="s">
        <v>9510</v>
      </c>
      <c r="AD3622" s="204"/>
    </row>
    <row r="3623" spans="1:30" ht="51" customHeight="1">
      <c r="A3623" s="11" t="s">
        <v>9517</v>
      </c>
      <c r="B3623" s="11" t="s">
        <v>9520</v>
      </c>
      <c r="C3623" s="204" t="s">
        <v>1105</v>
      </c>
      <c r="D3623" s="204" t="s">
        <v>1105</v>
      </c>
      <c r="E3623" s="204" t="s">
        <v>2276</v>
      </c>
      <c r="F3623" s="204" t="s">
        <v>2276</v>
      </c>
      <c r="G3623" s="204" t="s">
        <v>2663</v>
      </c>
      <c r="H3623" s="4" t="s">
        <v>523</v>
      </c>
      <c r="I3623" s="204"/>
      <c r="J3623" s="21">
        <f>100*143/2/13392.46</f>
        <v>0.53388249806234256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75" t="s">
        <v>2276</v>
      </c>
      <c r="Z3623" s="204" t="s">
        <v>34</v>
      </c>
      <c r="AA3623" s="204" t="s">
        <v>68</v>
      </c>
      <c r="AB3623" s="204" t="s">
        <v>76</v>
      </c>
      <c r="AC3623" s="204"/>
      <c r="AD3623" s="204"/>
    </row>
    <row r="3624" spans="1:30" ht="37" customHeight="1">
      <c r="A3624" s="11" t="s">
        <v>9517</v>
      </c>
      <c r="B3624" s="11" t="s">
        <v>9521</v>
      </c>
      <c r="C3624" s="204" t="s">
        <v>24</v>
      </c>
      <c r="D3624" s="204" t="s">
        <v>2346</v>
      </c>
      <c r="E3624" s="204" t="s">
        <v>2276</v>
      </c>
      <c r="F3624" s="204" t="s">
        <v>2276</v>
      </c>
      <c r="G3624" s="204" t="s">
        <v>2663</v>
      </c>
      <c r="H3624" s="4" t="s">
        <v>523</v>
      </c>
      <c r="I3624" s="204"/>
      <c r="J3624" s="21">
        <f>100*79/2/13392.46</f>
        <v>0.29494207934912631</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75" t="s">
        <v>2276</v>
      </c>
      <c r="Z3624" s="204" t="s">
        <v>404</v>
      </c>
      <c r="AA3624" s="204" t="s">
        <v>68</v>
      </c>
      <c r="AB3624" s="204" t="s">
        <v>76</v>
      </c>
      <c r="AC3624" s="204"/>
      <c r="AD3624" s="204"/>
    </row>
    <row r="3625" spans="1:30" ht="37" customHeight="1">
      <c r="A3625" s="11" t="s">
        <v>9517</v>
      </c>
      <c r="B3625" s="11" t="s">
        <v>9522</v>
      </c>
      <c r="C3625" s="204" t="s">
        <v>2458</v>
      </c>
      <c r="D3625" s="204" t="s">
        <v>25</v>
      </c>
      <c r="E3625" s="204" t="s">
        <v>45</v>
      </c>
      <c r="F3625" s="4" t="s">
        <v>55</v>
      </c>
      <c r="G3625" s="204" t="s">
        <v>2663</v>
      </c>
      <c r="H3625" s="4" t="s">
        <v>523</v>
      </c>
      <c r="I3625" s="204"/>
      <c r="J3625" s="21">
        <f>100*4/2/13392.46</f>
        <v>1.4933776169576016E-2</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75" t="s">
        <v>2276</v>
      </c>
      <c r="Z3625" s="75" t="s">
        <v>2276</v>
      </c>
      <c r="AA3625" s="75" t="s">
        <v>2276</v>
      </c>
      <c r="AB3625" s="75" t="s">
        <v>2276</v>
      </c>
      <c r="AC3625" s="204"/>
      <c r="AD3625" s="204"/>
    </row>
    <row r="3626" spans="1:30" ht="37" customHeight="1">
      <c r="A3626" s="11" t="s">
        <v>9517</v>
      </c>
      <c r="B3626" s="11" t="s">
        <v>9523</v>
      </c>
      <c r="C3626" s="204" t="s">
        <v>2458</v>
      </c>
      <c r="D3626" s="204" t="s">
        <v>27</v>
      </c>
      <c r="E3626" s="204" t="s">
        <v>130</v>
      </c>
      <c r="F3626" s="4" t="s">
        <v>160</v>
      </c>
      <c r="G3626" s="204" t="s">
        <v>2663</v>
      </c>
      <c r="H3626" s="4" t="s">
        <v>523</v>
      </c>
      <c r="I3626" s="204"/>
      <c r="J3626" s="21">
        <f>100*37/4/13392.46</f>
        <v>6.9068714784289081E-2</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75" t="s">
        <v>2276</v>
      </c>
      <c r="AB3626" s="75" t="s">
        <v>2276</v>
      </c>
      <c r="AC3626" s="204"/>
      <c r="AD3626" s="4" t="s">
        <v>9528</v>
      </c>
    </row>
    <row r="3627" spans="1:30" ht="37" customHeight="1">
      <c r="A3627" s="11" t="s">
        <v>9517</v>
      </c>
      <c r="B3627" s="11" t="s">
        <v>9524</v>
      </c>
      <c r="C3627" s="204" t="s">
        <v>2458</v>
      </c>
      <c r="D3627" s="204" t="s">
        <v>2659</v>
      </c>
      <c r="E3627" s="204" t="s">
        <v>130</v>
      </c>
      <c r="F3627" s="4" t="s">
        <v>28</v>
      </c>
      <c r="G3627" s="204" t="s">
        <v>2663</v>
      </c>
      <c r="H3627" s="4" t="s">
        <v>523</v>
      </c>
      <c r="I3627" s="204"/>
      <c r="J3627" s="21">
        <f>100*37/4/13392.46</f>
        <v>6.9068714784289081E-2</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75" t="s">
        <v>2276</v>
      </c>
      <c r="AB3627" s="75" t="s">
        <v>2276</v>
      </c>
      <c r="AC3627" s="204"/>
      <c r="AD3627" s="4" t="s">
        <v>9528</v>
      </c>
    </row>
    <row r="3628" spans="1:30" ht="40" customHeight="1">
      <c r="A3628" s="11" t="s">
        <v>9517</v>
      </c>
      <c r="B3628" s="11" t="s">
        <v>9525</v>
      </c>
      <c r="C3628" s="204" t="s">
        <v>2458</v>
      </c>
      <c r="D3628" s="204" t="s">
        <v>1245</v>
      </c>
      <c r="E3628" s="204" t="s">
        <v>116</v>
      </c>
      <c r="F3628" s="204" t="s">
        <v>2276</v>
      </c>
      <c r="G3628" s="204" t="s">
        <v>2663</v>
      </c>
      <c r="H3628" s="4" t="s">
        <v>523</v>
      </c>
      <c r="I3628" s="204"/>
      <c r="J3628" s="21">
        <f>100*10/2/13392.46</f>
        <v>3.7334440423940039E-2</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75" t="s">
        <v>2276</v>
      </c>
      <c r="AB3628" s="75" t="s">
        <v>2276</v>
      </c>
      <c r="AC3628" s="204"/>
      <c r="AD3628" s="204"/>
    </row>
    <row r="3629" spans="1:30" ht="40" customHeight="1">
      <c r="A3629" s="11" t="s">
        <v>9517</v>
      </c>
      <c r="B3629" s="11" t="s">
        <v>9526</v>
      </c>
      <c r="C3629" s="204" t="s">
        <v>2458</v>
      </c>
      <c r="D3629" s="204" t="s">
        <v>3476</v>
      </c>
      <c r="E3629" s="204" t="s">
        <v>863</v>
      </c>
      <c r="F3629" s="204" t="s">
        <v>2276</v>
      </c>
      <c r="G3629" s="204" t="s">
        <v>2663</v>
      </c>
      <c r="H3629" s="4" t="s">
        <v>523</v>
      </c>
      <c r="I3629" s="204"/>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75" t="s">
        <v>2276</v>
      </c>
      <c r="AB3629" s="75" t="s">
        <v>2276</v>
      </c>
      <c r="AC3629" s="204"/>
      <c r="AD3629" s="204"/>
    </row>
    <row r="3630" spans="1:30" ht="40.5" customHeight="1">
      <c r="A3630" s="11" t="s">
        <v>9517</v>
      </c>
      <c r="B3630" s="11" t="s">
        <v>9527</v>
      </c>
      <c r="C3630" s="204" t="s">
        <v>2458</v>
      </c>
      <c r="D3630" s="204" t="s">
        <v>61</v>
      </c>
      <c r="E3630" s="204" t="s">
        <v>2649</v>
      </c>
      <c r="F3630" s="204" t="s">
        <v>2663</v>
      </c>
      <c r="G3630" s="204" t="s">
        <v>2663</v>
      </c>
      <c r="H3630" s="4" t="s">
        <v>523</v>
      </c>
      <c r="I3630" s="204"/>
      <c r="J3630" s="21">
        <f>100*11/2/13392.46</f>
        <v>4.1067884466334047E-2</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75" t="s">
        <v>2276</v>
      </c>
      <c r="AB3630" s="75" t="s">
        <v>2276</v>
      </c>
      <c r="AC3630" s="204"/>
      <c r="AD3630" s="204"/>
    </row>
    <row r="3631" spans="1:30" ht="48" customHeight="1">
      <c r="A3631" s="11" t="s">
        <v>9532</v>
      </c>
      <c r="B3631" s="11" t="s">
        <v>9534</v>
      </c>
      <c r="C3631" s="204" t="s">
        <v>1105</v>
      </c>
      <c r="D3631" s="204" t="s">
        <v>2276</v>
      </c>
      <c r="E3631" s="204" t="s">
        <v>2276</v>
      </c>
      <c r="F3631" s="204" t="s">
        <v>2276</v>
      </c>
      <c r="G3631" s="204" t="s">
        <v>2663</v>
      </c>
      <c r="H3631" s="4" t="s">
        <v>523</v>
      </c>
      <c r="I3631" s="204"/>
      <c r="J3631" s="75" t="s">
        <v>2276</v>
      </c>
      <c r="K3631" s="75" t="s">
        <v>2276</v>
      </c>
      <c r="L3631" s="75" t="s">
        <v>2276</v>
      </c>
      <c r="M3631" s="75" t="s">
        <v>2276</v>
      </c>
      <c r="N3631" s="21">
        <v>22700</v>
      </c>
      <c r="O3631" s="75" t="s">
        <v>2276</v>
      </c>
      <c r="P3631" s="75" t="s">
        <v>2276</v>
      </c>
      <c r="Q3631" s="75" t="s">
        <v>2276</v>
      </c>
      <c r="R3631" s="75" t="s">
        <v>2276</v>
      </c>
      <c r="S3631" s="75" t="s">
        <v>2276</v>
      </c>
      <c r="T3631" s="21">
        <f>40000/2</f>
        <v>20000</v>
      </c>
      <c r="U3631" s="75" t="s">
        <v>2276</v>
      </c>
      <c r="V3631" s="21">
        <f>100/2*(40000)/((899642+181178)*67/163)</f>
        <v>4.5018334614376538</v>
      </c>
      <c r="W3631" s="75" t="s">
        <v>2276</v>
      </c>
      <c r="X3631" s="21">
        <f>T3631/'Record info'!K$1496</f>
        <v>0.48696433010630191</v>
      </c>
      <c r="Y3631" s="75" t="s">
        <v>2276</v>
      </c>
      <c r="Z3631" s="75" t="s">
        <v>2276</v>
      </c>
      <c r="AA3631" s="75" t="s">
        <v>2276</v>
      </c>
      <c r="AB3631" s="75" t="s">
        <v>2276</v>
      </c>
      <c r="AC3631" s="204"/>
      <c r="AD3631" s="204"/>
    </row>
    <row r="3632" spans="1:30" ht="47.5" customHeight="1">
      <c r="A3632" s="11" t="s">
        <v>9532</v>
      </c>
      <c r="B3632" s="11" t="s">
        <v>9535</v>
      </c>
      <c r="C3632" s="204" t="s">
        <v>1105</v>
      </c>
      <c r="D3632" s="204" t="s">
        <v>2276</v>
      </c>
      <c r="E3632" s="204" t="s">
        <v>2276</v>
      </c>
      <c r="F3632" s="204" t="s">
        <v>2276</v>
      </c>
      <c r="G3632" s="204" t="s">
        <v>28</v>
      </c>
      <c r="H3632" s="4" t="s">
        <v>523</v>
      </c>
      <c r="I3632" s="204"/>
      <c r="J3632" s="75" t="s">
        <v>2276</v>
      </c>
      <c r="K3632" s="75" t="s">
        <v>2276</v>
      </c>
      <c r="L3632" s="75" t="s">
        <v>2276</v>
      </c>
      <c r="M3632" s="75" t="s">
        <v>2276</v>
      </c>
      <c r="N3632" s="21">
        <v>22700</v>
      </c>
      <c r="O3632" s="75" t="s">
        <v>2276</v>
      </c>
      <c r="P3632" s="75" t="s">
        <v>2276</v>
      </c>
      <c r="Q3632" s="75" t="s">
        <v>2276</v>
      </c>
      <c r="R3632" s="75" t="s">
        <v>2276</v>
      </c>
      <c r="S3632" s="75" t="s">
        <v>2276</v>
      </c>
      <c r="T3632" s="21">
        <f>52200/2</f>
        <v>26100</v>
      </c>
      <c r="U3632" s="75" t="s">
        <v>2276</v>
      </c>
      <c r="V3632" s="75" t="s">
        <v>2276</v>
      </c>
      <c r="W3632" s="75" t="s">
        <v>2276</v>
      </c>
      <c r="X3632" s="21">
        <f>T3632/'Record info'!K$1496</f>
        <v>0.63548845078872396</v>
      </c>
      <c r="Y3632" s="75" t="s">
        <v>2276</v>
      </c>
      <c r="Z3632" s="75" t="s">
        <v>2276</v>
      </c>
      <c r="AA3632" s="75" t="s">
        <v>2276</v>
      </c>
      <c r="AB3632" s="75" t="s">
        <v>2276</v>
      </c>
      <c r="AC3632" s="204"/>
      <c r="AD3632" s="204"/>
    </row>
    <row r="3633" spans="1:30" ht="49.5" customHeight="1">
      <c r="A3633" s="11" t="s">
        <v>9532</v>
      </c>
      <c r="B3633" s="11" t="s">
        <v>9536</v>
      </c>
      <c r="C3633" s="204" t="s">
        <v>1105</v>
      </c>
      <c r="D3633" s="204" t="s">
        <v>2276</v>
      </c>
      <c r="E3633" s="204" t="s">
        <v>2276</v>
      </c>
      <c r="F3633" s="204" t="s">
        <v>2276</v>
      </c>
      <c r="G3633" s="4" t="s">
        <v>2662</v>
      </c>
      <c r="H3633" s="4" t="s">
        <v>523</v>
      </c>
      <c r="I3633" s="204"/>
      <c r="J3633" s="75" t="s">
        <v>2276</v>
      </c>
      <c r="K3633" s="75" t="s">
        <v>2276</v>
      </c>
      <c r="L3633" s="75" t="s">
        <v>2276</v>
      </c>
      <c r="M3633" s="75" t="s">
        <v>2276</v>
      </c>
      <c r="N3633" s="21">
        <v>22700</v>
      </c>
      <c r="O3633" s="75" t="s">
        <v>2276</v>
      </c>
      <c r="P3633" s="75" t="s">
        <v>2276</v>
      </c>
      <c r="Q3633" s="75" t="s">
        <v>2276</v>
      </c>
      <c r="R3633" s="75" t="s">
        <v>2276</v>
      </c>
      <c r="S3633" s="75" t="s">
        <v>2276</v>
      </c>
      <c r="T3633" s="21">
        <f>290000/2*0.82</f>
        <v>118900</v>
      </c>
      <c r="U3633" s="75" t="s">
        <v>2276</v>
      </c>
      <c r="V3633" s="75" t="s">
        <v>2276</v>
      </c>
      <c r="W3633" s="75" t="s">
        <v>2276</v>
      </c>
      <c r="X3633" s="21">
        <f>T3633/'Record info'!K$1496</f>
        <v>2.8950029424819648</v>
      </c>
      <c r="Y3633" s="75" t="s">
        <v>2276</v>
      </c>
      <c r="Z3633" s="75" t="s">
        <v>2276</v>
      </c>
      <c r="AA3633" s="75" t="s">
        <v>2276</v>
      </c>
      <c r="AB3633" s="75" t="s">
        <v>2276</v>
      </c>
      <c r="AC3633" s="204" t="s">
        <v>9543</v>
      </c>
      <c r="AD3633" s="204"/>
    </row>
    <row r="3634" spans="1:30" ht="49" customHeight="1">
      <c r="A3634" s="11" t="s">
        <v>9532</v>
      </c>
      <c r="B3634" s="11" t="s">
        <v>9537</v>
      </c>
      <c r="C3634" s="204" t="s">
        <v>1105</v>
      </c>
      <c r="D3634" s="204" t="s">
        <v>2276</v>
      </c>
      <c r="E3634" s="204" t="s">
        <v>9476</v>
      </c>
      <c r="F3634" s="204" t="s">
        <v>2276</v>
      </c>
      <c r="G3634" s="204" t="s">
        <v>74</v>
      </c>
      <c r="H3634" s="4" t="s">
        <v>523</v>
      </c>
      <c r="I3634" s="204"/>
      <c r="J3634" s="75" t="s">
        <v>2276</v>
      </c>
      <c r="K3634" s="75" t="s">
        <v>2276</v>
      </c>
      <c r="L3634" s="75" t="s">
        <v>2276</v>
      </c>
      <c r="M3634" s="75" t="s">
        <v>2276</v>
      </c>
      <c r="N3634" s="21">
        <v>22700</v>
      </c>
      <c r="O3634" s="75" t="s">
        <v>2276</v>
      </c>
      <c r="P3634" s="75" t="s">
        <v>2276</v>
      </c>
      <c r="Q3634" s="75" t="s">
        <v>2276</v>
      </c>
      <c r="R3634" s="75" t="s">
        <v>2276</v>
      </c>
      <c r="S3634" s="75" t="s">
        <v>2276</v>
      </c>
      <c r="T3634" s="21">
        <f>(29274+33210)/2</f>
        <v>31242</v>
      </c>
      <c r="U3634" s="75" t="s">
        <v>2276</v>
      </c>
      <c r="V3634" s="21">
        <f>100/2*(29274+33210)/(304726+478072)</f>
        <v>3.9910679383442473</v>
      </c>
      <c r="W3634" s="75" t="s">
        <v>2276</v>
      </c>
      <c r="X3634" s="21">
        <f>T3634/'Record info'!K$1496</f>
        <v>0.76068698005905422</v>
      </c>
      <c r="Y3634" s="75" t="s">
        <v>2276</v>
      </c>
      <c r="Z3634" s="75" t="s">
        <v>2276</v>
      </c>
      <c r="AA3634" s="75" t="s">
        <v>2276</v>
      </c>
      <c r="AB3634" s="75" t="s">
        <v>2276</v>
      </c>
      <c r="AC3634" s="204"/>
      <c r="AD3634" s="204"/>
    </row>
    <row r="3635" spans="1:30" ht="58.5" customHeight="1">
      <c r="A3635" s="11" t="s">
        <v>9532</v>
      </c>
      <c r="B3635" s="11" t="s">
        <v>9539</v>
      </c>
      <c r="C3635" s="204" t="s">
        <v>24</v>
      </c>
      <c r="D3635" s="204" t="s">
        <v>143</v>
      </c>
      <c r="E3635" s="4" t="s">
        <v>397</v>
      </c>
      <c r="F3635" s="204" t="s">
        <v>74</v>
      </c>
      <c r="G3635" s="204" t="s">
        <v>74</v>
      </c>
      <c r="H3635" s="4" t="s">
        <v>523</v>
      </c>
      <c r="I3635" s="204"/>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75" t="s">
        <v>2276</v>
      </c>
      <c r="AB3635" s="75" t="s">
        <v>2276</v>
      </c>
      <c r="AC3635" s="4" t="s">
        <v>9542</v>
      </c>
      <c r="AD3635" s="204"/>
    </row>
    <row r="3636" spans="1:30" ht="54.5" customHeight="1">
      <c r="A3636" s="11" t="s">
        <v>9532</v>
      </c>
      <c r="B3636" s="11" t="s">
        <v>9540</v>
      </c>
      <c r="C3636" s="204" t="s">
        <v>24</v>
      </c>
      <c r="D3636" s="204" t="s">
        <v>143</v>
      </c>
      <c r="E3636" s="4" t="s">
        <v>84</v>
      </c>
      <c r="F3636" s="204" t="s">
        <v>74</v>
      </c>
      <c r="G3636" s="204" t="s">
        <v>74</v>
      </c>
      <c r="H3636" s="4" t="s">
        <v>523</v>
      </c>
      <c r="I3636" s="204"/>
      <c r="J3636" s="75" t="s">
        <v>2276</v>
      </c>
      <c r="K3636" s="75" t="s">
        <v>2276</v>
      </c>
      <c r="L3636" s="75" t="s">
        <v>2276</v>
      </c>
      <c r="M3636" s="75" t="s">
        <v>2276</v>
      </c>
      <c r="N3636" s="75" t="s">
        <v>2276</v>
      </c>
      <c r="O3636" s="75" t="s">
        <v>2276</v>
      </c>
      <c r="P3636" s="75" t="s">
        <v>2276</v>
      </c>
      <c r="Q3636" s="75" t="s">
        <v>2276</v>
      </c>
      <c r="R3636" s="75" t="s">
        <v>2276</v>
      </c>
      <c r="S3636" s="75" t="s">
        <v>2276</v>
      </c>
      <c r="T3636" s="75" t="s">
        <v>2276</v>
      </c>
      <c r="U3636" s="75" t="s">
        <v>2276</v>
      </c>
      <c r="V3636" s="75" t="s">
        <v>2276</v>
      </c>
      <c r="W3636" s="75" t="s">
        <v>2276</v>
      </c>
      <c r="X3636" s="75" t="s">
        <v>2276</v>
      </c>
      <c r="Y3636" s="75" t="s">
        <v>2276</v>
      </c>
      <c r="Z3636" s="75" t="s">
        <v>2276</v>
      </c>
      <c r="AA3636" s="75" t="s">
        <v>2276</v>
      </c>
      <c r="AB3636" s="75" t="s">
        <v>2276</v>
      </c>
      <c r="AD3636" s="204"/>
    </row>
    <row r="3637" spans="1:30" ht="53.5" customHeight="1">
      <c r="A3637" s="11" t="s">
        <v>9532</v>
      </c>
      <c r="B3637" s="11" t="s">
        <v>9540</v>
      </c>
      <c r="C3637" s="204" t="s">
        <v>24</v>
      </c>
      <c r="D3637" s="204" t="s">
        <v>2346</v>
      </c>
      <c r="E3637" s="204" t="s">
        <v>84</v>
      </c>
      <c r="F3637" s="4" t="s">
        <v>28</v>
      </c>
      <c r="G3637" s="204" t="s">
        <v>28</v>
      </c>
      <c r="H3637" s="4" t="s">
        <v>523</v>
      </c>
      <c r="I3637" s="204"/>
      <c r="J3637" s="75" t="s">
        <v>2276</v>
      </c>
      <c r="K3637" s="75" t="s">
        <v>2276</v>
      </c>
      <c r="L3637" s="75" t="s">
        <v>2276</v>
      </c>
      <c r="M3637" s="75" t="s">
        <v>2276</v>
      </c>
      <c r="N3637" s="75" t="s">
        <v>2276</v>
      </c>
      <c r="O3637" s="75" t="s">
        <v>2276</v>
      </c>
      <c r="P3637" s="75" t="s">
        <v>2276</v>
      </c>
      <c r="Q3637" s="75" t="s">
        <v>2276</v>
      </c>
      <c r="R3637" s="75" t="s">
        <v>2276</v>
      </c>
      <c r="S3637" s="75" t="s">
        <v>2276</v>
      </c>
      <c r="T3637" s="75" t="s">
        <v>2276</v>
      </c>
      <c r="U3637" s="75" t="s">
        <v>2276</v>
      </c>
      <c r="V3637" s="75" t="s">
        <v>2276</v>
      </c>
      <c r="W3637" s="75" t="s">
        <v>2276</v>
      </c>
      <c r="X3637" s="75" t="s">
        <v>2276</v>
      </c>
      <c r="Y3637" s="75" t="s">
        <v>2276</v>
      </c>
      <c r="Z3637" s="75" t="s">
        <v>2276</v>
      </c>
      <c r="AA3637" s="75" t="s">
        <v>2276</v>
      </c>
      <c r="AB3637" s="75" t="s">
        <v>2276</v>
      </c>
      <c r="AC3637" s="82" t="s">
        <v>9541</v>
      </c>
      <c r="AD3637" s="204"/>
    </row>
    <row r="3638" spans="1:30" ht="56.5" customHeight="1">
      <c r="A3638" s="11" t="s">
        <v>9532</v>
      </c>
      <c r="B3638" s="11" t="s">
        <v>9544</v>
      </c>
      <c r="C3638" s="204" t="s">
        <v>24</v>
      </c>
      <c r="D3638" s="204" t="s">
        <v>2231</v>
      </c>
      <c r="E3638" s="4" t="s">
        <v>397</v>
      </c>
      <c r="F3638" s="4" t="s">
        <v>2662</v>
      </c>
      <c r="G3638" s="4" t="s">
        <v>2662</v>
      </c>
      <c r="H3638" s="4" t="s">
        <v>523</v>
      </c>
      <c r="I3638" s="204"/>
      <c r="J3638" s="75" t="s">
        <v>2276</v>
      </c>
      <c r="K3638" s="75" t="s">
        <v>2276</v>
      </c>
      <c r="L3638" s="75" t="s">
        <v>2276</v>
      </c>
      <c r="M3638" s="75" t="s">
        <v>2276</v>
      </c>
      <c r="N3638" s="75" t="s">
        <v>2276</v>
      </c>
      <c r="O3638" s="75" t="s">
        <v>2276</v>
      </c>
      <c r="P3638" s="75" t="s">
        <v>2276</v>
      </c>
      <c r="Q3638" s="75" t="s">
        <v>2276</v>
      </c>
      <c r="R3638" s="75" t="s">
        <v>2276</v>
      </c>
      <c r="S3638" s="75" t="s">
        <v>2276</v>
      </c>
      <c r="T3638" s="75" t="s">
        <v>2276</v>
      </c>
      <c r="U3638" s="75" t="s">
        <v>2276</v>
      </c>
      <c r="V3638" s="75" t="s">
        <v>2276</v>
      </c>
      <c r="W3638" s="75" t="s">
        <v>2276</v>
      </c>
      <c r="X3638" s="75" t="s">
        <v>2276</v>
      </c>
      <c r="Y3638" s="75" t="s">
        <v>2276</v>
      </c>
      <c r="Z3638" s="75" t="s">
        <v>2276</v>
      </c>
      <c r="AA3638" s="75" t="s">
        <v>2276</v>
      </c>
      <c r="AB3638" s="75" t="s">
        <v>2276</v>
      </c>
      <c r="AC3638" s="4" t="s">
        <v>9545</v>
      </c>
      <c r="AD3638" s="204"/>
    </row>
    <row r="3639" spans="1:30" ht="56.5" customHeight="1">
      <c r="A3639" s="11" t="s">
        <v>9549</v>
      </c>
      <c r="B3639" s="11" t="s">
        <v>9559</v>
      </c>
      <c r="C3639" s="204" t="s">
        <v>1105</v>
      </c>
      <c r="D3639" s="204" t="s">
        <v>2276</v>
      </c>
      <c r="E3639" s="204" t="s">
        <v>2276</v>
      </c>
      <c r="F3639" s="204" t="s">
        <v>2276</v>
      </c>
      <c r="G3639" s="204" t="s">
        <v>74</v>
      </c>
      <c r="H3639" s="204" t="s">
        <v>523</v>
      </c>
      <c r="I3639" s="204"/>
      <c r="J3639" s="75" t="s">
        <v>2276</v>
      </c>
      <c r="K3639" s="75" t="s">
        <v>2276</v>
      </c>
      <c r="L3639" s="75" t="s">
        <v>2276</v>
      </c>
      <c r="M3639" s="75" t="s">
        <v>2276</v>
      </c>
      <c r="N3639" s="75" t="s">
        <v>2276</v>
      </c>
      <c r="O3639" s="75" t="s">
        <v>2276</v>
      </c>
      <c r="P3639" s="75" t="s">
        <v>2276</v>
      </c>
      <c r="Q3639" s="75" t="s">
        <v>2276</v>
      </c>
      <c r="R3639" s="75" t="s">
        <v>2276</v>
      </c>
      <c r="S3639" s="75" t="s">
        <v>2276</v>
      </c>
      <c r="T3639" s="21">
        <f>2375000+750000</f>
        <v>3125000</v>
      </c>
      <c r="U3639" s="75" t="s">
        <v>2276</v>
      </c>
      <c r="V3639" s="75" t="s">
        <v>2276</v>
      </c>
      <c r="W3639" s="75" t="s">
        <v>2276</v>
      </c>
      <c r="X3639" s="21">
        <f>T3639/'Record info'!K$1497</f>
        <v>4.2040547267028101</v>
      </c>
      <c r="Y3639" s="75" t="s">
        <v>2276</v>
      </c>
      <c r="Z3639" s="75" t="s">
        <v>2276</v>
      </c>
      <c r="AA3639" s="75" t="s">
        <v>2276</v>
      </c>
      <c r="AB3639" s="204"/>
      <c r="AC3639" s="204"/>
      <c r="AD3639" s="204"/>
    </row>
    <row r="3640" spans="1:30" ht="56.5" customHeight="1">
      <c r="A3640" s="11" t="s">
        <v>9549</v>
      </c>
      <c r="B3640" s="11" t="s">
        <v>9573</v>
      </c>
      <c r="C3640" s="204" t="s">
        <v>1105</v>
      </c>
      <c r="D3640" s="204" t="s">
        <v>2276</v>
      </c>
      <c r="E3640" s="204" t="s">
        <v>2276</v>
      </c>
      <c r="F3640" s="204" t="s">
        <v>2276</v>
      </c>
      <c r="G3640" s="204" t="s">
        <v>55</v>
      </c>
      <c r="H3640" s="204" t="s">
        <v>523</v>
      </c>
      <c r="I3640" s="204"/>
      <c r="J3640" s="75" t="s">
        <v>2276</v>
      </c>
      <c r="K3640" s="75" t="s">
        <v>2276</v>
      </c>
      <c r="L3640" s="75" t="s">
        <v>2276</v>
      </c>
      <c r="M3640" s="75" t="s">
        <v>2276</v>
      </c>
      <c r="N3640" s="75" t="s">
        <v>2276</v>
      </c>
      <c r="O3640" s="75" t="s">
        <v>2276</v>
      </c>
      <c r="P3640" s="75" t="s">
        <v>2276</v>
      </c>
      <c r="Q3640" s="75" t="s">
        <v>2276</v>
      </c>
      <c r="R3640" s="75" t="s">
        <v>2276</v>
      </c>
      <c r="S3640" s="75" t="s">
        <v>2276</v>
      </c>
      <c r="T3640" s="21">
        <v>375000</v>
      </c>
      <c r="U3640" s="75" t="s">
        <v>2276</v>
      </c>
      <c r="V3640" s="75" t="s">
        <v>2276</v>
      </c>
      <c r="W3640" s="75" t="s">
        <v>2276</v>
      </c>
      <c r="X3640" s="21">
        <f>T3640/'Record info'!K$1497</f>
        <v>0.50448656720433727</v>
      </c>
      <c r="Y3640" s="75" t="s">
        <v>2276</v>
      </c>
      <c r="Z3640" s="75" t="s">
        <v>2276</v>
      </c>
      <c r="AA3640" s="75" t="s">
        <v>2276</v>
      </c>
      <c r="AB3640" s="204"/>
      <c r="AC3640" s="204"/>
      <c r="AD3640" s="204"/>
    </row>
    <row r="3641" spans="1:30" ht="56.5" customHeight="1">
      <c r="A3641" s="11" t="s">
        <v>9549</v>
      </c>
      <c r="B3641" s="11" t="s">
        <v>9574</v>
      </c>
      <c r="C3641" s="204" t="s">
        <v>1105</v>
      </c>
      <c r="D3641" s="204" t="s">
        <v>2276</v>
      </c>
      <c r="E3641" s="204" t="s">
        <v>2276</v>
      </c>
      <c r="F3641" s="204" t="s">
        <v>2276</v>
      </c>
      <c r="G3641" s="204" t="s">
        <v>2663</v>
      </c>
      <c r="H3641" s="204" t="s">
        <v>523</v>
      </c>
      <c r="I3641" s="204"/>
      <c r="J3641" s="75" t="s">
        <v>2276</v>
      </c>
      <c r="K3641" s="75" t="s">
        <v>2276</v>
      </c>
      <c r="L3641" s="75" t="s">
        <v>2276</v>
      </c>
      <c r="M3641" s="75" t="s">
        <v>2276</v>
      </c>
      <c r="N3641" s="75" t="s">
        <v>2276</v>
      </c>
      <c r="O3641" s="75" t="s">
        <v>2276</v>
      </c>
      <c r="P3641" s="75" t="s">
        <v>2276</v>
      </c>
      <c r="Q3641" s="75" t="s">
        <v>2276</v>
      </c>
      <c r="R3641" s="75" t="s">
        <v>2276</v>
      </c>
      <c r="S3641" s="75" t="s">
        <v>2276</v>
      </c>
      <c r="T3641" s="21">
        <v>116000</v>
      </c>
      <c r="U3641" s="75" t="s">
        <v>2276</v>
      </c>
      <c r="V3641" s="75" t="s">
        <v>2276</v>
      </c>
      <c r="W3641" s="75" t="s">
        <v>2276</v>
      </c>
      <c r="X3641" s="21">
        <f>T3641/'Record info'!K$1497</f>
        <v>0.15605451145520832</v>
      </c>
      <c r="Y3641" s="75" t="s">
        <v>2276</v>
      </c>
      <c r="Z3641" s="75" t="s">
        <v>2276</v>
      </c>
      <c r="AA3641" s="75" t="s">
        <v>2276</v>
      </c>
      <c r="AB3641" s="204"/>
      <c r="AC3641" s="204"/>
      <c r="AD3641" s="204"/>
    </row>
    <row r="3642" spans="1:30" ht="56.5" customHeight="1">
      <c r="A3642" s="11" t="s">
        <v>9549</v>
      </c>
      <c r="B3642" s="11" t="s">
        <v>9575</v>
      </c>
      <c r="C3642" s="204" t="s">
        <v>1105</v>
      </c>
      <c r="D3642" s="204" t="s">
        <v>2276</v>
      </c>
      <c r="E3642" s="204" t="s">
        <v>130</v>
      </c>
      <c r="F3642" s="204" t="s">
        <v>2276</v>
      </c>
      <c r="G3642" s="204" t="s">
        <v>28</v>
      </c>
      <c r="H3642" s="204" t="s">
        <v>523</v>
      </c>
      <c r="I3642" s="204"/>
      <c r="J3642" s="75" t="s">
        <v>2276</v>
      </c>
      <c r="K3642" s="75" t="s">
        <v>2276</v>
      </c>
      <c r="L3642" s="75" t="s">
        <v>2276</v>
      </c>
      <c r="M3642" s="75" t="s">
        <v>2276</v>
      </c>
      <c r="N3642" s="75" t="s">
        <v>2276</v>
      </c>
      <c r="O3642" s="75" t="s">
        <v>2276</v>
      </c>
      <c r="P3642" s="75" t="s">
        <v>2276</v>
      </c>
      <c r="Q3642" s="75" t="s">
        <v>2276</v>
      </c>
      <c r="R3642" s="75" t="s">
        <v>2276</v>
      </c>
      <c r="S3642" s="75" t="s">
        <v>2276</v>
      </c>
      <c r="T3642" s="21">
        <v>2829000</v>
      </c>
      <c r="U3642" s="75" t="s">
        <v>2276</v>
      </c>
      <c r="V3642" s="75" t="s">
        <v>2276</v>
      </c>
      <c r="W3642" s="75" t="s">
        <v>2276</v>
      </c>
      <c r="X3642" s="21">
        <f>T3642/'Record info'!K$1497</f>
        <v>3.80584666298952</v>
      </c>
      <c r="Y3642" s="75" t="s">
        <v>2276</v>
      </c>
      <c r="Z3642" s="75" t="s">
        <v>2276</v>
      </c>
      <c r="AA3642" s="75" t="s">
        <v>2276</v>
      </c>
      <c r="AB3642" s="204"/>
      <c r="AC3642" s="204"/>
      <c r="AD3642" s="204"/>
    </row>
    <row r="3643" spans="1:30" ht="56.5" customHeight="1">
      <c r="A3643" s="11" t="s">
        <v>9549</v>
      </c>
      <c r="B3643" s="11" t="s">
        <v>9576</v>
      </c>
      <c r="C3643" s="204" t="s">
        <v>1105</v>
      </c>
      <c r="D3643" s="204" t="s">
        <v>2276</v>
      </c>
      <c r="E3643" s="204" t="s">
        <v>84</v>
      </c>
      <c r="F3643" s="204" t="s">
        <v>2276</v>
      </c>
      <c r="G3643" s="204" t="s">
        <v>28</v>
      </c>
      <c r="H3643" s="204" t="s">
        <v>523</v>
      </c>
      <c r="I3643" s="204"/>
      <c r="J3643" s="75" t="s">
        <v>2276</v>
      </c>
      <c r="K3643" s="75" t="s">
        <v>2276</v>
      </c>
      <c r="L3643" s="75" t="s">
        <v>2276</v>
      </c>
      <c r="M3643" s="75" t="s">
        <v>2276</v>
      </c>
      <c r="N3643" s="75" t="s">
        <v>2276</v>
      </c>
      <c r="O3643" s="75" t="s">
        <v>2276</v>
      </c>
      <c r="P3643" s="75" t="s">
        <v>2276</v>
      </c>
      <c r="Q3643" s="75" t="s">
        <v>2276</v>
      </c>
      <c r="R3643" s="75" t="s">
        <v>2276</v>
      </c>
      <c r="S3643" s="75" t="s">
        <v>2276</v>
      </c>
      <c r="T3643" s="21">
        <v>55000</v>
      </c>
      <c r="U3643" s="75" t="s">
        <v>2276</v>
      </c>
      <c r="V3643" s="75" t="s">
        <v>2276</v>
      </c>
      <c r="W3643" s="75" t="s">
        <v>2276</v>
      </c>
      <c r="X3643" s="21">
        <f>T3643/'Record info'!K$1497</f>
        <v>7.3991363189969461E-2</v>
      </c>
      <c r="Y3643" s="75" t="s">
        <v>2276</v>
      </c>
      <c r="Z3643" s="75" t="s">
        <v>2276</v>
      </c>
      <c r="AA3643" s="75" t="s">
        <v>2276</v>
      </c>
      <c r="AB3643" s="204"/>
      <c r="AC3643" s="204"/>
      <c r="AD3643" s="204"/>
    </row>
    <row r="3644" spans="1:30" s="203" customFormat="1" ht="56.5" customHeight="1">
      <c r="A3644" s="11" t="s">
        <v>9553</v>
      </c>
      <c r="B3644" s="11" t="s">
        <v>9560</v>
      </c>
      <c r="C3644" s="204" t="s">
        <v>1105</v>
      </c>
      <c r="D3644" s="204" t="s">
        <v>2276</v>
      </c>
      <c r="E3644" s="204" t="s">
        <v>2276</v>
      </c>
      <c r="F3644" s="204" t="s">
        <v>2276</v>
      </c>
      <c r="G3644" s="204" t="s">
        <v>74</v>
      </c>
      <c r="H3644" s="204" t="s">
        <v>523</v>
      </c>
      <c r="I3644" s="204"/>
      <c r="J3644" s="75" t="s">
        <v>2276</v>
      </c>
      <c r="K3644" s="75" t="s">
        <v>2276</v>
      </c>
      <c r="L3644" s="75" t="s">
        <v>2276</v>
      </c>
      <c r="M3644" s="75" t="s">
        <v>2276</v>
      </c>
      <c r="N3644" s="75" t="s">
        <v>2276</v>
      </c>
      <c r="O3644" s="75" t="s">
        <v>2276</v>
      </c>
      <c r="P3644" s="75" t="s">
        <v>2276</v>
      </c>
      <c r="Q3644" s="75" t="s">
        <v>2276</v>
      </c>
      <c r="R3644" s="75" t="s">
        <v>2276</v>
      </c>
      <c r="S3644" s="75" t="s">
        <v>2276</v>
      </c>
      <c r="T3644" s="21">
        <f>383000+308000</f>
        <v>691000</v>
      </c>
      <c r="U3644" s="75" t="s">
        <v>2276</v>
      </c>
      <c r="V3644" s="75" t="s">
        <v>2276</v>
      </c>
      <c r="W3644" s="75" t="s">
        <v>2276</v>
      </c>
      <c r="X3644" s="21">
        <f>T3644/'Record info'!K$1498</f>
        <v>1.4594038620345906</v>
      </c>
      <c r="Y3644" s="75" t="s">
        <v>2276</v>
      </c>
      <c r="Z3644" s="75" t="s">
        <v>2276</v>
      </c>
      <c r="AA3644" s="75" t="s">
        <v>2276</v>
      </c>
      <c r="AB3644" s="204"/>
      <c r="AC3644" s="204"/>
      <c r="AD3644" s="204"/>
    </row>
    <row r="3645" spans="1:30" s="203" customFormat="1" ht="56.5" customHeight="1">
      <c r="A3645" s="11" t="s">
        <v>9553</v>
      </c>
      <c r="B3645" s="11" t="s">
        <v>9577</v>
      </c>
      <c r="C3645" s="204" t="s">
        <v>1105</v>
      </c>
      <c r="D3645" s="204" t="s">
        <v>2276</v>
      </c>
      <c r="E3645" s="204" t="s">
        <v>2276</v>
      </c>
      <c r="F3645" s="204" t="s">
        <v>2276</v>
      </c>
      <c r="G3645" s="204" t="s">
        <v>55</v>
      </c>
      <c r="H3645" s="204" t="s">
        <v>523</v>
      </c>
      <c r="I3645" s="204"/>
      <c r="J3645" s="75" t="s">
        <v>2276</v>
      </c>
      <c r="K3645" s="75" t="s">
        <v>2276</v>
      </c>
      <c r="L3645" s="75" t="s">
        <v>2276</v>
      </c>
      <c r="M3645" s="75" t="s">
        <v>2276</v>
      </c>
      <c r="N3645" s="75" t="s">
        <v>2276</v>
      </c>
      <c r="O3645" s="75" t="s">
        <v>2276</v>
      </c>
      <c r="P3645" s="75" t="s">
        <v>2276</v>
      </c>
      <c r="Q3645" s="75" t="s">
        <v>2276</v>
      </c>
      <c r="R3645" s="75" t="s">
        <v>2276</v>
      </c>
      <c r="S3645" s="75" t="s">
        <v>2276</v>
      </c>
      <c r="T3645" s="21">
        <v>263000</v>
      </c>
      <c r="U3645" s="75" t="s">
        <v>2276</v>
      </c>
      <c r="V3645" s="75" t="s">
        <v>2276</v>
      </c>
      <c r="W3645" s="75" t="s">
        <v>2276</v>
      </c>
      <c r="X3645" s="21">
        <f>T3645/'Record info'!K$1498</f>
        <v>0.55546051478306413</v>
      </c>
      <c r="Y3645" s="75" t="s">
        <v>2276</v>
      </c>
      <c r="Z3645" s="75" t="s">
        <v>2276</v>
      </c>
      <c r="AA3645" s="75" t="s">
        <v>2276</v>
      </c>
      <c r="AB3645" s="204"/>
      <c r="AC3645" s="204"/>
      <c r="AD3645" s="204"/>
    </row>
    <row r="3646" spans="1:30" s="203" customFormat="1" ht="56.5" customHeight="1">
      <c r="A3646" s="11" t="s">
        <v>9553</v>
      </c>
      <c r="B3646" s="11" t="s">
        <v>9578</v>
      </c>
      <c r="C3646" s="204" t="s">
        <v>1105</v>
      </c>
      <c r="D3646" s="204" t="s">
        <v>2276</v>
      </c>
      <c r="E3646" s="204" t="s">
        <v>2276</v>
      </c>
      <c r="F3646" s="204" t="s">
        <v>2276</v>
      </c>
      <c r="G3646" s="204" t="s">
        <v>2663</v>
      </c>
      <c r="H3646" s="204" t="s">
        <v>523</v>
      </c>
      <c r="I3646" s="204"/>
      <c r="J3646" s="75" t="s">
        <v>2276</v>
      </c>
      <c r="K3646" s="75" t="s">
        <v>2276</v>
      </c>
      <c r="L3646" s="75" t="s">
        <v>2276</v>
      </c>
      <c r="M3646" s="75" t="s">
        <v>2276</v>
      </c>
      <c r="N3646" s="75" t="s">
        <v>2276</v>
      </c>
      <c r="O3646" s="75" t="s">
        <v>2276</v>
      </c>
      <c r="P3646" s="75" t="s">
        <v>2276</v>
      </c>
      <c r="Q3646" s="75" t="s">
        <v>2276</v>
      </c>
      <c r="R3646" s="75" t="s">
        <v>2276</v>
      </c>
      <c r="S3646" s="75" t="s">
        <v>2276</v>
      </c>
      <c r="T3646" s="21">
        <v>72000</v>
      </c>
      <c r="U3646" s="75" t="s">
        <v>2276</v>
      </c>
      <c r="V3646" s="75" t="s">
        <v>2276</v>
      </c>
      <c r="W3646" s="75" t="s">
        <v>2276</v>
      </c>
      <c r="X3646" s="21">
        <f>T3646/'Record info'!K$1498</f>
        <v>0.15206523598623808</v>
      </c>
      <c r="Y3646" s="75" t="s">
        <v>2276</v>
      </c>
      <c r="Z3646" s="75" t="s">
        <v>2276</v>
      </c>
      <c r="AA3646" s="75" t="s">
        <v>2276</v>
      </c>
      <c r="AB3646" s="204"/>
      <c r="AC3646" s="204"/>
      <c r="AD3646" s="204"/>
    </row>
    <row r="3647" spans="1:30" s="203" customFormat="1" ht="56.5" customHeight="1">
      <c r="A3647" s="11" t="s">
        <v>9553</v>
      </c>
      <c r="B3647" s="11" t="s">
        <v>9579</v>
      </c>
      <c r="C3647" s="204" t="s">
        <v>1105</v>
      </c>
      <c r="D3647" s="204" t="s">
        <v>2276</v>
      </c>
      <c r="E3647" s="204" t="s">
        <v>130</v>
      </c>
      <c r="F3647" s="204" t="s">
        <v>2276</v>
      </c>
      <c r="G3647" s="204" t="s">
        <v>28</v>
      </c>
      <c r="H3647" s="204" t="s">
        <v>523</v>
      </c>
      <c r="I3647" s="204"/>
      <c r="J3647" s="75" t="s">
        <v>2276</v>
      </c>
      <c r="K3647" s="75" t="s">
        <v>2276</v>
      </c>
      <c r="L3647" s="75" t="s">
        <v>2276</v>
      </c>
      <c r="M3647" s="75" t="s">
        <v>2276</v>
      </c>
      <c r="N3647" s="75" t="s">
        <v>2276</v>
      </c>
      <c r="O3647" s="75" t="s">
        <v>2276</v>
      </c>
      <c r="P3647" s="75" t="s">
        <v>2276</v>
      </c>
      <c r="Q3647" s="75" t="s">
        <v>2276</v>
      </c>
      <c r="R3647" s="75" t="s">
        <v>2276</v>
      </c>
      <c r="S3647" s="75" t="s">
        <v>2276</v>
      </c>
      <c r="T3647" s="21">
        <v>669000</v>
      </c>
      <c r="U3647" s="75" t="s">
        <v>2276</v>
      </c>
      <c r="V3647" s="75" t="s">
        <v>2276</v>
      </c>
      <c r="W3647" s="75" t="s">
        <v>2276</v>
      </c>
      <c r="X3647" s="21">
        <f>T3647/'Record info'!K$1498</f>
        <v>1.412939484372129</v>
      </c>
      <c r="Y3647" s="75" t="s">
        <v>2276</v>
      </c>
      <c r="Z3647" s="75" t="s">
        <v>2276</v>
      </c>
      <c r="AA3647" s="75" t="s">
        <v>2276</v>
      </c>
      <c r="AB3647" s="204"/>
      <c r="AC3647" s="204"/>
      <c r="AD3647" s="204"/>
    </row>
    <row r="3648" spans="1:30" s="203" customFormat="1" ht="56.5" customHeight="1">
      <c r="A3648" s="11" t="s">
        <v>9553</v>
      </c>
      <c r="B3648" s="11" t="s">
        <v>9580</v>
      </c>
      <c r="C3648" s="204" t="s">
        <v>1105</v>
      </c>
      <c r="D3648" s="204" t="s">
        <v>2276</v>
      </c>
      <c r="E3648" s="204" t="s">
        <v>84</v>
      </c>
      <c r="F3648" s="204" t="s">
        <v>2276</v>
      </c>
      <c r="G3648" s="204" t="s">
        <v>28</v>
      </c>
      <c r="H3648" s="204" t="s">
        <v>523</v>
      </c>
      <c r="I3648" s="204"/>
      <c r="J3648" s="75" t="s">
        <v>2276</v>
      </c>
      <c r="K3648" s="75" t="s">
        <v>2276</v>
      </c>
      <c r="L3648" s="75" t="s">
        <v>2276</v>
      </c>
      <c r="M3648" s="75" t="s">
        <v>2276</v>
      </c>
      <c r="N3648" s="75" t="s">
        <v>2276</v>
      </c>
      <c r="O3648" s="75" t="s">
        <v>2276</v>
      </c>
      <c r="P3648" s="75" t="s">
        <v>2276</v>
      </c>
      <c r="Q3648" s="75" t="s">
        <v>2276</v>
      </c>
      <c r="R3648" s="75" t="s">
        <v>2276</v>
      </c>
      <c r="S3648" s="75" t="s">
        <v>2276</v>
      </c>
      <c r="T3648" s="21">
        <v>60000</v>
      </c>
      <c r="U3648" s="75" t="s">
        <v>2276</v>
      </c>
      <c r="V3648" s="75" t="s">
        <v>2276</v>
      </c>
      <c r="W3648" s="75" t="s">
        <v>2276</v>
      </c>
      <c r="X3648" s="21">
        <f>T3648/'Record info'!K$1498</f>
        <v>0.12672102998853174</v>
      </c>
      <c r="Y3648" s="75" t="s">
        <v>2276</v>
      </c>
      <c r="Z3648" s="75" t="s">
        <v>2276</v>
      </c>
      <c r="AA3648" s="75" t="s">
        <v>2276</v>
      </c>
      <c r="AB3648" s="204"/>
      <c r="AC3648" s="204"/>
      <c r="AD3648" s="204"/>
    </row>
    <row r="3649" spans="1:30" s="203" customFormat="1" ht="56.5" customHeight="1">
      <c r="A3649" s="11" t="s">
        <v>9554</v>
      </c>
      <c r="B3649" s="11" t="s">
        <v>9561</v>
      </c>
      <c r="C3649" s="204" t="s">
        <v>1105</v>
      </c>
      <c r="D3649" s="204" t="s">
        <v>2276</v>
      </c>
      <c r="E3649" s="204" t="s">
        <v>2276</v>
      </c>
      <c r="F3649" s="204" t="s">
        <v>2276</v>
      </c>
      <c r="G3649" s="204" t="s">
        <v>74</v>
      </c>
      <c r="H3649" s="204" t="s">
        <v>523</v>
      </c>
      <c r="I3649" s="204"/>
      <c r="J3649" s="75" t="s">
        <v>2276</v>
      </c>
      <c r="K3649" s="75" t="s">
        <v>2276</v>
      </c>
      <c r="L3649" s="75" t="s">
        <v>2276</v>
      </c>
      <c r="M3649" s="75" t="s">
        <v>2276</v>
      </c>
      <c r="N3649" s="75" t="s">
        <v>2276</v>
      </c>
      <c r="O3649" s="75" t="s">
        <v>2276</v>
      </c>
      <c r="P3649" s="75" t="s">
        <v>2276</v>
      </c>
      <c r="Q3649" s="75" t="s">
        <v>2276</v>
      </c>
      <c r="R3649" s="75" t="s">
        <v>2276</v>
      </c>
      <c r="S3649" s="75" t="s">
        <v>2276</v>
      </c>
      <c r="T3649" s="21">
        <f>25000</f>
        <v>25000</v>
      </c>
      <c r="U3649" s="75" t="s">
        <v>2276</v>
      </c>
      <c r="V3649" s="75" t="s">
        <v>2276</v>
      </c>
      <c r="W3649" s="75" t="s">
        <v>2276</v>
      </c>
      <c r="X3649" s="21">
        <f>T3649/'Record info'!K$1499</f>
        <v>0.19486036306382845</v>
      </c>
      <c r="Y3649" s="75" t="s">
        <v>2276</v>
      </c>
      <c r="Z3649" s="75" t="s">
        <v>2276</v>
      </c>
      <c r="AA3649" s="75" t="s">
        <v>2276</v>
      </c>
      <c r="AB3649" s="204"/>
      <c r="AC3649" s="204"/>
      <c r="AD3649" s="204"/>
    </row>
    <row r="3650" spans="1:30" s="203" customFormat="1" ht="56.5" customHeight="1">
      <c r="A3650" s="11" t="s">
        <v>9554</v>
      </c>
      <c r="B3650" s="11" t="s">
        <v>9581</v>
      </c>
      <c r="C3650" s="204" t="s">
        <v>1105</v>
      </c>
      <c r="D3650" s="204" t="s">
        <v>2276</v>
      </c>
      <c r="E3650" s="204" t="s">
        <v>2276</v>
      </c>
      <c r="F3650" s="204" t="s">
        <v>2276</v>
      </c>
      <c r="G3650" s="204" t="s">
        <v>55</v>
      </c>
      <c r="H3650" s="204" t="s">
        <v>523</v>
      </c>
      <c r="I3650" s="204"/>
      <c r="J3650" s="75" t="s">
        <v>2276</v>
      </c>
      <c r="K3650" s="75" t="s">
        <v>2276</v>
      </c>
      <c r="L3650" s="75" t="s">
        <v>2276</v>
      </c>
      <c r="M3650" s="75" t="s">
        <v>2276</v>
      </c>
      <c r="N3650" s="75" t="s">
        <v>2276</v>
      </c>
      <c r="O3650" s="75" t="s">
        <v>2276</v>
      </c>
      <c r="P3650" s="75" t="s">
        <v>2276</v>
      </c>
      <c r="Q3650" s="75" t="s">
        <v>2276</v>
      </c>
      <c r="R3650" s="75" t="s">
        <v>2276</v>
      </c>
      <c r="S3650" s="75" t="s">
        <v>2276</v>
      </c>
      <c r="T3650" s="21">
        <v>25000</v>
      </c>
      <c r="U3650" s="75" t="s">
        <v>2276</v>
      </c>
      <c r="V3650" s="75" t="s">
        <v>2276</v>
      </c>
      <c r="W3650" s="75" t="s">
        <v>2276</v>
      </c>
      <c r="X3650" s="21">
        <f>T3650/'Record info'!K$1499</f>
        <v>0.19486036306382845</v>
      </c>
      <c r="Y3650" s="75" t="s">
        <v>2276</v>
      </c>
      <c r="Z3650" s="75" t="s">
        <v>2276</v>
      </c>
      <c r="AA3650" s="75" t="s">
        <v>2276</v>
      </c>
      <c r="AB3650" s="204"/>
      <c r="AC3650" s="204"/>
      <c r="AD3650" s="204"/>
    </row>
    <row r="3651" spans="1:30" s="203" customFormat="1" ht="56.5" customHeight="1">
      <c r="A3651" s="11" t="s">
        <v>9554</v>
      </c>
      <c r="B3651" s="11" t="s">
        <v>9582</v>
      </c>
      <c r="C3651" s="204" t="s">
        <v>1105</v>
      </c>
      <c r="D3651" s="204" t="s">
        <v>2276</v>
      </c>
      <c r="E3651" s="204" t="s">
        <v>2276</v>
      </c>
      <c r="F3651" s="204" t="s">
        <v>2276</v>
      </c>
      <c r="G3651" s="204" t="s">
        <v>2663</v>
      </c>
      <c r="H3651" s="204" t="s">
        <v>524</v>
      </c>
      <c r="I3651" s="204"/>
      <c r="J3651" s="21">
        <v>0</v>
      </c>
      <c r="K3651" s="21">
        <v>0</v>
      </c>
      <c r="L3651" s="21">
        <v>0</v>
      </c>
      <c r="M3651" s="21">
        <v>0</v>
      </c>
      <c r="N3651" s="21">
        <v>0</v>
      </c>
      <c r="O3651" s="21">
        <v>0</v>
      </c>
      <c r="P3651" s="21">
        <v>0</v>
      </c>
      <c r="Q3651" s="21">
        <v>0</v>
      </c>
      <c r="R3651" s="21">
        <v>0</v>
      </c>
      <c r="S3651" s="21">
        <v>0</v>
      </c>
      <c r="T3651" s="21">
        <v>0</v>
      </c>
      <c r="U3651" s="21">
        <v>0</v>
      </c>
      <c r="V3651" s="21">
        <v>0</v>
      </c>
      <c r="W3651" s="21">
        <v>0</v>
      </c>
      <c r="X3651" s="21">
        <f>T3651/'Record info'!K$1499</f>
        <v>0</v>
      </c>
      <c r="Y3651" s="75" t="s">
        <v>2276</v>
      </c>
      <c r="Z3651" s="75" t="s">
        <v>2276</v>
      </c>
      <c r="AA3651" s="75" t="s">
        <v>2276</v>
      </c>
      <c r="AB3651" s="75" t="s">
        <v>2276</v>
      </c>
      <c r="AC3651" s="204"/>
      <c r="AD3651" s="204"/>
    </row>
    <row r="3652" spans="1:30" s="203" customFormat="1" ht="56.5" customHeight="1">
      <c r="A3652" s="11" t="s">
        <v>9554</v>
      </c>
      <c r="B3652" s="11" t="s">
        <v>9583</v>
      </c>
      <c r="C3652" s="204" t="s">
        <v>1105</v>
      </c>
      <c r="D3652" s="204" t="s">
        <v>2276</v>
      </c>
      <c r="E3652" s="204" t="s">
        <v>130</v>
      </c>
      <c r="F3652" s="204" t="s">
        <v>2276</v>
      </c>
      <c r="G3652" s="204" t="s">
        <v>28</v>
      </c>
      <c r="H3652" s="204" t="s">
        <v>523</v>
      </c>
      <c r="I3652" s="204"/>
      <c r="J3652" s="75" t="s">
        <v>2276</v>
      </c>
      <c r="K3652" s="75" t="s">
        <v>2276</v>
      </c>
      <c r="L3652" s="75" t="s">
        <v>2276</v>
      </c>
      <c r="M3652" s="75" t="s">
        <v>2276</v>
      </c>
      <c r="N3652" s="75" t="s">
        <v>2276</v>
      </c>
      <c r="O3652" s="75" t="s">
        <v>2276</v>
      </c>
      <c r="P3652" s="75" t="s">
        <v>2276</v>
      </c>
      <c r="Q3652" s="75" t="s">
        <v>2276</v>
      </c>
      <c r="R3652" s="75" t="s">
        <v>2276</v>
      </c>
      <c r="S3652" s="75" t="s">
        <v>2276</v>
      </c>
      <c r="T3652" s="21">
        <v>50000</v>
      </c>
      <c r="U3652" s="75" t="s">
        <v>2276</v>
      </c>
      <c r="V3652" s="75" t="s">
        <v>2276</v>
      </c>
      <c r="W3652" s="75" t="s">
        <v>2276</v>
      </c>
      <c r="X3652" s="21">
        <f>T3652/'Record info'!K$1499</f>
        <v>0.3897207261276569</v>
      </c>
      <c r="Y3652" s="75" t="s">
        <v>2276</v>
      </c>
      <c r="Z3652" s="75" t="s">
        <v>2276</v>
      </c>
      <c r="AA3652" s="75" t="s">
        <v>2276</v>
      </c>
      <c r="AB3652" s="75" t="s">
        <v>2276</v>
      </c>
      <c r="AC3652" s="204"/>
      <c r="AD3652" s="204"/>
    </row>
    <row r="3653" spans="1:30" s="203" customFormat="1" ht="56.5" customHeight="1">
      <c r="A3653" s="11" t="s">
        <v>9554</v>
      </c>
      <c r="B3653" s="11" t="s">
        <v>9584</v>
      </c>
      <c r="C3653" s="204" t="s">
        <v>1105</v>
      </c>
      <c r="D3653" s="204" t="s">
        <v>2276</v>
      </c>
      <c r="E3653" s="204" t="s">
        <v>84</v>
      </c>
      <c r="F3653" s="204" t="s">
        <v>2276</v>
      </c>
      <c r="G3653" s="204" t="s">
        <v>28</v>
      </c>
      <c r="H3653" s="204" t="s">
        <v>524</v>
      </c>
      <c r="I3653" s="204"/>
      <c r="J3653" s="21">
        <v>0</v>
      </c>
      <c r="K3653" s="21">
        <v>0</v>
      </c>
      <c r="L3653" s="21">
        <v>0</v>
      </c>
      <c r="M3653" s="21">
        <v>0</v>
      </c>
      <c r="N3653" s="21">
        <v>0</v>
      </c>
      <c r="O3653" s="21">
        <v>0</v>
      </c>
      <c r="P3653" s="21">
        <v>0</v>
      </c>
      <c r="Q3653" s="21">
        <v>0</v>
      </c>
      <c r="R3653" s="21">
        <v>0</v>
      </c>
      <c r="S3653" s="21">
        <v>0</v>
      </c>
      <c r="T3653" s="21">
        <v>0</v>
      </c>
      <c r="U3653" s="21">
        <v>0</v>
      </c>
      <c r="V3653" s="21">
        <v>0</v>
      </c>
      <c r="W3653" s="21">
        <v>0</v>
      </c>
      <c r="X3653" s="21">
        <f>T3653/'Record info'!K$1499</f>
        <v>0</v>
      </c>
      <c r="Y3653" s="75" t="s">
        <v>2276</v>
      </c>
      <c r="Z3653" s="75" t="s">
        <v>2276</v>
      </c>
      <c r="AA3653" s="75" t="s">
        <v>2276</v>
      </c>
      <c r="AB3653" s="75" t="s">
        <v>2276</v>
      </c>
      <c r="AC3653" s="204"/>
      <c r="AD3653" s="204"/>
    </row>
    <row r="3654" spans="1:30" s="203" customFormat="1" ht="56.5" customHeight="1">
      <c r="A3654" s="11" t="s">
        <v>9555</v>
      </c>
      <c r="B3654" s="11" t="s">
        <v>9562</v>
      </c>
      <c r="C3654" s="204" t="s">
        <v>1105</v>
      </c>
      <c r="D3654" s="204" t="s">
        <v>2276</v>
      </c>
      <c r="E3654" s="204" t="s">
        <v>2276</v>
      </c>
      <c r="F3654" s="204" t="s">
        <v>2276</v>
      </c>
      <c r="G3654" s="204" t="s">
        <v>74</v>
      </c>
      <c r="H3654" s="204" t="s">
        <v>523</v>
      </c>
      <c r="I3654" s="204"/>
      <c r="J3654" s="75" t="s">
        <v>2276</v>
      </c>
      <c r="K3654" s="75" t="s">
        <v>2276</v>
      </c>
      <c r="L3654" s="75" t="s">
        <v>2276</v>
      </c>
      <c r="M3654" s="75" t="s">
        <v>2276</v>
      </c>
      <c r="N3654" s="75" t="s">
        <v>2276</v>
      </c>
      <c r="O3654" s="75" t="s">
        <v>2276</v>
      </c>
      <c r="P3654" s="75" t="s">
        <v>2276</v>
      </c>
      <c r="Q3654" s="75" t="s">
        <v>2276</v>
      </c>
      <c r="R3654" s="75" t="s">
        <v>2276</v>
      </c>
      <c r="S3654" s="75" t="s">
        <v>2276</v>
      </c>
      <c r="T3654" s="21">
        <f>200000</f>
        <v>200000</v>
      </c>
      <c r="U3654" s="75" t="s">
        <v>2276</v>
      </c>
      <c r="V3654" s="75" t="s">
        <v>2276</v>
      </c>
      <c r="W3654" s="75" t="s">
        <v>2276</v>
      </c>
      <c r="X3654" s="21">
        <f>T3654/'Record info'!K$1500</f>
        <v>1.1454753722794959</v>
      </c>
      <c r="Y3654" s="75" t="s">
        <v>2276</v>
      </c>
      <c r="Z3654" s="75" t="s">
        <v>2276</v>
      </c>
      <c r="AA3654" s="75" t="s">
        <v>2276</v>
      </c>
      <c r="AB3654" s="75" t="s">
        <v>2276</v>
      </c>
      <c r="AC3654" s="204"/>
      <c r="AD3654" s="204"/>
    </row>
    <row r="3655" spans="1:30" s="203" customFormat="1" ht="56.5" customHeight="1">
      <c r="A3655" s="11" t="s">
        <v>9555</v>
      </c>
      <c r="B3655" s="11" t="s">
        <v>9585</v>
      </c>
      <c r="C3655" s="204" t="s">
        <v>1105</v>
      </c>
      <c r="D3655" s="204" t="s">
        <v>2276</v>
      </c>
      <c r="E3655" s="204" t="s">
        <v>2276</v>
      </c>
      <c r="F3655" s="204" t="s">
        <v>2276</v>
      </c>
      <c r="G3655" s="204" t="s">
        <v>55</v>
      </c>
      <c r="H3655" s="204" t="s">
        <v>524</v>
      </c>
      <c r="I3655" s="204"/>
      <c r="J3655" s="21">
        <v>0</v>
      </c>
      <c r="K3655" s="21">
        <v>0</v>
      </c>
      <c r="L3655" s="21">
        <v>0</v>
      </c>
      <c r="M3655" s="21">
        <v>0</v>
      </c>
      <c r="N3655" s="21">
        <v>0</v>
      </c>
      <c r="O3655" s="21">
        <v>0</v>
      </c>
      <c r="P3655" s="21">
        <v>0</v>
      </c>
      <c r="Q3655" s="21">
        <v>0</v>
      </c>
      <c r="R3655" s="21">
        <v>0</v>
      </c>
      <c r="S3655" s="21">
        <v>0</v>
      </c>
      <c r="T3655" s="21">
        <v>0</v>
      </c>
      <c r="U3655" s="21">
        <v>0</v>
      </c>
      <c r="V3655" s="21">
        <v>0</v>
      </c>
      <c r="W3655" s="21">
        <v>0</v>
      </c>
      <c r="X3655" s="21">
        <f>T3655/'Record info'!K$1500</f>
        <v>0</v>
      </c>
      <c r="Y3655" s="75" t="s">
        <v>2276</v>
      </c>
      <c r="Z3655" s="75" t="s">
        <v>2276</v>
      </c>
      <c r="AA3655" s="75" t="s">
        <v>2276</v>
      </c>
      <c r="AB3655" s="75" t="s">
        <v>2276</v>
      </c>
      <c r="AC3655" s="204"/>
      <c r="AD3655" s="204"/>
    </row>
    <row r="3656" spans="1:30" s="203" customFormat="1" ht="56.5" customHeight="1">
      <c r="A3656" s="11" t="s">
        <v>9555</v>
      </c>
      <c r="B3656" s="11" t="s">
        <v>9586</v>
      </c>
      <c r="C3656" s="204" t="s">
        <v>1105</v>
      </c>
      <c r="D3656" s="204" t="s">
        <v>2276</v>
      </c>
      <c r="E3656" s="204" t="s">
        <v>2276</v>
      </c>
      <c r="F3656" s="204" t="s">
        <v>2276</v>
      </c>
      <c r="G3656" s="204" t="s">
        <v>2663</v>
      </c>
      <c r="H3656" s="204" t="s">
        <v>524</v>
      </c>
      <c r="I3656" s="204"/>
      <c r="J3656" s="21">
        <v>0</v>
      </c>
      <c r="K3656" s="21">
        <v>0</v>
      </c>
      <c r="L3656" s="21">
        <v>0</v>
      </c>
      <c r="M3656" s="21">
        <v>0</v>
      </c>
      <c r="N3656" s="21">
        <v>0</v>
      </c>
      <c r="O3656" s="21">
        <v>0</v>
      </c>
      <c r="P3656" s="21">
        <v>0</v>
      </c>
      <c r="Q3656" s="21">
        <v>0</v>
      </c>
      <c r="R3656" s="21">
        <v>0</v>
      </c>
      <c r="S3656" s="21">
        <v>0</v>
      </c>
      <c r="T3656" s="21">
        <v>0</v>
      </c>
      <c r="U3656" s="21">
        <v>0</v>
      </c>
      <c r="V3656" s="21">
        <v>0</v>
      </c>
      <c r="W3656" s="21">
        <v>0</v>
      </c>
      <c r="X3656" s="21">
        <f>T3656/'Record info'!K$1500</f>
        <v>0</v>
      </c>
      <c r="Y3656" s="75" t="s">
        <v>2276</v>
      </c>
      <c r="Z3656" s="75" t="s">
        <v>2276</v>
      </c>
      <c r="AA3656" s="75" t="s">
        <v>2276</v>
      </c>
      <c r="AB3656" s="75" t="s">
        <v>2276</v>
      </c>
      <c r="AC3656" s="204"/>
      <c r="AD3656" s="204"/>
    </row>
    <row r="3657" spans="1:30" s="203" customFormat="1" ht="56.5" customHeight="1">
      <c r="A3657" s="11" t="s">
        <v>9555</v>
      </c>
      <c r="B3657" s="11" t="s">
        <v>9587</v>
      </c>
      <c r="C3657" s="204" t="s">
        <v>1105</v>
      </c>
      <c r="D3657" s="204" t="s">
        <v>2276</v>
      </c>
      <c r="E3657" s="204" t="s">
        <v>130</v>
      </c>
      <c r="F3657" s="204" t="s">
        <v>2276</v>
      </c>
      <c r="G3657" s="204" t="s">
        <v>28</v>
      </c>
      <c r="H3657" s="204" t="s">
        <v>523</v>
      </c>
      <c r="I3657" s="204"/>
      <c r="J3657" s="75" t="s">
        <v>2276</v>
      </c>
      <c r="K3657" s="75" t="s">
        <v>2276</v>
      </c>
      <c r="L3657" s="75" t="s">
        <v>2276</v>
      </c>
      <c r="M3657" s="75" t="s">
        <v>2276</v>
      </c>
      <c r="N3657" s="75" t="s">
        <v>2276</v>
      </c>
      <c r="O3657" s="75" t="s">
        <v>2276</v>
      </c>
      <c r="P3657" s="75" t="s">
        <v>2276</v>
      </c>
      <c r="Q3657" s="75" t="s">
        <v>2276</v>
      </c>
      <c r="R3657" s="75" t="s">
        <v>2276</v>
      </c>
      <c r="S3657" s="75" t="s">
        <v>2276</v>
      </c>
      <c r="T3657" s="21">
        <v>199000</v>
      </c>
      <c r="U3657" s="75" t="s">
        <v>2276</v>
      </c>
      <c r="V3657" s="75" t="s">
        <v>2276</v>
      </c>
      <c r="W3657" s="75" t="s">
        <v>2276</v>
      </c>
      <c r="X3657" s="21">
        <f>T3657/'Record info'!K$1500</f>
        <v>1.1397479954180985</v>
      </c>
      <c r="Y3657" s="75" t="s">
        <v>2276</v>
      </c>
      <c r="Z3657" s="75" t="s">
        <v>2276</v>
      </c>
      <c r="AA3657" s="75" t="s">
        <v>2276</v>
      </c>
      <c r="AB3657" s="75" t="s">
        <v>2276</v>
      </c>
      <c r="AC3657" s="204"/>
      <c r="AD3657" s="204"/>
    </row>
    <row r="3658" spans="1:30" s="203" customFormat="1" ht="56.5" customHeight="1">
      <c r="A3658" s="11" t="s">
        <v>9555</v>
      </c>
      <c r="B3658" s="11" t="s">
        <v>9588</v>
      </c>
      <c r="C3658" s="204" t="s">
        <v>1105</v>
      </c>
      <c r="D3658" s="204" t="s">
        <v>2276</v>
      </c>
      <c r="E3658" s="204" t="s">
        <v>84</v>
      </c>
      <c r="F3658" s="204" t="s">
        <v>2276</v>
      </c>
      <c r="G3658" s="204" t="s">
        <v>28</v>
      </c>
      <c r="H3658" s="204" t="s">
        <v>523</v>
      </c>
      <c r="I3658" s="204"/>
      <c r="J3658" s="75" t="s">
        <v>2276</v>
      </c>
      <c r="K3658" s="75" t="s">
        <v>2276</v>
      </c>
      <c r="L3658" s="75" t="s">
        <v>2276</v>
      </c>
      <c r="M3658" s="75" t="s">
        <v>2276</v>
      </c>
      <c r="N3658" s="75" t="s">
        <v>2276</v>
      </c>
      <c r="O3658" s="75" t="s">
        <v>2276</v>
      </c>
      <c r="P3658" s="75" t="s">
        <v>2276</v>
      </c>
      <c r="Q3658" s="75" t="s">
        <v>2276</v>
      </c>
      <c r="R3658" s="75" t="s">
        <v>2276</v>
      </c>
      <c r="S3658" s="75" t="s">
        <v>2276</v>
      </c>
      <c r="T3658" s="21">
        <v>1</v>
      </c>
      <c r="U3658" s="75" t="s">
        <v>2276</v>
      </c>
      <c r="V3658" s="75" t="s">
        <v>2276</v>
      </c>
      <c r="W3658" s="75" t="s">
        <v>2276</v>
      </c>
      <c r="X3658" s="21">
        <f>T3658/'Record info'!K$1500</f>
        <v>5.7273768613974798E-6</v>
      </c>
      <c r="Y3658" s="75" t="s">
        <v>2276</v>
      </c>
      <c r="Z3658" s="75" t="s">
        <v>2276</v>
      </c>
      <c r="AA3658" s="75" t="s">
        <v>2276</v>
      </c>
      <c r="AB3658" s="75" t="s">
        <v>2276</v>
      </c>
      <c r="AC3658" s="204"/>
      <c r="AD3658" s="204"/>
    </row>
    <row r="3659" spans="1:30" s="203" customFormat="1" ht="56.5" customHeight="1">
      <c r="A3659" s="11" t="s">
        <v>9556</v>
      </c>
      <c r="B3659" s="11" t="s">
        <v>9563</v>
      </c>
      <c r="C3659" s="204" t="s">
        <v>1105</v>
      </c>
      <c r="D3659" s="204" t="s">
        <v>2276</v>
      </c>
      <c r="E3659" s="204" t="s">
        <v>2276</v>
      </c>
      <c r="F3659" s="204" t="s">
        <v>2276</v>
      </c>
      <c r="G3659" s="204" t="s">
        <v>74</v>
      </c>
      <c r="H3659" s="204" t="s">
        <v>523</v>
      </c>
      <c r="I3659" s="204"/>
      <c r="J3659" s="75" t="s">
        <v>2276</v>
      </c>
      <c r="K3659" s="75" t="s">
        <v>2276</v>
      </c>
      <c r="L3659" s="75" t="s">
        <v>2276</v>
      </c>
      <c r="M3659" s="75" t="s">
        <v>2276</v>
      </c>
      <c r="N3659" s="75" t="s">
        <v>2276</v>
      </c>
      <c r="O3659" s="75" t="s">
        <v>2276</v>
      </c>
      <c r="P3659" s="75" t="s">
        <v>2276</v>
      </c>
      <c r="Q3659" s="75" t="s">
        <v>2276</v>
      </c>
      <c r="R3659" s="75" t="s">
        <v>2276</v>
      </c>
      <c r="S3659" s="75" t="s">
        <v>2276</v>
      </c>
      <c r="T3659" s="21">
        <v>700000</v>
      </c>
      <c r="U3659" s="75" t="s">
        <v>2276</v>
      </c>
      <c r="V3659" s="75" t="s">
        <v>2276</v>
      </c>
      <c r="W3659" s="75" t="s">
        <v>2276</v>
      </c>
      <c r="X3659" s="21">
        <f>T3659/'Record info'!K$1501</f>
        <v>4.986607397275888</v>
      </c>
      <c r="Y3659" s="75" t="s">
        <v>2276</v>
      </c>
      <c r="Z3659" s="75" t="s">
        <v>2276</v>
      </c>
      <c r="AA3659" s="75" t="s">
        <v>2276</v>
      </c>
      <c r="AB3659" s="75" t="s">
        <v>2276</v>
      </c>
      <c r="AC3659" s="204"/>
      <c r="AD3659" s="204"/>
    </row>
    <row r="3660" spans="1:30" s="203" customFormat="1" ht="56.5" customHeight="1">
      <c r="A3660" s="11" t="s">
        <v>9556</v>
      </c>
      <c r="B3660" s="11" t="s">
        <v>9589</v>
      </c>
      <c r="C3660" s="204" t="s">
        <v>1105</v>
      </c>
      <c r="D3660" s="204" t="s">
        <v>2276</v>
      </c>
      <c r="E3660" s="204" t="s">
        <v>2276</v>
      </c>
      <c r="F3660" s="204" t="s">
        <v>2276</v>
      </c>
      <c r="G3660" s="204" t="s">
        <v>55</v>
      </c>
      <c r="H3660" s="204" t="s">
        <v>523</v>
      </c>
      <c r="I3660" s="204"/>
      <c r="J3660" s="75" t="s">
        <v>2276</v>
      </c>
      <c r="K3660" s="75" t="s">
        <v>2276</v>
      </c>
      <c r="L3660" s="75" t="s">
        <v>2276</v>
      </c>
      <c r="M3660" s="75" t="s">
        <v>2276</v>
      </c>
      <c r="N3660" s="75" t="s">
        <v>2276</v>
      </c>
      <c r="O3660" s="75" t="s">
        <v>2276</v>
      </c>
      <c r="P3660" s="75" t="s">
        <v>2276</v>
      </c>
      <c r="Q3660" s="75" t="s">
        <v>2276</v>
      </c>
      <c r="R3660" s="75" t="s">
        <v>2276</v>
      </c>
      <c r="S3660" s="75" t="s">
        <v>2276</v>
      </c>
      <c r="T3660" s="21">
        <v>100000</v>
      </c>
      <c r="U3660" s="75" t="s">
        <v>2276</v>
      </c>
      <c r="V3660" s="75" t="s">
        <v>2276</v>
      </c>
      <c r="W3660" s="75" t="s">
        <v>2276</v>
      </c>
      <c r="X3660" s="21">
        <f>T3660/'Record info'!K$1501</f>
        <v>0.71237248532512676</v>
      </c>
      <c r="Y3660" s="75" t="s">
        <v>2276</v>
      </c>
      <c r="Z3660" s="75" t="s">
        <v>2276</v>
      </c>
      <c r="AA3660" s="75" t="s">
        <v>2276</v>
      </c>
      <c r="AB3660" s="75" t="s">
        <v>2276</v>
      </c>
      <c r="AC3660" s="204"/>
      <c r="AD3660" s="204"/>
    </row>
    <row r="3661" spans="1:30" s="203" customFormat="1" ht="56.5" customHeight="1">
      <c r="A3661" s="11" t="s">
        <v>9556</v>
      </c>
      <c r="B3661" s="11" t="s">
        <v>9590</v>
      </c>
      <c r="C3661" s="204" t="s">
        <v>1105</v>
      </c>
      <c r="D3661" s="204" t="s">
        <v>2276</v>
      </c>
      <c r="E3661" s="204" t="s">
        <v>2276</v>
      </c>
      <c r="F3661" s="204" t="s">
        <v>2276</v>
      </c>
      <c r="G3661" s="204" t="s">
        <v>2663</v>
      </c>
      <c r="H3661" s="204" t="s">
        <v>523</v>
      </c>
      <c r="I3661" s="204"/>
      <c r="J3661" s="21">
        <v>0</v>
      </c>
      <c r="K3661" s="21">
        <v>0</v>
      </c>
      <c r="L3661" s="21">
        <v>0</v>
      </c>
      <c r="M3661" s="21">
        <v>0</v>
      </c>
      <c r="N3661" s="21">
        <v>0</v>
      </c>
      <c r="O3661" s="21">
        <v>0</v>
      </c>
      <c r="P3661" s="21">
        <v>0</v>
      </c>
      <c r="Q3661" s="21">
        <v>0</v>
      </c>
      <c r="R3661" s="21">
        <v>0</v>
      </c>
      <c r="S3661" s="21">
        <v>0</v>
      </c>
      <c r="T3661" s="21">
        <v>0</v>
      </c>
      <c r="U3661" s="21">
        <v>0</v>
      </c>
      <c r="V3661" s="21">
        <v>0</v>
      </c>
      <c r="W3661" s="21">
        <v>0</v>
      </c>
      <c r="X3661" s="21">
        <f>T3661/'Record info'!K$1501</f>
        <v>0</v>
      </c>
      <c r="Y3661" s="75" t="s">
        <v>2276</v>
      </c>
      <c r="Z3661" s="75" t="s">
        <v>2276</v>
      </c>
      <c r="AA3661" s="75" t="s">
        <v>2276</v>
      </c>
      <c r="AB3661" s="75" t="s">
        <v>2276</v>
      </c>
      <c r="AC3661" s="204"/>
      <c r="AD3661" s="204"/>
    </row>
    <row r="3662" spans="1:30" s="203" customFormat="1" ht="56.5" customHeight="1">
      <c r="A3662" s="11" t="s">
        <v>9556</v>
      </c>
      <c r="B3662" s="11" t="s">
        <v>9591</v>
      </c>
      <c r="C3662" s="204" t="s">
        <v>1105</v>
      </c>
      <c r="D3662" s="204" t="s">
        <v>2276</v>
      </c>
      <c r="E3662" s="204" t="s">
        <v>130</v>
      </c>
      <c r="F3662" s="204" t="s">
        <v>2276</v>
      </c>
      <c r="G3662" s="204" t="s">
        <v>28</v>
      </c>
      <c r="H3662" s="204" t="s">
        <v>523</v>
      </c>
      <c r="I3662" s="204"/>
      <c r="J3662" s="75" t="s">
        <v>2276</v>
      </c>
      <c r="K3662" s="75" t="s">
        <v>2276</v>
      </c>
      <c r="L3662" s="75" t="s">
        <v>2276</v>
      </c>
      <c r="M3662" s="75" t="s">
        <v>2276</v>
      </c>
      <c r="N3662" s="75" t="s">
        <v>2276</v>
      </c>
      <c r="O3662" s="75" t="s">
        <v>2276</v>
      </c>
      <c r="P3662" s="75" t="s">
        <v>2276</v>
      </c>
      <c r="Q3662" s="75" t="s">
        <v>2276</v>
      </c>
      <c r="R3662" s="75" t="s">
        <v>2276</v>
      </c>
      <c r="S3662" s="75" t="s">
        <v>2276</v>
      </c>
      <c r="T3662" s="21">
        <v>97000</v>
      </c>
      <c r="U3662" s="75" t="s">
        <v>2276</v>
      </c>
      <c r="V3662" s="75" t="s">
        <v>2276</v>
      </c>
      <c r="W3662" s="75" t="s">
        <v>2276</v>
      </c>
      <c r="X3662" s="21">
        <f>T3662/'Record info'!K$1501</f>
        <v>0.69100131076537297</v>
      </c>
      <c r="Y3662" s="75" t="s">
        <v>2276</v>
      </c>
      <c r="Z3662" s="75" t="s">
        <v>2276</v>
      </c>
      <c r="AA3662" s="75" t="s">
        <v>2276</v>
      </c>
      <c r="AB3662" s="75" t="s">
        <v>2276</v>
      </c>
      <c r="AC3662" s="204"/>
      <c r="AD3662" s="204"/>
    </row>
    <row r="3663" spans="1:30" s="203" customFormat="1" ht="56.5" customHeight="1">
      <c r="A3663" s="11" t="s">
        <v>9556</v>
      </c>
      <c r="B3663" s="11" t="s">
        <v>9592</v>
      </c>
      <c r="C3663" s="204" t="s">
        <v>1105</v>
      </c>
      <c r="D3663" s="204" t="s">
        <v>2276</v>
      </c>
      <c r="E3663" s="204" t="s">
        <v>84</v>
      </c>
      <c r="F3663" s="204" t="s">
        <v>2276</v>
      </c>
      <c r="G3663" s="204" t="s">
        <v>28</v>
      </c>
      <c r="H3663" s="204" t="s">
        <v>523</v>
      </c>
      <c r="I3663" s="204"/>
      <c r="J3663" s="75" t="s">
        <v>2276</v>
      </c>
      <c r="K3663" s="75" t="s">
        <v>2276</v>
      </c>
      <c r="L3663" s="75" t="s">
        <v>2276</v>
      </c>
      <c r="M3663" s="75" t="s">
        <v>2276</v>
      </c>
      <c r="N3663" s="75" t="s">
        <v>2276</v>
      </c>
      <c r="O3663" s="75" t="s">
        <v>2276</v>
      </c>
      <c r="P3663" s="75" t="s">
        <v>2276</v>
      </c>
      <c r="Q3663" s="75" t="s">
        <v>2276</v>
      </c>
      <c r="R3663" s="75" t="s">
        <v>2276</v>
      </c>
      <c r="S3663" s="75" t="s">
        <v>2276</v>
      </c>
      <c r="T3663" s="21">
        <v>3</v>
      </c>
      <c r="U3663" s="75" t="s">
        <v>2276</v>
      </c>
      <c r="V3663" s="75" t="s">
        <v>2276</v>
      </c>
      <c r="W3663" s="75" t="s">
        <v>2276</v>
      </c>
      <c r="X3663" s="21">
        <f>T3663/'Record info'!K$1501</f>
        <v>2.1371174559753804E-5</v>
      </c>
      <c r="Y3663" s="75" t="s">
        <v>2276</v>
      </c>
      <c r="Z3663" s="75" t="s">
        <v>2276</v>
      </c>
      <c r="AA3663" s="75" t="s">
        <v>2276</v>
      </c>
      <c r="AB3663" s="75" t="s">
        <v>2276</v>
      </c>
      <c r="AC3663" s="204"/>
      <c r="AD3663" s="204"/>
    </row>
    <row r="3664" spans="1:30" ht="56.5" customHeight="1">
      <c r="A3664" s="11" t="s">
        <v>9557</v>
      </c>
      <c r="B3664" s="11" t="s">
        <v>9564</v>
      </c>
      <c r="C3664" s="204" t="s">
        <v>1105</v>
      </c>
      <c r="D3664" s="204" t="s">
        <v>2276</v>
      </c>
      <c r="E3664" s="204" t="s">
        <v>2276</v>
      </c>
      <c r="F3664" s="204" t="s">
        <v>2276</v>
      </c>
      <c r="G3664" s="204" t="s">
        <v>74</v>
      </c>
      <c r="H3664" s="204" t="s">
        <v>523</v>
      </c>
      <c r="I3664" s="204">
        <v>1982</v>
      </c>
      <c r="J3664" s="75" t="s">
        <v>2276</v>
      </c>
      <c r="K3664" s="75" t="s">
        <v>2276</v>
      </c>
      <c r="L3664" s="75" t="s">
        <v>2276</v>
      </c>
      <c r="M3664" s="75" t="s">
        <v>2276</v>
      </c>
      <c r="N3664" s="75" t="s">
        <v>2276</v>
      </c>
      <c r="O3664" s="75" t="s">
        <v>2276</v>
      </c>
      <c r="P3664" s="75" t="s">
        <v>2276</v>
      </c>
      <c r="Q3664" s="75" t="s">
        <v>2276</v>
      </c>
      <c r="R3664" s="75" t="s">
        <v>2276</v>
      </c>
      <c r="S3664" s="75" t="s">
        <v>2276</v>
      </c>
      <c r="T3664" s="21">
        <f>7577+635680+826560</f>
        <v>1469817</v>
      </c>
      <c r="U3664" s="75" t="s">
        <v>2276</v>
      </c>
      <c r="V3664" s="75" t="s">
        <v>2276</v>
      </c>
      <c r="W3664" s="75" t="s">
        <v>2276</v>
      </c>
      <c r="X3664" s="21">
        <f>T3664/'Record info'!K$1502</f>
        <v>11.726920223078579</v>
      </c>
      <c r="Y3664" s="75" t="s">
        <v>2276</v>
      </c>
      <c r="Z3664" s="75" t="s">
        <v>2276</v>
      </c>
      <c r="AA3664" s="75" t="s">
        <v>2276</v>
      </c>
      <c r="AB3664" s="75" t="s">
        <v>2276</v>
      </c>
      <c r="AC3664" s="204"/>
      <c r="AD3664" s="204"/>
    </row>
    <row r="3665" spans="1:30" ht="53" customHeight="1">
      <c r="A3665" s="11" t="s">
        <v>9557</v>
      </c>
      <c r="B3665" s="11" t="s">
        <v>9565</v>
      </c>
      <c r="C3665" s="204" t="s">
        <v>1105</v>
      </c>
      <c r="D3665" s="204" t="s">
        <v>2276</v>
      </c>
      <c r="E3665" s="204" t="s">
        <v>2276</v>
      </c>
      <c r="F3665" s="204" t="s">
        <v>2276</v>
      </c>
      <c r="G3665" s="4" t="s">
        <v>160</v>
      </c>
      <c r="H3665" s="204" t="s">
        <v>523</v>
      </c>
      <c r="I3665" s="204">
        <v>1982</v>
      </c>
      <c r="J3665" s="75" t="s">
        <v>2276</v>
      </c>
      <c r="K3665" s="75" t="s">
        <v>2276</v>
      </c>
      <c r="L3665" s="75" t="s">
        <v>2276</v>
      </c>
      <c r="M3665" s="75" t="s">
        <v>2276</v>
      </c>
      <c r="N3665" s="75" t="s">
        <v>2276</v>
      </c>
      <c r="O3665" s="75" t="s">
        <v>2276</v>
      </c>
      <c r="P3665" s="75" t="s">
        <v>2276</v>
      </c>
      <c r="Q3665" s="75" t="s">
        <v>2276</v>
      </c>
      <c r="R3665" s="75" t="s">
        <v>2276</v>
      </c>
      <c r="S3665" s="75" t="s">
        <v>2276</v>
      </c>
      <c r="T3665" s="21">
        <f>2700000-T3664</f>
        <v>1230183</v>
      </c>
      <c r="U3665" s="75" t="s">
        <v>2276</v>
      </c>
      <c r="V3665" s="75" t="s">
        <v>2276</v>
      </c>
      <c r="W3665" s="75" t="s">
        <v>2276</v>
      </c>
      <c r="X3665" s="21">
        <f>T3665/'Record info'!K$1502</f>
        <v>9.8150027525790478</v>
      </c>
      <c r="Y3665" s="75" t="s">
        <v>2276</v>
      </c>
      <c r="Z3665" s="75" t="s">
        <v>2276</v>
      </c>
      <c r="AA3665" s="75" t="s">
        <v>2276</v>
      </c>
      <c r="AB3665" s="75" t="s">
        <v>2276</v>
      </c>
      <c r="AC3665" s="204" t="s">
        <v>9566</v>
      </c>
      <c r="AD3665" s="204"/>
    </row>
    <row r="3666" spans="1:30" ht="53" customHeight="1">
      <c r="A3666" s="11" t="s">
        <v>9557</v>
      </c>
      <c r="B3666" s="11" t="s">
        <v>9567</v>
      </c>
      <c r="C3666" s="204" t="s">
        <v>1105</v>
      </c>
      <c r="D3666" s="204" t="s">
        <v>2276</v>
      </c>
      <c r="E3666" s="204" t="s">
        <v>2276</v>
      </c>
      <c r="F3666" s="204" t="s">
        <v>2276</v>
      </c>
      <c r="G3666" s="204" t="s">
        <v>74</v>
      </c>
      <c r="H3666" s="204" t="s">
        <v>523</v>
      </c>
      <c r="I3666" s="204">
        <v>1997</v>
      </c>
      <c r="J3666" s="75" t="s">
        <v>2276</v>
      </c>
      <c r="K3666" s="75" t="s">
        <v>2276</v>
      </c>
      <c r="L3666" s="75" t="s">
        <v>2276</v>
      </c>
      <c r="M3666" s="75" t="s">
        <v>2276</v>
      </c>
      <c r="N3666" s="75" t="s">
        <v>2276</v>
      </c>
      <c r="O3666" s="75" t="s">
        <v>2276</v>
      </c>
      <c r="P3666" s="75" t="s">
        <v>2276</v>
      </c>
      <c r="Q3666" s="75" t="s">
        <v>2276</v>
      </c>
      <c r="R3666" s="75" t="s">
        <v>2276</v>
      </c>
      <c r="S3666" s="75" t="s">
        <v>2276</v>
      </c>
      <c r="T3666" s="21">
        <v>2347717</v>
      </c>
      <c r="U3666" s="75" t="s">
        <v>2276</v>
      </c>
      <c r="V3666" s="21">
        <v>24</v>
      </c>
      <c r="W3666" s="75" t="s">
        <v>2276</v>
      </c>
      <c r="X3666" s="21">
        <f>T3666/'Record info'!K$1502</f>
        <v>18.731236586163703</v>
      </c>
      <c r="Y3666" s="75" t="s">
        <v>2276</v>
      </c>
      <c r="Z3666" s="75" t="s">
        <v>2276</v>
      </c>
      <c r="AA3666" s="75" t="s">
        <v>2276</v>
      </c>
      <c r="AB3666" s="75" t="s">
        <v>2276</v>
      </c>
      <c r="AC3666" s="204"/>
      <c r="AD3666" s="204"/>
    </row>
    <row r="3667" spans="1:30" ht="53" customHeight="1">
      <c r="A3667" s="11" t="s">
        <v>9557</v>
      </c>
      <c r="B3667" s="11" t="s">
        <v>9568</v>
      </c>
      <c r="C3667" s="204" t="s">
        <v>1105</v>
      </c>
      <c r="D3667" s="204" t="s">
        <v>2276</v>
      </c>
      <c r="E3667" s="204" t="s">
        <v>2649</v>
      </c>
      <c r="F3667" s="204" t="s">
        <v>2276</v>
      </c>
      <c r="G3667" s="204" t="s">
        <v>2663</v>
      </c>
      <c r="H3667" s="204" t="s">
        <v>523</v>
      </c>
      <c r="I3667" s="204">
        <v>1997</v>
      </c>
      <c r="J3667" s="75" t="s">
        <v>2276</v>
      </c>
      <c r="K3667" s="75" t="s">
        <v>2276</v>
      </c>
      <c r="L3667" s="75" t="s">
        <v>2276</v>
      </c>
      <c r="M3667" s="75" t="s">
        <v>2276</v>
      </c>
      <c r="N3667" s="75" t="s">
        <v>2276</v>
      </c>
      <c r="O3667" s="75" t="s">
        <v>2276</v>
      </c>
      <c r="P3667" s="75" t="s">
        <v>2276</v>
      </c>
      <c r="Q3667" s="75" t="s">
        <v>2276</v>
      </c>
      <c r="R3667" s="75" t="s">
        <v>2276</v>
      </c>
      <c r="S3667" s="75" t="s">
        <v>2276</v>
      </c>
      <c r="T3667" s="21">
        <v>883987</v>
      </c>
      <c r="U3667" s="75" t="s">
        <v>2276</v>
      </c>
      <c r="V3667" s="21">
        <v>64</v>
      </c>
      <c r="W3667" s="75" t="s">
        <v>2276</v>
      </c>
      <c r="X3667" s="21">
        <f>T3667/'Record info'!K$1502</f>
        <v>7.0528814316602437</v>
      </c>
      <c r="Y3667" s="75" t="s">
        <v>2276</v>
      </c>
      <c r="Z3667" s="75" t="s">
        <v>2276</v>
      </c>
      <c r="AA3667" s="75" t="s">
        <v>2276</v>
      </c>
      <c r="AB3667" s="75" t="s">
        <v>2276</v>
      </c>
      <c r="AC3667" s="204"/>
      <c r="AD3667" s="204"/>
    </row>
    <row r="3668" spans="1:30" ht="53" customHeight="1">
      <c r="A3668" s="11" t="s">
        <v>9557</v>
      </c>
      <c r="B3668" s="11" t="s">
        <v>9569</v>
      </c>
      <c r="C3668" s="204" t="s">
        <v>1105</v>
      </c>
      <c r="D3668" s="204" t="s">
        <v>2276</v>
      </c>
      <c r="E3668" s="204" t="s">
        <v>84</v>
      </c>
      <c r="F3668" s="204" t="s">
        <v>2276</v>
      </c>
      <c r="G3668" s="204" t="s">
        <v>28</v>
      </c>
      <c r="H3668" s="204" t="s">
        <v>523</v>
      </c>
      <c r="I3668" s="204">
        <v>1997</v>
      </c>
      <c r="J3668" s="75" t="s">
        <v>2276</v>
      </c>
      <c r="K3668" s="75" t="s">
        <v>2276</v>
      </c>
      <c r="L3668" s="75" t="s">
        <v>2276</v>
      </c>
      <c r="M3668" s="75" t="s">
        <v>2276</v>
      </c>
      <c r="N3668" s="75" t="s">
        <v>2276</v>
      </c>
      <c r="O3668" s="75" t="s">
        <v>2276</v>
      </c>
      <c r="P3668" s="75" t="s">
        <v>2276</v>
      </c>
      <c r="Q3668" s="75" t="s">
        <v>2276</v>
      </c>
      <c r="R3668" s="75" t="s">
        <v>2276</v>
      </c>
      <c r="S3668" s="75" t="s">
        <v>2276</v>
      </c>
      <c r="T3668" s="21">
        <v>382509</v>
      </c>
      <c r="U3668" s="75" t="s">
        <v>2276</v>
      </c>
      <c r="V3668" s="21">
        <v>51</v>
      </c>
      <c r="W3668" s="75" t="s">
        <v>2276</v>
      </c>
      <c r="X3668" s="21">
        <f>T3668/'Record info'!K$1502</f>
        <v>3.051844227961416</v>
      </c>
      <c r="Y3668" s="75" t="s">
        <v>2276</v>
      </c>
      <c r="Z3668" s="75" t="s">
        <v>2276</v>
      </c>
      <c r="AA3668" s="75" t="s">
        <v>2276</v>
      </c>
      <c r="AB3668" s="75" t="s">
        <v>2276</v>
      </c>
      <c r="AC3668" s="204"/>
      <c r="AD3668" s="204"/>
    </row>
    <row r="3669" spans="1:30" ht="53" customHeight="1">
      <c r="A3669" s="11" t="s">
        <v>9557</v>
      </c>
      <c r="B3669" s="11" t="s">
        <v>9570</v>
      </c>
      <c r="C3669" s="204" t="s">
        <v>1105</v>
      </c>
      <c r="D3669" s="204" t="s">
        <v>2276</v>
      </c>
      <c r="E3669" s="204" t="s">
        <v>137</v>
      </c>
      <c r="F3669" s="204" t="s">
        <v>2276</v>
      </c>
      <c r="G3669" s="204" t="s">
        <v>74</v>
      </c>
      <c r="H3669" s="204" t="s">
        <v>523</v>
      </c>
      <c r="I3669" s="204">
        <v>1997</v>
      </c>
      <c r="J3669" s="75" t="s">
        <v>2276</v>
      </c>
      <c r="K3669" s="75" t="s">
        <v>2276</v>
      </c>
      <c r="L3669" s="75" t="s">
        <v>2276</v>
      </c>
      <c r="M3669" s="75" t="s">
        <v>2276</v>
      </c>
      <c r="N3669" s="75" t="s">
        <v>2276</v>
      </c>
      <c r="O3669" s="75" t="s">
        <v>2276</v>
      </c>
      <c r="P3669" s="75" t="s">
        <v>2276</v>
      </c>
      <c r="Q3669" s="75" t="s">
        <v>2276</v>
      </c>
      <c r="R3669" s="75" t="s">
        <v>2276</v>
      </c>
      <c r="S3669" s="75" t="s">
        <v>2276</v>
      </c>
      <c r="T3669" s="21">
        <v>440381</v>
      </c>
      <c r="U3669" s="75" t="s">
        <v>2276</v>
      </c>
      <c r="V3669" s="21">
        <v>10</v>
      </c>
      <c r="W3669" s="75" t="s">
        <v>2276</v>
      </c>
      <c r="X3669" s="21">
        <f>T3669/'Record info'!K$1502</f>
        <v>3.51357540071966</v>
      </c>
      <c r="Y3669" s="75" t="s">
        <v>2276</v>
      </c>
      <c r="Z3669" s="75" t="s">
        <v>2276</v>
      </c>
      <c r="AA3669" s="75" t="s">
        <v>2276</v>
      </c>
      <c r="AB3669" s="75" t="s">
        <v>2276</v>
      </c>
      <c r="AC3669" s="204"/>
      <c r="AD3669" s="204"/>
    </row>
    <row r="3670" spans="1:30" ht="53" customHeight="1">
      <c r="A3670" s="11" t="s">
        <v>9557</v>
      </c>
      <c r="B3670" s="11" t="s">
        <v>9571</v>
      </c>
      <c r="C3670" s="204" t="s">
        <v>1105</v>
      </c>
      <c r="D3670" s="204" t="s">
        <v>2276</v>
      </c>
      <c r="E3670" s="204" t="s">
        <v>130</v>
      </c>
      <c r="F3670" s="204" t="s">
        <v>2276</v>
      </c>
      <c r="G3670" s="204" t="s">
        <v>160</v>
      </c>
      <c r="H3670" s="204" t="s">
        <v>523</v>
      </c>
      <c r="I3670" s="204">
        <v>1997</v>
      </c>
      <c r="J3670" s="75" t="s">
        <v>2276</v>
      </c>
      <c r="K3670" s="75" t="s">
        <v>2276</v>
      </c>
      <c r="L3670" s="75" t="s">
        <v>2276</v>
      </c>
      <c r="M3670" s="75" t="s">
        <v>2276</v>
      </c>
      <c r="N3670" s="75" t="s">
        <v>2276</v>
      </c>
      <c r="O3670" s="75" t="s">
        <v>2276</v>
      </c>
      <c r="P3670" s="75" t="s">
        <v>2276</v>
      </c>
      <c r="Q3670" s="75" t="s">
        <v>2276</v>
      </c>
      <c r="R3670" s="75" t="s">
        <v>2276</v>
      </c>
      <c r="S3670" s="75" t="s">
        <v>2276</v>
      </c>
      <c r="T3670" s="21">
        <v>1161174</v>
      </c>
      <c r="U3670" s="75" t="s">
        <v>2276</v>
      </c>
      <c r="V3670" s="21">
        <v>36</v>
      </c>
      <c r="W3670" s="75" t="s">
        <v>2276</v>
      </c>
      <c r="X3670" s="21">
        <f>T3670/'Record info'!K$1502</f>
        <v>9.2644151367912109</v>
      </c>
      <c r="Y3670" s="75" t="s">
        <v>2276</v>
      </c>
      <c r="Z3670" s="75" t="s">
        <v>2276</v>
      </c>
      <c r="AA3670" s="75" t="s">
        <v>2276</v>
      </c>
      <c r="AB3670" s="75" t="s">
        <v>2276</v>
      </c>
      <c r="AC3670" s="204"/>
      <c r="AD3670" s="204"/>
    </row>
    <row r="3671" spans="1:30" ht="44.5" customHeight="1">
      <c r="A3671" s="11" t="s">
        <v>9599</v>
      </c>
      <c r="B3671" s="11" t="s">
        <v>9601</v>
      </c>
      <c r="C3671" s="204" t="s">
        <v>24</v>
      </c>
      <c r="D3671" s="204" t="s">
        <v>2346</v>
      </c>
      <c r="E3671" s="204" t="s">
        <v>84</v>
      </c>
      <c r="F3671" s="204" t="s">
        <v>28</v>
      </c>
      <c r="G3671" s="204" t="s">
        <v>28</v>
      </c>
      <c r="H3671" s="204" t="s">
        <v>523</v>
      </c>
      <c r="I3671" s="204"/>
      <c r="J3671" s="75" t="s">
        <v>2276</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75" t="s">
        <v>2276</v>
      </c>
      <c r="W3671" s="75" t="s">
        <v>2276</v>
      </c>
      <c r="X3671" s="75" t="s">
        <v>2276</v>
      </c>
      <c r="Y3671" s="75" t="s">
        <v>2276</v>
      </c>
      <c r="Z3671" s="75" t="s">
        <v>2276</v>
      </c>
      <c r="AA3671" s="75" t="s">
        <v>2276</v>
      </c>
      <c r="AB3671" s="75" t="s">
        <v>2276</v>
      </c>
      <c r="AC3671" s="204"/>
      <c r="AD3671" s="204"/>
    </row>
    <row r="3672" spans="1:30" ht="54.5" customHeight="1">
      <c r="A3672" s="11" t="s">
        <v>9599</v>
      </c>
      <c r="B3672" s="11" t="s">
        <v>9604</v>
      </c>
      <c r="C3672" s="204" t="s">
        <v>24</v>
      </c>
      <c r="D3672" s="204" t="s">
        <v>2346</v>
      </c>
      <c r="E3672" s="204" t="s">
        <v>130</v>
      </c>
      <c r="F3672" s="204" t="s">
        <v>28</v>
      </c>
      <c r="G3672" s="204" t="s">
        <v>28</v>
      </c>
      <c r="H3672" s="204" t="s">
        <v>523</v>
      </c>
      <c r="I3672" s="204"/>
      <c r="J3672" s="75" t="s">
        <v>2276</v>
      </c>
      <c r="K3672" s="75" t="s">
        <v>2276</v>
      </c>
      <c r="L3672" s="75" t="s">
        <v>2276</v>
      </c>
      <c r="M3672" s="75" t="s">
        <v>2276</v>
      </c>
      <c r="N3672" s="75" t="s">
        <v>2276</v>
      </c>
      <c r="O3672" s="75" t="s">
        <v>2276</v>
      </c>
      <c r="P3672" s="75" t="s">
        <v>2276</v>
      </c>
      <c r="Q3672" s="75" t="s">
        <v>2276</v>
      </c>
      <c r="R3672" s="75" t="s">
        <v>2276</v>
      </c>
      <c r="S3672" s="75" t="s">
        <v>2276</v>
      </c>
      <c r="T3672" s="75" t="s">
        <v>2276</v>
      </c>
      <c r="U3672" s="75" t="s">
        <v>2276</v>
      </c>
      <c r="V3672" s="75" t="s">
        <v>2276</v>
      </c>
      <c r="W3672" s="75" t="s">
        <v>2276</v>
      </c>
      <c r="X3672" s="75" t="s">
        <v>2276</v>
      </c>
      <c r="Y3672" s="75" t="s">
        <v>2276</v>
      </c>
      <c r="Z3672" s="75" t="s">
        <v>2276</v>
      </c>
      <c r="AA3672" s="75" t="s">
        <v>2276</v>
      </c>
      <c r="AB3672" s="75" t="s">
        <v>2276</v>
      </c>
      <c r="AC3672" s="204"/>
      <c r="AD3672" s="204"/>
    </row>
    <row r="3673" spans="1:30" ht="51.5" customHeight="1">
      <c r="A3673" s="11" t="s">
        <v>9603</v>
      </c>
      <c r="B3673" s="11" t="s">
        <v>9605</v>
      </c>
      <c r="C3673" s="204" t="s">
        <v>24</v>
      </c>
      <c r="D3673" s="204" t="s">
        <v>27</v>
      </c>
      <c r="E3673" s="204" t="s">
        <v>130</v>
      </c>
      <c r="F3673" s="204" t="s">
        <v>160</v>
      </c>
      <c r="G3673" s="204" t="s">
        <v>160</v>
      </c>
      <c r="H3673" s="204" t="s">
        <v>523</v>
      </c>
      <c r="I3673" s="204"/>
      <c r="J3673" s="75" t="s">
        <v>2276</v>
      </c>
      <c r="K3673" s="75" t="s">
        <v>2276</v>
      </c>
      <c r="L3673" s="75" t="s">
        <v>2276</v>
      </c>
      <c r="M3673" s="75" t="s">
        <v>2276</v>
      </c>
      <c r="N3673" s="75" t="s">
        <v>2276</v>
      </c>
      <c r="O3673" s="75" t="s">
        <v>2276</v>
      </c>
      <c r="P3673" s="75" t="s">
        <v>2276</v>
      </c>
      <c r="Q3673" s="75" t="s">
        <v>2276</v>
      </c>
      <c r="R3673" s="75" t="s">
        <v>2276</v>
      </c>
      <c r="S3673" s="21">
        <v>350</v>
      </c>
      <c r="T3673" s="75" t="s">
        <v>2276</v>
      </c>
      <c r="U3673" s="75" t="s">
        <v>2276</v>
      </c>
      <c r="V3673" s="75" t="s">
        <v>2276</v>
      </c>
      <c r="W3673" s="75" t="s">
        <v>2276</v>
      </c>
      <c r="X3673" s="75" t="s">
        <v>2276</v>
      </c>
      <c r="Y3673" s="75" t="s">
        <v>2276</v>
      </c>
      <c r="Z3673" s="75" t="s">
        <v>2276</v>
      </c>
      <c r="AA3673" s="75" t="s">
        <v>2276</v>
      </c>
      <c r="AB3673" s="75" t="s">
        <v>2276</v>
      </c>
      <c r="AC3673" s="204"/>
      <c r="AD3673" s="204"/>
    </row>
    <row r="3674" spans="1:30" ht="49" customHeight="1">
      <c r="A3674" s="11" t="s">
        <v>9603</v>
      </c>
      <c r="B3674" s="11" t="s">
        <v>9606</v>
      </c>
      <c r="C3674" s="204" t="s">
        <v>2458</v>
      </c>
      <c r="D3674" s="204" t="s">
        <v>27</v>
      </c>
      <c r="E3674" s="204" t="s">
        <v>130</v>
      </c>
      <c r="F3674" s="204" t="s">
        <v>160</v>
      </c>
      <c r="G3674" s="204" t="s">
        <v>2663</v>
      </c>
      <c r="H3674" s="204" t="s">
        <v>523</v>
      </c>
      <c r="I3674" s="204"/>
      <c r="J3674" s="75" t="s">
        <v>2276</v>
      </c>
      <c r="K3674" s="75" t="s">
        <v>2276</v>
      </c>
      <c r="L3674" s="75" t="s">
        <v>2276</v>
      </c>
      <c r="M3674" s="75" t="s">
        <v>2276</v>
      </c>
      <c r="N3674" s="75" t="s">
        <v>2276</v>
      </c>
      <c r="O3674" s="75" t="s">
        <v>2276</v>
      </c>
      <c r="P3674" s="75" t="s">
        <v>2276</v>
      </c>
      <c r="Q3674" s="75" t="s">
        <v>2276</v>
      </c>
      <c r="R3674" s="75" t="s">
        <v>2276</v>
      </c>
      <c r="S3674" s="75" t="s">
        <v>2276</v>
      </c>
      <c r="T3674" s="21">
        <f>(2112+384)</f>
        <v>2496</v>
      </c>
      <c r="U3674" s="75" t="s">
        <v>2276</v>
      </c>
      <c r="V3674" s="75" t="s">
        <v>2276</v>
      </c>
      <c r="W3674" s="75" t="s">
        <v>2276</v>
      </c>
      <c r="X3674" s="75" t="s">
        <v>2276</v>
      </c>
      <c r="Y3674" s="75" t="s">
        <v>2276</v>
      </c>
      <c r="Z3674" s="75" t="s">
        <v>2276</v>
      </c>
      <c r="AA3674" s="75" t="s">
        <v>2276</v>
      </c>
      <c r="AB3674" s="75" t="s">
        <v>2276</v>
      </c>
      <c r="AC3674" s="204"/>
      <c r="AD3674" s="204"/>
    </row>
    <row r="3675" spans="1:30" ht="54.5" customHeight="1">
      <c r="A3675" s="11" t="s">
        <v>9603</v>
      </c>
      <c r="B3675" s="11" t="s">
        <v>9607</v>
      </c>
      <c r="C3675" s="204" t="s">
        <v>2458</v>
      </c>
      <c r="D3675" s="204" t="s">
        <v>2346</v>
      </c>
      <c r="E3675" s="204" t="s">
        <v>130</v>
      </c>
      <c r="F3675" s="204" t="s">
        <v>2663</v>
      </c>
      <c r="G3675" s="204" t="s">
        <v>2663</v>
      </c>
      <c r="H3675" s="204" t="s">
        <v>523</v>
      </c>
      <c r="I3675" s="204"/>
      <c r="J3675" s="75" t="s">
        <v>2276</v>
      </c>
      <c r="K3675" s="75" t="s">
        <v>2276</v>
      </c>
      <c r="L3675" s="75" t="s">
        <v>2276</v>
      </c>
      <c r="M3675" s="75" t="s">
        <v>2276</v>
      </c>
      <c r="N3675" s="75" t="s">
        <v>2276</v>
      </c>
      <c r="O3675" s="75" t="s">
        <v>2276</v>
      </c>
      <c r="P3675" s="75" t="s">
        <v>2276</v>
      </c>
      <c r="Q3675" s="75" t="s">
        <v>2276</v>
      </c>
      <c r="R3675" s="75" t="s">
        <v>2276</v>
      </c>
      <c r="S3675" s="75" t="s">
        <v>2276</v>
      </c>
      <c r="T3675" s="21">
        <f>(1560+450)/2</f>
        <v>1005</v>
      </c>
      <c r="U3675" s="75" t="s">
        <v>2276</v>
      </c>
      <c r="V3675" s="75" t="s">
        <v>2276</v>
      </c>
      <c r="W3675" s="75" t="s">
        <v>2276</v>
      </c>
      <c r="X3675" s="75" t="s">
        <v>2276</v>
      </c>
      <c r="Y3675" s="75" t="s">
        <v>2276</v>
      </c>
      <c r="Z3675" s="75" t="s">
        <v>2276</v>
      </c>
      <c r="AA3675" s="75" t="s">
        <v>2276</v>
      </c>
      <c r="AB3675" s="75" t="s">
        <v>2276</v>
      </c>
      <c r="AC3675" s="204"/>
      <c r="AD3675" s="204"/>
    </row>
    <row r="3676" spans="1:30" ht="51" customHeight="1">
      <c r="A3676" s="19" t="s">
        <v>9609</v>
      </c>
      <c r="B3676" s="19" t="s">
        <v>9611</v>
      </c>
      <c r="C3676" s="4" t="s">
        <v>24</v>
      </c>
      <c r="D3676" s="4" t="s">
        <v>2346</v>
      </c>
      <c r="E3676" s="4" t="s">
        <v>397</v>
      </c>
      <c r="F3676" s="4" t="s">
        <v>2663</v>
      </c>
      <c r="G3676" s="4" t="s">
        <v>2663</v>
      </c>
      <c r="H3676" s="4" t="s">
        <v>523</v>
      </c>
      <c r="I3676" s="204">
        <v>1983</v>
      </c>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75" t="s">
        <v>2276</v>
      </c>
      <c r="W3676" s="75" t="s">
        <v>2276</v>
      </c>
      <c r="X3676" s="75" t="s">
        <v>2276</v>
      </c>
      <c r="Y3676" s="75" t="s">
        <v>2276</v>
      </c>
      <c r="Z3676" s="75" t="s">
        <v>2276</v>
      </c>
      <c r="AA3676" s="75" t="s">
        <v>2276</v>
      </c>
      <c r="AB3676" s="75" t="s">
        <v>2276</v>
      </c>
      <c r="AC3676" s="204"/>
      <c r="AD3676" s="204"/>
    </row>
    <row r="3677" spans="1:30" ht="51" customHeight="1">
      <c r="A3677" s="19" t="s">
        <v>9609</v>
      </c>
      <c r="B3677" s="19" t="s">
        <v>9612</v>
      </c>
      <c r="C3677" s="4" t="s">
        <v>24</v>
      </c>
      <c r="D3677" s="4" t="s">
        <v>2346</v>
      </c>
      <c r="E3677" s="4" t="s">
        <v>397</v>
      </c>
      <c r="F3677" s="4" t="s">
        <v>2663</v>
      </c>
      <c r="G3677" s="4" t="s">
        <v>2663</v>
      </c>
      <c r="H3677" s="4" t="s">
        <v>523</v>
      </c>
      <c r="I3677" s="204">
        <v>1991</v>
      </c>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75" t="s">
        <v>2276</v>
      </c>
      <c r="W3677" s="75" t="s">
        <v>2276</v>
      </c>
      <c r="X3677" s="75" t="s">
        <v>2276</v>
      </c>
      <c r="Y3677" s="75" t="s">
        <v>2276</v>
      </c>
      <c r="Z3677" s="75" t="s">
        <v>2276</v>
      </c>
      <c r="AA3677" s="75" t="s">
        <v>2276</v>
      </c>
      <c r="AB3677" s="75" t="s">
        <v>2276</v>
      </c>
      <c r="AC3677" s="204"/>
      <c r="AD3677" s="204"/>
    </row>
    <row r="3678" spans="1:30" ht="51" customHeight="1">
      <c r="A3678" s="19" t="s">
        <v>9609</v>
      </c>
      <c r="B3678" s="19" t="s">
        <v>9613</v>
      </c>
      <c r="C3678" s="4" t="s">
        <v>24</v>
      </c>
      <c r="D3678" s="4" t="s">
        <v>2346</v>
      </c>
      <c r="E3678" s="4" t="s">
        <v>397</v>
      </c>
      <c r="F3678" s="4" t="s">
        <v>2663</v>
      </c>
      <c r="G3678" s="4" t="s">
        <v>2663</v>
      </c>
      <c r="H3678" s="4" t="s">
        <v>523</v>
      </c>
      <c r="I3678" s="204">
        <v>1993</v>
      </c>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75" t="s">
        <v>2276</v>
      </c>
      <c r="W3678" s="75" t="s">
        <v>2276</v>
      </c>
      <c r="X3678" s="75" t="s">
        <v>2276</v>
      </c>
      <c r="Y3678" s="75" t="s">
        <v>2276</v>
      </c>
      <c r="Z3678" s="75" t="s">
        <v>2276</v>
      </c>
      <c r="AA3678" s="75" t="s">
        <v>2276</v>
      </c>
      <c r="AB3678" s="75" t="s">
        <v>2276</v>
      </c>
      <c r="AC3678" s="204"/>
      <c r="AD3678" s="204"/>
    </row>
    <row r="3679" spans="1:30" ht="51" customHeight="1">
      <c r="A3679" s="55" t="s">
        <v>9609</v>
      </c>
      <c r="B3679" s="55" t="s">
        <v>9614</v>
      </c>
      <c r="C3679" s="168" t="s">
        <v>24</v>
      </c>
      <c r="D3679" s="168" t="s">
        <v>2346</v>
      </c>
      <c r="E3679" s="168" t="s">
        <v>397</v>
      </c>
      <c r="F3679" s="168" t="s">
        <v>2663</v>
      </c>
      <c r="G3679" s="168" t="s">
        <v>2663</v>
      </c>
      <c r="H3679" s="168" t="s">
        <v>523</v>
      </c>
      <c r="I3679" s="204">
        <v>1996</v>
      </c>
      <c r="J3679" s="240" t="s">
        <v>2276</v>
      </c>
      <c r="K3679" s="240" t="s">
        <v>2276</v>
      </c>
      <c r="L3679" s="240" t="s">
        <v>2276</v>
      </c>
      <c r="M3679" s="240" t="s">
        <v>2276</v>
      </c>
      <c r="N3679" s="240" t="s">
        <v>2276</v>
      </c>
      <c r="O3679" s="240" t="s">
        <v>2276</v>
      </c>
      <c r="P3679" s="240" t="s">
        <v>2276</v>
      </c>
      <c r="Q3679" s="240" t="s">
        <v>2276</v>
      </c>
      <c r="R3679" s="240" t="s">
        <v>2276</v>
      </c>
      <c r="S3679" s="240" t="s">
        <v>2276</v>
      </c>
      <c r="T3679" s="240" t="s">
        <v>2276</v>
      </c>
      <c r="U3679" s="240" t="s">
        <v>2276</v>
      </c>
      <c r="V3679" s="240" t="s">
        <v>2276</v>
      </c>
      <c r="W3679" s="240" t="s">
        <v>2276</v>
      </c>
      <c r="X3679" s="240" t="s">
        <v>2276</v>
      </c>
      <c r="Y3679" s="240" t="s">
        <v>2276</v>
      </c>
      <c r="Z3679" s="240" t="s">
        <v>2276</v>
      </c>
      <c r="AA3679" s="240" t="s">
        <v>2276</v>
      </c>
      <c r="AB3679" s="240" t="s">
        <v>2276</v>
      </c>
      <c r="AC3679" s="38"/>
      <c r="AD3679" s="38"/>
    </row>
    <row r="3680" spans="1:30" ht="67" customHeight="1">
      <c r="A3680" s="19" t="s">
        <v>9609</v>
      </c>
      <c r="B3680" s="19" t="s">
        <v>9615</v>
      </c>
      <c r="C3680" s="204" t="s">
        <v>2658</v>
      </c>
      <c r="D3680" s="204" t="s">
        <v>1105</v>
      </c>
      <c r="E3680" s="204" t="s">
        <v>1105</v>
      </c>
      <c r="F3680" s="204" t="s">
        <v>1105</v>
      </c>
      <c r="G3680" s="204" t="s">
        <v>55</v>
      </c>
      <c r="H3680" s="4" t="s">
        <v>523</v>
      </c>
      <c r="I3680" s="204"/>
      <c r="J3680" s="75" t="s">
        <v>2276</v>
      </c>
      <c r="K3680" s="75" t="s">
        <v>2276</v>
      </c>
      <c r="L3680" s="75" t="s">
        <v>2276</v>
      </c>
      <c r="M3680" s="75" t="s">
        <v>2276</v>
      </c>
      <c r="N3680" s="75" t="s">
        <v>2276</v>
      </c>
      <c r="O3680" s="75" t="s">
        <v>2276</v>
      </c>
      <c r="P3680" s="75" t="s">
        <v>2276</v>
      </c>
      <c r="Q3680" s="75" t="s">
        <v>2276</v>
      </c>
      <c r="R3680" s="75" t="s">
        <v>2276</v>
      </c>
      <c r="S3680" s="75" t="s">
        <v>2276</v>
      </c>
      <c r="T3680" s="75" t="s">
        <v>2276</v>
      </c>
      <c r="U3680" s="75" t="s">
        <v>2276</v>
      </c>
      <c r="V3680" s="75" t="s">
        <v>2276</v>
      </c>
      <c r="W3680" s="75" t="s">
        <v>2276</v>
      </c>
      <c r="X3680" s="75" t="s">
        <v>2276</v>
      </c>
      <c r="Y3680" s="75" t="s">
        <v>2276</v>
      </c>
      <c r="Z3680" s="75" t="s">
        <v>2276</v>
      </c>
      <c r="AA3680" s="75" t="s">
        <v>2276</v>
      </c>
      <c r="AB3680" s="75" t="s">
        <v>2276</v>
      </c>
      <c r="AC3680" s="82" t="s">
        <v>9616</v>
      </c>
      <c r="AD3680" s="204"/>
    </row>
    <row r="3681" spans="1:30" ht="50" customHeight="1">
      <c r="A3681" s="19" t="s">
        <v>9609</v>
      </c>
      <c r="B3681" s="19" t="s">
        <v>9617</v>
      </c>
      <c r="C3681" s="168" t="s">
        <v>24</v>
      </c>
      <c r="D3681" s="168" t="s">
        <v>2346</v>
      </c>
      <c r="E3681" s="168" t="s">
        <v>397</v>
      </c>
      <c r="F3681" s="168" t="s">
        <v>2663</v>
      </c>
      <c r="G3681" s="168" t="s">
        <v>2663</v>
      </c>
      <c r="H3681" s="168" t="s">
        <v>524</v>
      </c>
      <c r="I3681" s="204">
        <v>2000</v>
      </c>
      <c r="J3681" s="21">
        <v>0</v>
      </c>
      <c r="K3681" s="21">
        <v>0</v>
      </c>
      <c r="L3681" s="21">
        <v>0</v>
      </c>
      <c r="M3681" s="21">
        <v>0</v>
      </c>
      <c r="N3681" s="21">
        <v>0</v>
      </c>
      <c r="O3681" s="21">
        <v>0</v>
      </c>
      <c r="P3681" s="21">
        <v>0</v>
      </c>
      <c r="Q3681" s="21">
        <v>0</v>
      </c>
      <c r="R3681" s="21">
        <v>0</v>
      </c>
      <c r="S3681" s="21">
        <v>0</v>
      </c>
      <c r="T3681" s="21">
        <v>0</v>
      </c>
      <c r="U3681" s="21">
        <v>0</v>
      </c>
      <c r="V3681" s="21">
        <v>0</v>
      </c>
      <c r="W3681" s="21">
        <v>0</v>
      </c>
      <c r="X3681" s="21">
        <v>0</v>
      </c>
      <c r="Y3681" s="75" t="s">
        <v>2276</v>
      </c>
      <c r="Z3681" s="75" t="s">
        <v>2276</v>
      </c>
      <c r="AA3681" s="75" t="s">
        <v>2276</v>
      </c>
      <c r="AB3681" s="75" t="s">
        <v>2276</v>
      </c>
      <c r="AC3681" s="204"/>
      <c r="AD3681" s="204"/>
    </row>
    <row r="3682" spans="1:30" ht="52.5" customHeight="1">
      <c r="A3682" s="19" t="s">
        <v>9609</v>
      </c>
      <c r="B3682" s="19" t="s">
        <v>9618</v>
      </c>
      <c r="C3682" s="4" t="s">
        <v>24</v>
      </c>
      <c r="D3682" s="4" t="s">
        <v>2276</v>
      </c>
      <c r="E3682" s="4" t="s">
        <v>397</v>
      </c>
      <c r="F3682" s="4" t="s">
        <v>28</v>
      </c>
      <c r="G3682" s="4" t="s">
        <v>28</v>
      </c>
      <c r="H3682" s="4" t="s">
        <v>523</v>
      </c>
      <c r="I3682" s="204">
        <v>2000</v>
      </c>
      <c r="J3682" s="75" t="s">
        <v>2276</v>
      </c>
      <c r="K3682" s="75" t="s">
        <v>2276</v>
      </c>
      <c r="L3682" s="75" t="s">
        <v>2276</v>
      </c>
      <c r="M3682" s="75" t="s">
        <v>2276</v>
      </c>
      <c r="N3682" s="75" t="s">
        <v>2276</v>
      </c>
      <c r="O3682" s="75" t="s">
        <v>2276</v>
      </c>
      <c r="P3682" s="75" t="s">
        <v>2276</v>
      </c>
      <c r="Q3682" s="75" t="s">
        <v>2276</v>
      </c>
      <c r="R3682" s="75" t="s">
        <v>2276</v>
      </c>
      <c r="S3682" s="75" t="s">
        <v>2276</v>
      </c>
      <c r="T3682" s="75" t="s">
        <v>2276</v>
      </c>
      <c r="U3682" s="75" t="s">
        <v>2276</v>
      </c>
      <c r="V3682" s="75" t="s">
        <v>2276</v>
      </c>
      <c r="W3682" s="75" t="s">
        <v>2276</v>
      </c>
      <c r="X3682" s="75" t="s">
        <v>2276</v>
      </c>
      <c r="Y3682" s="75" t="s">
        <v>2276</v>
      </c>
      <c r="Z3682" s="75" t="s">
        <v>2276</v>
      </c>
      <c r="AA3682" s="75" t="s">
        <v>2276</v>
      </c>
      <c r="AB3682" s="75" t="s">
        <v>2276</v>
      </c>
      <c r="AC3682" s="4" t="s">
        <v>9619</v>
      </c>
      <c r="AD3682" s="204"/>
    </row>
    <row r="3683" spans="1:30" ht="47" customHeight="1">
      <c r="A3683" s="19" t="s">
        <v>9621</v>
      </c>
      <c r="B3683" s="19" t="s">
        <v>9622</v>
      </c>
      <c r="C3683" s="4" t="s">
        <v>24</v>
      </c>
      <c r="D3683" s="204" t="s">
        <v>143</v>
      </c>
      <c r="E3683" s="4" t="s">
        <v>396</v>
      </c>
      <c r="F3683" s="4" t="s">
        <v>74</v>
      </c>
      <c r="G3683" s="4" t="s">
        <v>74</v>
      </c>
      <c r="H3683" s="4" t="s">
        <v>523</v>
      </c>
      <c r="I3683" s="204"/>
      <c r="J3683" s="75" t="s">
        <v>2276</v>
      </c>
      <c r="K3683" s="75" t="s">
        <v>2276</v>
      </c>
      <c r="L3683" s="75" t="s">
        <v>2276</v>
      </c>
      <c r="M3683" s="75" t="s">
        <v>2276</v>
      </c>
      <c r="N3683" s="75" t="s">
        <v>2276</v>
      </c>
      <c r="O3683" s="75" t="s">
        <v>2276</v>
      </c>
      <c r="P3683" s="75" t="s">
        <v>2276</v>
      </c>
      <c r="Q3683" s="75" t="s">
        <v>2276</v>
      </c>
      <c r="R3683" s="75" t="s">
        <v>2276</v>
      </c>
      <c r="S3683" s="75" t="s">
        <v>2276</v>
      </c>
      <c r="T3683" s="75" t="s">
        <v>2276</v>
      </c>
      <c r="U3683" s="75" t="s">
        <v>2276</v>
      </c>
      <c r="V3683" s="75" t="s">
        <v>2276</v>
      </c>
      <c r="W3683" s="75" t="s">
        <v>2276</v>
      </c>
      <c r="X3683" s="75" t="s">
        <v>2276</v>
      </c>
      <c r="Y3683" s="75" t="s">
        <v>2276</v>
      </c>
      <c r="Z3683" s="75" t="s">
        <v>2276</v>
      </c>
      <c r="AA3683" s="75" t="s">
        <v>2276</v>
      </c>
      <c r="AB3683" s="75" t="s">
        <v>2276</v>
      </c>
      <c r="AC3683" s="204"/>
      <c r="AD3683" s="204"/>
    </row>
    <row r="3684" spans="1:30" ht="46.5" customHeight="1">
      <c r="A3684" s="11" t="s">
        <v>9627</v>
      </c>
      <c r="B3684" s="11" t="s">
        <v>9640</v>
      </c>
      <c r="C3684" s="4" t="s">
        <v>24</v>
      </c>
      <c r="D3684" s="204" t="s">
        <v>27</v>
      </c>
      <c r="E3684" s="204" t="s">
        <v>130</v>
      </c>
      <c r="F3684" s="4" t="s">
        <v>160</v>
      </c>
      <c r="G3684" s="4" t="s">
        <v>160</v>
      </c>
      <c r="H3684" s="4" t="s">
        <v>523</v>
      </c>
      <c r="I3684" s="204"/>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75" t="s">
        <v>2276</v>
      </c>
      <c r="W3684" s="75" t="s">
        <v>2276</v>
      </c>
      <c r="X3684" s="75" t="s">
        <v>2276</v>
      </c>
      <c r="Y3684" s="75" t="s">
        <v>2276</v>
      </c>
      <c r="Z3684" s="75" t="s">
        <v>2276</v>
      </c>
      <c r="AA3684" s="75" t="s">
        <v>2276</v>
      </c>
      <c r="AB3684" s="75" t="s">
        <v>2276</v>
      </c>
      <c r="AC3684" s="204"/>
      <c r="AD3684" s="204"/>
    </row>
    <row r="3685" spans="1:30" ht="46.5" customHeight="1">
      <c r="A3685" s="11" t="s">
        <v>9628</v>
      </c>
      <c r="B3685" s="11" t="s">
        <v>9641</v>
      </c>
      <c r="C3685" s="4" t="s">
        <v>24</v>
      </c>
      <c r="D3685" s="204" t="s">
        <v>27</v>
      </c>
      <c r="E3685" s="204" t="s">
        <v>130</v>
      </c>
      <c r="F3685" s="4" t="s">
        <v>160</v>
      </c>
      <c r="G3685" s="4" t="s">
        <v>160</v>
      </c>
      <c r="H3685" s="4" t="s">
        <v>523</v>
      </c>
      <c r="I3685" s="204"/>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75" t="s">
        <v>2276</v>
      </c>
      <c r="W3685" s="75" t="s">
        <v>2276</v>
      </c>
      <c r="X3685" s="75" t="s">
        <v>2276</v>
      </c>
      <c r="Y3685" s="75" t="s">
        <v>2276</v>
      </c>
      <c r="Z3685" s="75" t="s">
        <v>2276</v>
      </c>
      <c r="AA3685" s="75" t="s">
        <v>2276</v>
      </c>
      <c r="AB3685" s="75" t="s">
        <v>2276</v>
      </c>
      <c r="AC3685" s="204"/>
      <c r="AD3685" s="204"/>
    </row>
    <row r="3686" spans="1:30" ht="46.5" customHeight="1">
      <c r="A3686" s="11" t="s">
        <v>9629</v>
      </c>
      <c r="B3686" s="11" t="s">
        <v>9642</v>
      </c>
      <c r="C3686" s="4" t="s">
        <v>24</v>
      </c>
      <c r="D3686" s="204" t="s">
        <v>27</v>
      </c>
      <c r="E3686" s="204" t="s">
        <v>130</v>
      </c>
      <c r="F3686" s="4" t="s">
        <v>160</v>
      </c>
      <c r="G3686" s="4" t="s">
        <v>160</v>
      </c>
      <c r="H3686" s="4" t="s">
        <v>523</v>
      </c>
      <c r="I3686" s="204"/>
      <c r="J3686" s="75" t="s">
        <v>2276</v>
      </c>
      <c r="K3686" s="75" t="s">
        <v>2276</v>
      </c>
      <c r="L3686" s="75" t="s">
        <v>2276</v>
      </c>
      <c r="M3686" s="75" t="s">
        <v>2276</v>
      </c>
      <c r="N3686" s="75" t="s">
        <v>2276</v>
      </c>
      <c r="O3686" s="75" t="s">
        <v>2276</v>
      </c>
      <c r="P3686" s="75" t="s">
        <v>2276</v>
      </c>
      <c r="Q3686" s="75" t="s">
        <v>2276</v>
      </c>
      <c r="R3686" s="75" t="s">
        <v>2276</v>
      </c>
      <c r="S3686" s="75" t="s">
        <v>2276</v>
      </c>
      <c r="T3686" s="75" t="s">
        <v>2276</v>
      </c>
      <c r="U3686" s="75" t="s">
        <v>2276</v>
      </c>
      <c r="V3686" s="75" t="s">
        <v>2276</v>
      </c>
      <c r="W3686" s="75" t="s">
        <v>2276</v>
      </c>
      <c r="X3686" s="75" t="s">
        <v>2276</v>
      </c>
      <c r="Y3686" s="75" t="s">
        <v>2276</v>
      </c>
      <c r="Z3686" s="75" t="s">
        <v>2276</v>
      </c>
      <c r="AA3686" s="75" t="s">
        <v>2276</v>
      </c>
      <c r="AB3686" s="75" t="s">
        <v>2276</v>
      </c>
      <c r="AC3686" s="204"/>
      <c r="AD3686" s="204"/>
    </row>
    <row r="3687" spans="1:30" ht="46.5" customHeight="1">
      <c r="A3687" s="11" t="s">
        <v>9630</v>
      </c>
      <c r="B3687" s="11" t="s">
        <v>9643</v>
      </c>
      <c r="C3687" s="4" t="s">
        <v>24</v>
      </c>
      <c r="D3687" s="204" t="s">
        <v>27</v>
      </c>
      <c r="E3687" s="204" t="s">
        <v>130</v>
      </c>
      <c r="F3687" s="4" t="s">
        <v>160</v>
      </c>
      <c r="G3687" s="4" t="s">
        <v>160</v>
      </c>
      <c r="H3687" s="4" t="s">
        <v>523</v>
      </c>
      <c r="I3687" s="204"/>
      <c r="J3687" s="75" t="s">
        <v>2276</v>
      </c>
      <c r="K3687" s="75" t="s">
        <v>2276</v>
      </c>
      <c r="L3687" s="75" t="s">
        <v>2276</v>
      </c>
      <c r="M3687" s="75" t="s">
        <v>2276</v>
      </c>
      <c r="N3687" s="75" t="s">
        <v>2276</v>
      </c>
      <c r="O3687" s="75" t="s">
        <v>2276</v>
      </c>
      <c r="P3687" s="75" t="s">
        <v>2276</v>
      </c>
      <c r="Q3687" s="75" t="s">
        <v>2276</v>
      </c>
      <c r="R3687" s="75" t="s">
        <v>2276</v>
      </c>
      <c r="S3687" s="75" t="s">
        <v>2276</v>
      </c>
      <c r="T3687" s="75" t="s">
        <v>2276</v>
      </c>
      <c r="U3687" s="75" t="s">
        <v>2276</v>
      </c>
      <c r="V3687" s="75" t="s">
        <v>2276</v>
      </c>
      <c r="W3687" s="75" t="s">
        <v>2276</v>
      </c>
      <c r="X3687" s="75" t="s">
        <v>2276</v>
      </c>
      <c r="Y3687" s="75" t="s">
        <v>2276</v>
      </c>
      <c r="Z3687" s="75" t="s">
        <v>2276</v>
      </c>
      <c r="AA3687" s="75" t="s">
        <v>2276</v>
      </c>
      <c r="AB3687" s="75" t="s">
        <v>2276</v>
      </c>
      <c r="AC3687" s="204"/>
      <c r="AD3687" s="204"/>
    </row>
    <row r="3688" spans="1:30" ht="46.5" customHeight="1">
      <c r="A3688" s="11" t="s">
        <v>9631</v>
      </c>
      <c r="B3688" s="11" t="s">
        <v>9644</v>
      </c>
      <c r="C3688" s="4" t="s">
        <v>24</v>
      </c>
      <c r="D3688" s="204" t="s">
        <v>27</v>
      </c>
      <c r="E3688" s="204" t="s">
        <v>130</v>
      </c>
      <c r="F3688" s="4" t="s">
        <v>160</v>
      </c>
      <c r="G3688" s="4" t="s">
        <v>160</v>
      </c>
      <c r="H3688" s="4" t="s">
        <v>523</v>
      </c>
      <c r="I3688" s="204"/>
      <c r="J3688" s="75" t="s">
        <v>2276</v>
      </c>
      <c r="K3688" s="75" t="s">
        <v>2276</v>
      </c>
      <c r="L3688" s="75" t="s">
        <v>2276</v>
      </c>
      <c r="M3688" s="75" t="s">
        <v>2276</v>
      </c>
      <c r="N3688" s="75" t="s">
        <v>2276</v>
      </c>
      <c r="O3688" s="75" t="s">
        <v>2276</v>
      </c>
      <c r="P3688" s="75" t="s">
        <v>2276</v>
      </c>
      <c r="Q3688" s="75" t="s">
        <v>2276</v>
      </c>
      <c r="R3688" s="75" t="s">
        <v>2276</v>
      </c>
      <c r="S3688" s="75" t="s">
        <v>2276</v>
      </c>
      <c r="T3688" s="75" t="s">
        <v>2276</v>
      </c>
      <c r="U3688" s="75" t="s">
        <v>2276</v>
      </c>
      <c r="V3688" s="75" t="s">
        <v>2276</v>
      </c>
      <c r="W3688" s="75" t="s">
        <v>2276</v>
      </c>
      <c r="X3688" s="75" t="s">
        <v>2276</v>
      </c>
      <c r="Y3688" s="75" t="s">
        <v>2276</v>
      </c>
      <c r="Z3688" s="75" t="s">
        <v>2276</v>
      </c>
      <c r="AA3688" s="75" t="s">
        <v>2276</v>
      </c>
      <c r="AB3688" s="75" t="s">
        <v>2276</v>
      </c>
      <c r="AC3688" s="204"/>
      <c r="AD3688" s="204"/>
    </row>
    <row r="3689" spans="1:30" ht="47" customHeight="1">
      <c r="A3689" s="11" t="s">
        <v>9632</v>
      </c>
      <c r="B3689" s="11" t="s">
        <v>9645</v>
      </c>
      <c r="C3689" s="4" t="s">
        <v>24</v>
      </c>
      <c r="D3689" s="204" t="s">
        <v>27</v>
      </c>
      <c r="E3689" s="204" t="s">
        <v>130</v>
      </c>
      <c r="F3689" s="4" t="s">
        <v>160</v>
      </c>
      <c r="G3689" s="4" t="s">
        <v>160</v>
      </c>
      <c r="H3689" s="4" t="s">
        <v>523</v>
      </c>
      <c r="I3689" s="204"/>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75" t="s">
        <v>2276</v>
      </c>
      <c r="W3689" s="75" t="s">
        <v>2276</v>
      </c>
      <c r="X3689" s="75" t="s">
        <v>2276</v>
      </c>
      <c r="Y3689" s="75" t="s">
        <v>2276</v>
      </c>
      <c r="Z3689" s="75" t="s">
        <v>2276</v>
      </c>
      <c r="AA3689" s="75" t="s">
        <v>2276</v>
      </c>
      <c r="AB3689" s="75" t="s">
        <v>2276</v>
      </c>
      <c r="AC3689" s="204"/>
      <c r="AD3689" s="204"/>
    </row>
    <row r="3690" spans="1:30" ht="47" customHeight="1">
      <c r="A3690" s="11" t="s">
        <v>9631</v>
      </c>
      <c r="B3690" s="11" t="s">
        <v>9649</v>
      </c>
      <c r="C3690" s="4" t="s">
        <v>24</v>
      </c>
      <c r="D3690" s="204" t="s">
        <v>27</v>
      </c>
      <c r="E3690" s="4" t="s">
        <v>2651</v>
      </c>
      <c r="F3690" s="4" t="s">
        <v>2662</v>
      </c>
      <c r="G3690" s="4" t="s">
        <v>2662</v>
      </c>
      <c r="H3690" s="204" t="s">
        <v>524</v>
      </c>
      <c r="I3690" s="204"/>
      <c r="J3690" s="21">
        <v>0</v>
      </c>
      <c r="K3690" s="21">
        <v>0</v>
      </c>
      <c r="L3690" s="21">
        <v>0</v>
      </c>
      <c r="M3690" s="21">
        <v>0</v>
      </c>
      <c r="N3690" s="21">
        <v>0</v>
      </c>
      <c r="O3690" s="21">
        <v>0</v>
      </c>
      <c r="P3690" s="21">
        <v>0</v>
      </c>
      <c r="Q3690" s="21">
        <v>0</v>
      </c>
      <c r="R3690" s="21">
        <v>0</v>
      </c>
      <c r="S3690" s="21">
        <v>0</v>
      </c>
      <c r="T3690" s="21">
        <v>0</v>
      </c>
      <c r="U3690" s="21">
        <v>0</v>
      </c>
      <c r="V3690" s="21">
        <v>0</v>
      </c>
      <c r="W3690" s="21">
        <v>0</v>
      </c>
      <c r="X3690" s="21">
        <v>0</v>
      </c>
      <c r="Y3690" s="75" t="s">
        <v>2276</v>
      </c>
      <c r="Z3690" s="75" t="s">
        <v>2276</v>
      </c>
      <c r="AA3690" s="75" t="s">
        <v>2276</v>
      </c>
      <c r="AB3690" s="75" t="s">
        <v>2276</v>
      </c>
      <c r="AC3690" s="204"/>
      <c r="AD3690" s="204"/>
    </row>
    <row r="3691" spans="1:30" ht="47" customHeight="1">
      <c r="A3691" s="11" t="s">
        <v>9633</v>
      </c>
      <c r="B3691" s="11" t="s">
        <v>9650</v>
      </c>
      <c r="C3691" s="4" t="s">
        <v>24</v>
      </c>
      <c r="D3691" s="204" t="s">
        <v>27</v>
      </c>
      <c r="E3691" s="4" t="s">
        <v>2651</v>
      </c>
      <c r="F3691" s="4" t="s">
        <v>2662</v>
      </c>
      <c r="G3691" s="4" t="s">
        <v>2662</v>
      </c>
      <c r="H3691" s="204" t="s">
        <v>524</v>
      </c>
      <c r="I3691" s="204"/>
      <c r="J3691" s="21">
        <v>0</v>
      </c>
      <c r="K3691" s="21">
        <v>0</v>
      </c>
      <c r="L3691" s="21">
        <v>0</v>
      </c>
      <c r="M3691" s="21">
        <v>0</v>
      </c>
      <c r="N3691" s="21">
        <v>0</v>
      </c>
      <c r="O3691" s="21">
        <v>0</v>
      </c>
      <c r="P3691" s="21">
        <v>0</v>
      </c>
      <c r="Q3691" s="21">
        <v>0</v>
      </c>
      <c r="R3691" s="21">
        <v>0</v>
      </c>
      <c r="S3691" s="21">
        <v>0</v>
      </c>
      <c r="T3691" s="21">
        <v>0</v>
      </c>
      <c r="U3691" s="21">
        <v>0</v>
      </c>
      <c r="V3691" s="21">
        <v>0</v>
      </c>
      <c r="W3691" s="21">
        <v>0</v>
      </c>
      <c r="X3691" s="21">
        <v>0</v>
      </c>
      <c r="Y3691" s="75" t="s">
        <v>2276</v>
      </c>
      <c r="Z3691" s="75" t="s">
        <v>2276</v>
      </c>
      <c r="AA3691" s="75" t="s">
        <v>2276</v>
      </c>
      <c r="AB3691" s="75" t="s">
        <v>2276</v>
      </c>
      <c r="AC3691" s="204"/>
      <c r="AD3691" s="204"/>
    </row>
    <row r="3692" spans="1:30" ht="47" customHeight="1">
      <c r="A3692" s="204" t="s">
        <v>9630</v>
      </c>
      <c r="B3692" s="11" t="s">
        <v>9651</v>
      </c>
      <c r="C3692" s="4" t="s">
        <v>24</v>
      </c>
      <c r="D3692" s="204" t="s">
        <v>27</v>
      </c>
      <c r="E3692" s="4" t="s">
        <v>2651</v>
      </c>
      <c r="F3692" s="4" t="s">
        <v>2662</v>
      </c>
      <c r="G3692" s="4" t="s">
        <v>2662</v>
      </c>
      <c r="H3692" s="204" t="s">
        <v>524</v>
      </c>
      <c r="I3692" s="204"/>
      <c r="J3692" s="21">
        <v>0</v>
      </c>
      <c r="K3692" s="21">
        <v>0</v>
      </c>
      <c r="L3692" s="21">
        <v>0</v>
      </c>
      <c r="M3692" s="21">
        <v>0</v>
      </c>
      <c r="N3692" s="21">
        <v>0</v>
      </c>
      <c r="O3692" s="21">
        <v>0</v>
      </c>
      <c r="P3692" s="21">
        <v>0</v>
      </c>
      <c r="Q3692" s="21">
        <v>0</v>
      </c>
      <c r="R3692" s="21">
        <v>0</v>
      </c>
      <c r="S3692" s="21">
        <v>0</v>
      </c>
      <c r="T3692" s="21">
        <v>0</v>
      </c>
      <c r="U3692" s="21">
        <v>0</v>
      </c>
      <c r="V3692" s="21">
        <v>0</v>
      </c>
      <c r="W3692" s="21">
        <v>0</v>
      </c>
      <c r="X3692" s="21">
        <v>0</v>
      </c>
      <c r="Y3692" s="75" t="s">
        <v>2276</v>
      </c>
      <c r="Z3692" s="75" t="s">
        <v>2276</v>
      </c>
      <c r="AA3692" s="75" t="s">
        <v>2276</v>
      </c>
      <c r="AB3692" s="75" t="s">
        <v>2276</v>
      </c>
      <c r="AC3692" s="204"/>
      <c r="AD3692" s="204"/>
    </row>
    <row r="3693" spans="1:30" ht="47" customHeight="1">
      <c r="A3693" s="11" t="s">
        <v>9627</v>
      </c>
      <c r="B3693" s="11" t="s">
        <v>9652</v>
      </c>
      <c r="C3693" s="4" t="s">
        <v>24</v>
      </c>
      <c r="D3693" s="204" t="s">
        <v>27</v>
      </c>
      <c r="E3693" s="4" t="s">
        <v>2651</v>
      </c>
      <c r="F3693" s="4" t="s">
        <v>2662</v>
      </c>
      <c r="G3693" s="4" t="s">
        <v>2662</v>
      </c>
      <c r="H3693" s="204" t="s">
        <v>524</v>
      </c>
      <c r="I3693" s="204"/>
      <c r="J3693" s="21">
        <v>0</v>
      </c>
      <c r="K3693" s="21">
        <v>0</v>
      </c>
      <c r="L3693" s="21">
        <v>0</v>
      </c>
      <c r="M3693" s="21">
        <v>0</v>
      </c>
      <c r="N3693" s="21">
        <v>0</v>
      </c>
      <c r="O3693" s="21">
        <v>0</v>
      </c>
      <c r="P3693" s="21">
        <v>0</v>
      </c>
      <c r="Q3693" s="21">
        <v>0</v>
      </c>
      <c r="R3693" s="21">
        <v>0</v>
      </c>
      <c r="S3693" s="21">
        <v>0</v>
      </c>
      <c r="T3693" s="21">
        <v>0</v>
      </c>
      <c r="U3693" s="21">
        <v>0</v>
      </c>
      <c r="V3693" s="21">
        <v>0</v>
      </c>
      <c r="W3693" s="21">
        <v>0</v>
      </c>
      <c r="X3693" s="21">
        <v>0</v>
      </c>
      <c r="Y3693" s="75" t="s">
        <v>2276</v>
      </c>
      <c r="Z3693" s="75" t="s">
        <v>2276</v>
      </c>
      <c r="AA3693" s="75" t="s">
        <v>2276</v>
      </c>
      <c r="AB3693" s="75" t="s">
        <v>2276</v>
      </c>
      <c r="AC3693" s="204"/>
      <c r="AD3693" s="204"/>
    </row>
    <row r="3694" spans="1:30" ht="68" customHeight="1">
      <c r="A3694" s="11" t="s">
        <v>9628</v>
      </c>
      <c r="B3694" s="11" t="s">
        <v>9653</v>
      </c>
      <c r="C3694" s="4" t="s">
        <v>24</v>
      </c>
      <c r="D3694" s="204" t="s">
        <v>27</v>
      </c>
      <c r="E3694" s="4" t="s">
        <v>3854</v>
      </c>
      <c r="F3694" s="4" t="s">
        <v>28</v>
      </c>
      <c r="G3694" s="4" t="s">
        <v>28</v>
      </c>
      <c r="H3694" s="204" t="s">
        <v>524</v>
      </c>
      <c r="I3694" s="204"/>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75" t="s">
        <v>2276</v>
      </c>
      <c r="Z3694" s="75" t="s">
        <v>2276</v>
      </c>
      <c r="AA3694" s="75" t="s">
        <v>2276</v>
      </c>
      <c r="AB3694" s="75" t="s">
        <v>2276</v>
      </c>
      <c r="AC3694" s="4" t="s">
        <v>9654</v>
      </c>
      <c r="AD3694" s="204"/>
    </row>
    <row r="3695" spans="1:30" ht="50" customHeight="1">
      <c r="A3695" s="11" t="s">
        <v>9659</v>
      </c>
      <c r="B3695" s="11" t="s">
        <v>9664</v>
      </c>
      <c r="C3695" s="204" t="s">
        <v>2458</v>
      </c>
      <c r="D3695" s="204" t="s">
        <v>2276</v>
      </c>
      <c r="E3695" s="204" t="s">
        <v>2276</v>
      </c>
      <c r="F3695" s="4" t="s">
        <v>2276</v>
      </c>
      <c r="G3695" s="204" t="s">
        <v>74</v>
      </c>
      <c r="H3695" s="204" t="s">
        <v>523</v>
      </c>
      <c r="I3695" s="204">
        <v>2016</v>
      </c>
      <c r="J3695" s="75" t="s">
        <v>2276</v>
      </c>
      <c r="K3695" s="75" t="s">
        <v>2276</v>
      </c>
      <c r="L3695" s="75" t="s">
        <v>2276</v>
      </c>
      <c r="M3695" s="75" t="s">
        <v>2276</v>
      </c>
      <c r="N3695" s="75" t="s">
        <v>2276</v>
      </c>
      <c r="O3695" s="75" t="s">
        <v>2276</v>
      </c>
      <c r="P3695" s="75" t="s">
        <v>2276</v>
      </c>
      <c r="Q3695" s="75" t="s">
        <v>2276</v>
      </c>
      <c r="R3695" s="75" t="s">
        <v>2276</v>
      </c>
      <c r="S3695" s="75" t="s">
        <v>2276</v>
      </c>
      <c r="T3695" s="21">
        <f>(30128+678)</f>
        <v>30806</v>
      </c>
      <c r="U3695" s="75" t="s">
        <v>2276</v>
      </c>
      <c r="V3695" s="21">
        <v>3</v>
      </c>
      <c r="W3695" s="75" t="s">
        <v>2276</v>
      </c>
      <c r="X3695" s="75" t="s">
        <v>2276</v>
      </c>
      <c r="Y3695" s="75" t="s">
        <v>2276</v>
      </c>
      <c r="Z3695" s="204" t="s">
        <v>399</v>
      </c>
      <c r="AA3695" s="204" t="s">
        <v>189</v>
      </c>
      <c r="AB3695" s="204" t="s">
        <v>2655</v>
      </c>
      <c r="AC3695" s="204" t="s">
        <v>9665</v>
      </c>
      <c r="AD3695" s="204"/>
    </row>
    <row r="3696" spans="1:30" ht="55.5" customHeight="1">
      <c r="A3696" s="11" t="s">
        <v>9659</v>
      </c>
      <c r="B3696" s="11" t="s">
        <v>9666</v>
      </c>
      <c r="C3696" s="204" t="s">
        <v>2458</v>
      </c>
      <c r="D3696" s="204" t="s">
        <v>2276</v>
      </c>
      <c r="E3696" s="204" t="s">
        <v>2276</v>
      </c>
      <c r="F3696" s="4" t="s">
        <v>2276</v>
      </c>
      <c r="G3696" s="204" t="s">
        <v>74</v>
      </c>
      <c r="H3696" s="204" t="s">
        <v>524</v>
      </c>
      <c r="I3696" s="204">
        <v>2000</v>
      </c>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75" t="s">
        <v>2276</v>
      </c>
      <c r="Z3696" s="75" t="s">
        <v>2276</v>
      </c>
      <c r="AA3696" s="75" t="s">
        <v>2276</v>
      </c>
      <c r="AB3696" s="75" t="s">
        <v>2276</v>
      </c>
      <c r="AC3696" s="4" t="s">
        <v>9669</v>
      </c>
      <c r="AD3696" s="204"/>
    </row>
    <row r="3697" spans="1:30" ht="44.5" customHeight="1">
      <c r="A3697" s="11" t="s">
        <v>9659</v>
      </c>
      <c r="B3697" s="11" t="s">
        <v>9667</v>
      </c>
      <c r="C3697" s="204" t="s">
        <v>24</v>
      </c>
      <c r="D3697" s="204" t="s">
        <v>27</v>
      </c>
      <c r="E3697" s="204" t="s">
        <v>130</v>
      </c>
      <c r="F3697" s="4" t="s">
        <v>160</v>
      </c>
      <c r="G3697" s="4" t="s">
        <v>160</v>
      </c>
      <c r="H3697" s="204" t="s">
        <v>523</v>
      </c>
      <c r="I3697" s="204"/>
      <c r="J3697" s="75" t="s">
        <v>2276</v>
      </c>
      <c r="K3697" s="75" t="s">
        <v>2276</v>
      </c>
      <c r="L3697" s="75" t="s">
        <v>2276</v>
      </c>
      <c r="M3697" s="75" t="s">
        <v>2276</v>
      </c>
      <c r="N3697" s="75" t="s">
        <v>2276</v>
      </c>
      <c r="O3697" s="75" t="s">
        <v>2276</v>
      </c>
      <c r="P3697" s="75" t="s">
        <v>2276</v>
      </c>
      <c r="Q3697" s="75" t="s">
        <v>2276</v>
      </c>
      <c r="R3697" s="75" t="s">
        <v>2276</v>
      </c>
      <c r="S3697" s="75" t="s">
        <v>2276</v>
      </c>
      <c r="T3697" s="75" t="s">
        <v>2276</v>
      </c>
      <c r="U3697" s="75" t="s">
        <v>2276</v>
      </c>
      <c r="V3697" s="75" t="s">
        <v>2276</v>
      </c>
      <c r="W3697" s="75" t="s">
        <v>2276</v>
      </c>
      <c r="X3697" s="75" t="s">
        <v>2276</v>
      </c>
      <c r="Y3697" s="75" t="s">
        <v>2276</v>
      </c>
      <c r="Z3697" s="75" t="s">
        <v>2276</v>
      </c>
      <c r="AA3697" s="75" t="s">
        <v>2276</v>
      </c>
      <c r="AB3697" s="75" t="s">
        <v>2276</v>
      </c>
      <c r="AC3697" s="204"/>
      <c r="AD3697" s="204"/>
    </row>
    <row r="3698" spans="1:30" ht="52.5" customHeight="1">
      <c r="A3698" s="11" t="s">
        <v>9659</v>
      </c>
      <c r="B3698" s="11" t="s">
        <v>9668</v>
      </c>
      <c r="C3698" s="204" t="s">
        <v>24</v>
      </c>
      <c r="D3698" s="204" t="s">
        <v>2659</v>
      </c>
      <c r="E3698" s="204" t="s">
        <v>130</v>
      </c>
      <c r="F3698" s="4" t="s">
        <v>160</v>
      </c>
      <c r="G3698" s="4" t="s">
        <v>160</v>
      </c>
      <c r="H3698" s="204" t="s">
        <v>523</v>
      </c>
      <c r="I3698" s="204"/>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75" t="s">
        <v>2276</v>
      </c>
      <c r="W3698" s="75" t="s">
        <v>2276</v>
      </c>
      <c r="X3698" s="75" t="s">
        <v>2276</v>
      </c>
      <c r="Y3698" s="75" t="s">
        <v>2276</v>
      </c>
      <c r="Z3698" s="75" t="s">
        <v>2276</v>
      </c>
      <c r="AA3698" s="75" t="s">
        <v>2276</v>
      </c>
      <c r="AB3698" s="75" t="s">
        <v>2276</v>
      </c>
      <c r="AC3698" s="204"/>
      <c r="AD3698" s="204"/>
    </row>
    <row r="3699" spans="1:30" ht="92" customHeight="1">
      <c r="A3699" s="11" t="s">
        <v>9672</v>
      </c>
      <c r="B3699" s="11" t="s">
        <v>9683</v>
      </c>
      <c r="C3699" s="204" t="s">
        <v>24</v>
      </c>
      <c r="D3699" s="204" t="s">
        <v>27</v>
      </c>
      <c r="E3699" s="204" t="s">
        <v>130</v>
      </c>
      <c r="F3699" s="204" t="s">
        <v>74</v>
      </c>
      <c r="G3699" s="204" t="s">
        <v>74</v>
      </c>
      <c r="H3699" s="204" t="s">
        <v>523</v>
      </c>
      <c r="I3699" s="204"/>
      <c r="J3699" s="75" t="s">
        <v>2276</v>
      </c>
      <c r="K3699" s="75" t="s">
        <v>2276</v>
      </c>
      <c r="L3699" s="75" t="s">
        <v>2276</v>
      </c>
      <c r="M3699" s="75" t="s">
        <v>2276</v>
      </c>
      <c r="N3699" s="75" t="s">
        <v>2276</v>
      </c>
      <c r="O3699" s="75" t="s">
        <v>2276</v>
      </c>
      <c r="P3699" s="75" t="s">
        <v>2276</v>
      </c>
      <c r="Q3699" s="75" t="s">
        <v>2276</v>
      </c>
      <c r="R3699" s="21">
        <v>1.8</v>
      </c>
      <c r="S3699" s="75" t="s">
        <v>2276</v>
      </c>
      <c r="T3699" s="21">
        <f>10575893*0.537/14</f>
        <v>405661.03864285717</v>
      </c>
      <c r="U3699" s="75" t="s">
        <v>2276</v>
      </c>
      <c r="V3699" s="75" t="s">
        <v>2276</v>
      </c>
      <c r="W3699" s="75" t="s">
        <v>2276</v>
      </c>
      <c r="X3699" s="21">
        <f>(T3699/'Record info'!K$1518)</f>
        <v>0.17298978193725253</v>
      </c>
      <c r="Y3699" s="75" t="s">
        <v>2276</v>
      </c>
      <c r="Z3699" s="75" t="s">
        <v>2276</v>
      </c>
      <c r="AA3699" s="75" t="s">
        <v>2276</v>
      </c>
      <c r="AB3699" s="75" t="s">
        <v>2276</v>
      </c>
      <c r="AC3699" s="242" t="s">
        <v>9729</v>
      </c>
      <c r="AD3699" s="204" t="s">
        <v>9686</v>
      </c>
    </row>
    <row r="3700" spans="1:30" ht="52" customHeight="1">
      <c r="A3700" s="11" t="s">
        <v>9673</v>
      </c>
      <c r="B3700" s="11" t="s">
        <v>9687</v>
      </c>
      <c r="C3700" s="204" t="s">
        <v>24</v>
      </c>
      <c r="D3700" s="204" t="s">
        <v>27</v>
      </c>
      <c r="E3700" s="204" t="s">
        <v>130</v>
      </c>
      <c r="F3700" s="204" t="s">
        <v>74</v>
      </c>
      <c r="G3700" s="204" t="s">
        <v>74</v>
      </c>
      <c r="H3700" s="204" t="s">
        <v>523</v>
      </c>
      <c r="I3700" s="204"/>
      <c r="J3700" s="75" t="s">
        <v>2276</v>
      </c>
      <c r="K3700" s="75" t="s">
        <v>2276</v>
      </c>
      <c r="L3700" s="75" t="s">
        <v>2276</v>
      </c>
      <c r="M3700" s="75" t="s">
        <v>2276</v>
      </c>
      <c r="N3700" s="75" t="s">
        <v>2276</v>
      </c>
      <c r="O3700" s="75" t="s">
        <v>2276</v>
      </c>
      <c r="P3700" s="75" t="s">
        <v>2276</v>
      </c>
      <c r="Q3700" s="75" t="s">
        <v>2276</v>
      </c>
      <c r="R3700" s="21">
        <v>1.8</v>
      </c>
      <c r="S3700" s="75" t="s">
        <v>2276</v>
      </c>
      <c r="T3700" s="21">
        <f>953172*0.661/14</f>
        <v>45003.335142857148</v>
      </c>
      <c r="U3700" s="75" t="s">
        <v>2276</v>
      </c>
      <c r="V3700" s="75" t="s">
        <v>2276</v>
      </c>
      <c r="W3700" s="75" t="s">
        <v>2276</v>
      </c>
      <c r="X3700" s="21">
        <f>(T3700/'Record info'!K$1519)</f>
        <v>9.4655783760915421E-2</v>
      </c>
      <c r="Y3700" s="75" t="s">
        <v>2276</v>
      </c>
      <c r="Z3700" s="75" t="s">
        <v>2276</v>
      </c>
      <c r="AA3700" s="75" t="s">
        <v>2276</v>
      </c>
      <c r="AB3700" s="75" t="s">
        <v>2276</v>
      </c>
      <c r="AC3700" s="19"/>
      <c r="AD3700" s="204" t="s">
        <v>9686</v>
      </c>
    </row>
    <row r="3701" spans="1:30" ht="52" customHeight="1">
      <c r="A3701" s="11" t="s">
        <v>9674</v>
      </c>
      <c r="B3701" s="11" t="s">
        <v>9690</v>
      </c>
      <c r="C3701" s="204" t="s">
        <v>24</v>
      </c>
      <c r="D3701" s="204" t="s">
        <v>27</v>
      </c>
      <c r="E3701" s="204" t="s">
        <v>130</v>
      </c>
      <c r="F3701" s="204" t="s">
        <v>74</v>
      </c>
      <c r="G3701" s="204" t="s">
        <v>74</v>
      </c>
      <c r="H3701" s="204" t="s">
        <v>523</v>
      </c>
      <c r="I3701" s="204"/>
      <c r="J3701" s="75" t="s">
        <v>2276</v>
      </c>
      <c r="K3701" s="75" t="s">
        <v>2276</v>
      </c>
      <c r="L3701" s="75" t="s">
        <v>2276</v>
      </c>
      <c r="M3701" s="75" t="s">
        <v>2276</v>
      </c>
      <c r="N3701" s="75" t="s">
        <v>2276</v>
      </c>
      <c r="O3701" s="75" t="s">
        <v>2276</v>
      </c>
      <c r="P3701" s="75" t="s">
        <v>2276</v>
      </c>
      <c r="Q3701" s="75" t="s">
        <v>2276</v>
      </c>
      <c r="R3701" s="21">
        <v>1.8</v>
      </c>
      <c r="S3701" s="75" t="s">
        <v>2276</v>
      </c>
      <c r="T3701" s="21">
        <f>1116615.6*0.909/14</f>
        <v>72500.255742857145</v>
      </c>
      <c r="U3701" s="75" t="s">
        <v>2276</v>
      </c>
      <c r="V3701" s="75" t="s">
        <v>2276</v>
      </c>
      <c r="W3701" s="75" t="s">
        <v>2276</v>
      </c>
      <c r="X3701" s="21">
        <f>(T3701/'Record info'!K1520)</f>
        <v>0.11637579093982695</v>
      </c>
      <c r="Y3701" s="75" t="s">
        <v>2276</v>
      </c>
      <c r="Z3701" s="75" t="s">
        <v>2276</v>
      </c>
      <c r="AA3701" s="75" t="s">
        <v>2276</v>
      </c>
      <c r="AB3701" s="75" t="s">
        <v>2276</v>
      </c>
      <c r="AC3701" s="19"/>
      <c r="AD3701" s="204" t="s">
        <v>9686</v>
      </c>
    </row>
    <row r="3702" spans="1:30" ht="52" customHeight="1">
      <c r="A3702" s="11" t="s">
        <v>9675</v>
      </c>
      <c r="B3702" s="11" t="s">
        <v>9693</v>
      </c>
      <c r="C3702" s="204" t="s">
        <v>24</v>
      </c>
      <c r="D3702" s="204" t="s">
        <v>27</v>
      </c>
      <c r="E3702" s="204" t="s">
        <v>130</v>
      </c>
      <c r="F3702" s="204" t="s">
        <v>74</v>
      </c>
      <c r="G3702" s="204" t="s">
        <v>74</v>
      </c>
      <c r="H3702" s="204" t="s">
        <v>523</v>
      </c>
      <c r="I3702" s="204"/>
      <c r="J3702" s="239" t="s">
        <v>2276</v>
      </c>
      <c r="K3702" s="75" t="s">
        <v>2276</v>
      </c>
      <c r="L3702" s="75" t="s">
        <v>2276</v>
      </c>
      <c r="M3702" s="75" t="s">
        <v>2276</v>
      </c>
      <c r="N3702" s="75" t="s">
        <v>2276</v>
      </c>
      <c r="O3702" s="75" t="s">
        <v>2276</v>
      </c>
      <c r="P3702" s="75" t="s">
        <v>2276</v>
      </c>
      <c r="Q3702" s="75" t="s">
        <v>2276</v>
      </c>
      <c r="R3702" s="21">
        <v>1.8</v>
      </c>
      <c r="S3702" s="75" t="s">
        <v>2276</v>
      </c>
      <c r="T3702" s="21">
        <f>233279.8*0.841/14</f>
        <v>14013.450842857143</v>
      </c>
      <c r="U3702" s="75" t="s">
        <v>2276</v>
      </c>
      <c r="V3702" s="75" t="s">
        <v>2276</v>
      </c>
      <c r="W3702" s="75" t="s">
        <v>2276</v>
      </c>
      <c r="X3702" s="21">
        <f>(T3702/'Record info'!K1521)</f>
        <v>5.2354047539880308E-2</v>
      </c>
      <c r="Y3702" s="75" t="s">
        <v>2276</v>
      </c>
      <c r="Z3702" s="75" t="s">
        <v>2276</v>
      </c>
      <c r="AA3702" s="75" t="s">
        <v>2276</v>
      </c>
      <c r="AB3702" s="75" t="s">
        <v>2276</v>
      </c>
      <c r="AC3702" s="19"/>
      <c r="AD3702" s="204" t="s">
        <v>9686</v>
      </c>
    </row>
    <row r="3703" spans="1:30" ht="52" customHeight="1">
      <c r="A3703" s="11" t="s">
        <v>9676</v>
      </c>
      <c r="B3703" s="11" t="s">
        <v>9694</v>
      </c>
      <c r="C3703" s="204" t="s">
        <v>24</v>
      </c>
      <c r="D3703" s="204" t="s">
        <v>27</v>
      </c>
      <c r="E3703" s="204" t="s">
        <v>130</v>
      </c>
      <c r="F3703" s="204" t="s">
        <v>74</v>
      </c>
      <c r="G3703" s="204" t="s">
        <v>74</v>
      </c>
      <c r="H3703" s="204" t="s">
        <v>523</v>
      </c>
      <c r="I3703" s="204"/>
      <c r="J3703" s="239" t="s">
        <v>2276</v>
      </c>
      <c r="K3703" s="75" t="s">
        <v>2276</v>
      </c>
      <c r="L3703" s="75" t="s">
        <v>2276</v>
      </c>
      <c r="M3703" s="75" t="s">
        <v>2276</v>
      </c>
      <c r="N3703" s="75" t="s">
        <v>2276</v>
      </c>
      <c r="O3703" s="75" t="s">
        <v>2276</v>
      </c>
      <c r="P3703" s="75" t="s">
        <v>2276</v>
      </c>
      <c r="Q3703" s="75" t="s">
        <v>2276</v>
      </c>
      <c r="R3703" s="21">
        <v>1.8</v>
      </c>
      <c r="S3703" s="75" t="s">
        <v>2276</v>
      </c>
      <c r="T3703" s="21">
        <f>87266.2*0.191/14</f>
        <v>1190.5602999999999</v>
      </c>
      <c r="U3703" s="75" t="s">
        <v>2276</v>
      </c>
      <c r="V3703" s="75" t="s">
        <v>2276</v>
      </c>
      <c r="W3703" s="75" t="s">
        <v>2276</v>
      </c>
      <c r="X3703" s="21">
        <f>(T3703/'Record info'!K1522)</f>
        <v>4.2444217468805702E-2</v>
      </c>
      <c r="Y3703" s="75" t="s">
        <v>2276</v>
      </c>
      <c r="Z3703" s="75" t="s">
        <v>2276</v>
      </c>
      <c r="AA3703" s="75" t="s">
        <v>2276</v>
      </c>
      <c r="AB3703" s="75" t="s">
        <v>2276</v>
      </c>
      <c r="AC3703" s="19"/>
      <c r="AD3703" s="204" t="s">
        <v>9686</v>
      </c>
    </row>
    <row r="3704" spans="1:30" ht="52" customHeight="1">
      <c r="A3704" s="11" t="s">
        <v>9677</v>
      </c>
      <c r="B3704" s="11" t="s">
        <v>9695</v>
      </c>
      <c r="C3704" s="204" t="s">
        <v>24</v>
      </c>
      <c r="D3704" s="204" t="s">
        <v>27</v>
      </c>
      <c r="E3704" s="204" t="s">
        <v>130</v>
      </c>
      <c r="F3704" s="204" t="s">
        <v>74</v>
      </c>
      <c r="G3704" s="204" t="s">
        <v>74</v>
      </c>
      <c r="H3704" s="204" t="s">
        <v>523</v>
      </c>
      <c r="I3704" s="204"/>
      <c r="J3704" s="239" t="s">
        <v>2276</v>
      </c>
      <c r="K3704" s="75" t="s">
        <v>2276</v>
      </c>
      <c r="L3704" s="75" t="s">
        <v>2276</v>
      </c>
      <c r="M3704" s="75" t="s">
        <v>2276</v>
      </c>
      <c r="N3704" s="75" t="s">
        <v>2276</v>
      </c>
      <c r="O3704" s="75" t="s">
        <v>2276</v>
      </c>
      <c r="P3704" s="75" t="s">
        <v>2276</v>
      </c>
      <c r="Q3704" s="75" t="s">
        <v>2276</v>
      </c>
      <c r="R3704" s="21">
        <v>1.8</v>
      </c>
      <c r="S3704" s="75" t="s">
        <v>2276</v>
      </c>
      <c r="T3704" s="21">
        <f>656098.4*0.712/14</f>
        <v>33367.290057142854</v>
      </c>
      <c r="U3704" s="75" t="s">
        <v>2276</v>
      </c>
      <c r="V3704" s="75" t="s">
        <v>2276</v>
      </c>
      <c r="W3704" s="75" t="s">
        <v>2276</v>
      </c>
      <c r="X3704" s="21">
        <f>(T3704/'Record info'!K1523)</f>
        <v>9.7565175605680857E-2</v>
      </c>
      <c r="Y3704" s="75" t="s">
        <v>2276</v>
      </c>
      <c r="Z3704" s="75" t="s">
        <v>2276</v>
      </c>
      <c r="AA3704" s="75" t="s">
        <v>2276</v>
      </c>
      <c r="AB3704" s="75" t="s">
        <v>2276</v>
      </c>
      <c r="AC3704" s="19"/>
      <c r="AD3704" s="204" t="s">
        <v>9686</v>
      </c>
    </row>
    <row r="3705" spans="1:30" ht="78.5" customHeight="1">
      <c r="A3705" s="11" t="s">
        <v>9672</v>
      </c>
      <c r="B3705" s="11" t="s">
        <v>9684</v>
      </c>
      <c r="C3705" s="204" t="s">
        <v>24</v>
      </c>
      <c r="D3705" s="204" t="s">
        <v>27</v>
      </c>
      <c r="E3705" s="204" t="s">
        <v>130</v>
      </c>
      <c r="F3705" s="204" t="s">
        <v>160</v>
      </c>
      <c r="G3705" s="204" t="s">
        <v>160</v>
      </c>
      <c r="H3705" s="204" t="s">
        <v>523</v>
      </c>
      <c r="I3705" s="204"/>
      <c r="J3705" s="239" t="s">
        <v>2276</v>
      </c>
      <c r="K3705" s="75" t="s">
        <v>2276</v>
      </c>
      <c r="L3705" s="75" t="s">
        <v>2276</v>
      </c>
      <c r="M3705" s="75" t="s">
        <v>2276</v>
      </c>
      <c r="N3705" s="75" t="s">
        <v>2276</v>
      </c>
      <c r="O3705" s="75" t="s">
        <v>2276</v>
      </c>
      <c r="P3705" s="75" t="s">
        <v>2276</v>
      </c>
      <c r="Q3705" s="75" t="s">
        <v>2276</v>
      </c>
      <c r="R3705" s="21">
        <v>1.8</v>
      </c>
      <c r="S3705" s="75" t="s">
        <v>2276</v>
      </c>
      <c r="T3705" s="75" t="s">
        <v>2276</v>
      </c>
      <c r="U3705" s="75" t="s">
        <v>2276</v>
      </c>
      <c r="V3705" s="75" t="s">
        <v>2276</v>
      </c>
      <c r="W3705" s="75" t="s">
        <v>2276</v>
      </c>
      <c r="X3705" s="75" t="s">
        <v>2276</v>
      </c>
      <c r="Y3705" s="75" t="s">
        <v>2276</v>
      </c>
      <c r="Z3705" s="75" t="s">
        <v>2276</v>
      </c>
      <c r="AA3705" s="75" t="s">
        <v>2276</v>
      </c>
      <c r="AB3705" s="75" t="s">
        <v>2276</v>
      </c>
      <c r="AC3705" s="4" t="s">
        <v>9783</v>
      </c>
      <c r="AD3705" s="204"/>
    </row>
    <row r="3706" spans="1:30" ht="52" customHeight="1">
      <c r="A3706" s="11" t="s">
        <v>9673</v>
      </c>
      <c r="B3706" s="11" t="s">
        <v>9688</v>
      </c>
      <c r="C3706" s="204" t="s">
        <v>24</v>
      </c>
      <c r="D3706" s="204" t="s">
        <v>27</v>
      </c>
      <c r="E3706" s="204" t="s">
        <v>130</v>
      </c>
      <c r="F3706" s="204" t="s">
        <v>160</v>
      </c>
      <c r="G3706" s="204" t="s">
        <v>160</v>
      </c>
      <c r="H3706" s="204" t="s">
        <v>523</v>
      </c>
      <c r="I3706" s="204"/>
      <c r="J3706" s="239" t="s">
        <v>2276</v>
      </c>
      <c r="K3706" s="75" t="s">
        <v>2276</v>
      </c>
      <c r="L3706" s="75" t="s">
        <v>2276</v>
      </c>
      <c r="M3706" s="75" t="s">
        <v>2276</v>
      </c>
      <c r="N3706" s="75" t="s">
        <v>2276</v>
      </c>
      <c r="O3706" s="75" t="s">
        <v>2276</v>
      </c>
      <c r="P3706" s="75" t="s">
        <v>2276</v>
      </c>
      <c r="Q3706" s="75" t="s">
        <v>2276</v>
      </c>
      <c r="R3706" s="21">
        <v>1.8</v>
      </c>
      <c r="S3706" s="75" t="s">
        <v>2276</v>
      </c>
      <c r="T3706" s="75" t="s">
        <v>2276</v>
      </c>
      <c r="U3706" s="75" t="s">
        <v>2276</v>
      </c>
      <c r="V3706" s="75" t="s">
        <v>2276</v>
      </c>
      <c r="W3706" s="75" t="s">
        <v>2276</v>
      </c>
      <c r="X3706" s="75" t="s">
        <v>2276</v>
      </c>
      <c r="Y3706" s="75" t="s">
        <v>2276</v>
      </c>
      <c r="Z3706" s="75" t="s">
        <v>2276</v>
      </c>
      <c r="AA3706" s="75" t="s">
        <v>2276</v>
      </c>
      <c r="AB3706" s="75" t="s">
        <v>2276</v>
      </c>
      <c r="AC3706" s="204"/>
      <c r="AD3706" s="204"/>
    </row>
    <row r="3707" spans="1:30" ht="52" customHeight="1">
      <c r="A3707" s="11" t="s">
        <v>9674</v>
      </c>
      <c r="B3707" s="11" t="s">
        <v>9691</v>
      </c>
      <c r="C3707" s="204" t="s">
        <v>24</v>
      </c>
      <c r="D3707" s="204" t="s">
        <v>27</v>
      </c>
      <c r="E3707" s="204" t="s">
        <v>130</v>
      </c>
      <c r="F3707" s="204" t="s">
        <v>160</v>
      </c>
      <c r="G3707" s="204" t="s">
        <v>160</v>
      </c>
      <c r="H3707" s="204" t="s">
        <v>523</v>
      </c>
      <c r="I3707" s="204"/>
      <c r="J3707" s="239" t="s">
        <v>2276</v>
      </c>
      <c r="K3707" s="75" t="s">
        <v>2276</v>
      </c>
      <c r="L3707" s="75" t="s">
        <v>2276</v>
      </c>
      <c r="M3707" s="75" t="s">
        <v>2276</v>
      </c>
      <c r="N3707" s="75" t="s">
        <v>2276</v>
      </c>
      <c r="O3707" s="75" t="s">
        <v>2276</v>
      </c>
      <c r="P3707" s="75" t="s">
        <v>2276</v>
      </c>
      <c r="Q3707" s="75" t="s">
        <v>2276</v>
      </c>
      <c r="R3707" s="21">
        <v>1.8</v>
      </c>
      <c r="S3707" s="75" t="s">
        <v>2276</v>
      </c>
      <c r="T3707" s="75" t="s">
        <v>2276</v>
      </c>
      <c r="U3707" s="75" t="s">
        <v>2276</v>
      </c>
      <c r="V3707" s="75" t="s">
        <v>2276</v>
      </c>
      <c r="W3707" s="75" t="s">
        <v>2276</v>
      </c>
      <c r="X3707" s="75" t="s">
        <v>2276</v>
      </c>
      <c r="Y3707" s="75" t="s">
        <v>2276</v>
      </c>
      <c r="Z3707" s="75" t="s">
        <v>2276</v>
      </c>
      <c r="AA3707" s="75" t="s">
        <v>2276</v>
      </c>
      <c r="AB3707" s="75" t="s">
        <v>2276</v>
      </c>
      <c r="AC3707" s="204"/>
      <c r="AD3707" s="204"/>
    </row>
    <row r="3708" spans="1:30" ht="52" customHeight="1">
      <c r="A3708" s="11" t="s">
        <v>9675</v>
      </c>
      <c r="B3708" s="11" t="s">
        <v>9696</v>
      </c>
      <c r="C3708" s="204" t="s">
        <v>24</v>
      </c>
      <c r="D3708" s="204" t="s">
        <v>27</v>
      </c>
      <c r="E3708" s="204" t="s">
        <v>130</v>
      </c>
      <c r="F3708" s="204" t="s">
        <v>160</v>
      </c>
      <c r="G3708" s="204" t="s">
        <v>160</v>
      </c>
      <c r="H3708" s="204" t="s">
        <v>523</v>
      </c>
      <c r="I3708" s="204"/>
      <c r="J3708" s="239" t="s">
        <v>2276</v>
      </c>
      <c r="K3708" s="75" t="s">
        <v>2276</v>
      </c>
      <c r="L3708" s="75" t="s">
        <v>2276</v>
      </c>
      <c r="M3708" s="75" t="s">
        <v>2276</v>
      </c>
      <c r="N3708" s="75" t="s">
        <v>2276</v>
      </c>
      <c r="O3708" s="75" t="s">
        <v>2276</v>
      </c>
      <c r="P3708" s="75" t="s">
        <v>2276</v>
      </c>
      <c r="Q3708" s="75" t="s">
        <v>2276</v>
      </c>
      <c r="R3708" s="21">
        <v>1.8</v>
      </c>
      <c r="S3708" s="75" t="s">
        <v>2276</v>
      </c>
      <c r="T3708" s="75" t="s">
        <v>2276</v>
      </c>
      <c r="U3708" s="75" t="s">
        <v>2276</v>
      </c>
      <c r="V3708" s="75" t="s">
        <v>2276</v>
      </c>
      <c r="W3708" s="75" t="s">
        <v>2276</v>
      </c>
      <c r="X3708" s="75" t="s">
        <v>2276</v>
      </c>
      <c r="Y3708" s="75" t="s">
        <v>2276</v>
      </c>
      <c r="Z3708" s="75" t="s">
        <v>2276</v>
      </c>
      <c r="AA3708" s="75" t="s">
        <v>2276</v>
      </c>
      <c r="AB3708" s="75" t="s">
        <v>2276</v>
      </c>
      <c r="AC3708" s="204"/>
      <c r="AD3708" s="204"/>
    </row>
    <row r="3709" spans="1:30" ht="52" customHeight="1">
      <c r="A3709" s="11" t="s">
        <v>9676</v>
      </c>
      <c r="B3709" s="11" t="s">
        <v>9697</v>
      </c>
      <c r="C3709" s="204" t="s">
        <v>24</v>
      </c>
      <c r="D3709" s="204" t="s">
        <v>27</v>
      </c>
      <c r="E3709" s="204" t="s">
        <v>130</v>
      </c>
      <c r="F3709" s="204" t="s">
        <v>160</v>
      </c>
      <c r="G3709" s="204" t="s">
        <v>160</v>
      </c>
      <c r="H3709" s="204" t="s">
        <v>523</v>
      </c>
      <c r="I3709" s="204"/>
      <c r="J3709" s="239" t="s">
        <v>2276</v>
      </c>
      <c r="K3709" s="75" t="s">
        <v>2276</v>
      </c>
      <c r="L3709" s="75" t="s">
        <v>2276</v>
      </c>
      <c r="M3709" s="75" t="s">
        <v>2276</v>
      </c>
      <c r="N3709" s="75" t="s">
        <v>2276</v>
      </c>
      <c r="O3709" s="75" t="s">
        <v>2276</v>
      </c>
      <c r="P3709" s="75" t="s">
        <v>2276</v>
      </c>
      <c r="Q3709" s="75" t="s">
        <v>2276</v>
      </c>
      <c r="R3709" s="21">
        <v>1.8</v>
      </c>
      <c r="S3709" s="75" t="s">
        <v>2276</v>
      </c>
      <c r="T3709" s="75" t="s">
        <v>2276</v>
      </c>
      <c r="U3709" s="75" t="s">
        <v>2276</v>
      </c>
      <c r="V3709" s="75" t="s">
        <v>2276</v>
      </c>
      <c r="W3709" s="75" t="s">
        <v>2276</v>
      </c>
      <c r="X3709" s="75" t="s">
        <v>2276</v>
      </c>
      <c r="Y3709" s="75" t="s">
        <v>2276</v>
      </c>
      <c r="Z3709" s="75" t="s">
        <v>2276</v>
      </c>
      <c r="AA3709" s="75" t="s">
        <v>2276</v>
      </c>
      <c r="AB3709" s="75" t="s">
        <v>2276</v>
      </c>
      <c r="AC3709" s="204"/>
      <c r="AD3709" s="204"/>
    </row>
    <row r="3710" spans="1:30" ht="52" customHeight="1">
      <c r="A3710" s="11" t="s">
        <v>9677</v>
      </c>
      <c r="B3710" s="11" t="s">
        <v>9698</v>
      </c>
      <c r="C3710" s="204" t="s">
        <v>24</v>
      </c>
      <c r="D3710" s="204" t="s">
        <v>27</v>
      </c>
      <c r="E3710" s="204" t="s">
        <v>130</v>
      </c>
      <c r="F3710" s="204" t="s">
        <v>160</v>
      </c>
      <c r="G3710" s="204" t="s">
        <v>160</v>
      </c>
      <c r="H3710" s="204" t="s">
        <v>523</v>
      </c>
      <c r="I3710" s="204"/>
      <c r="J3710" s="239" t="s">
        <v>2276</v>
      </c>
      <c r="K3710" s="75" t="s">
        <v>2276</v>
      </c>
      <c r="L3710" s="75" t="s">
        <v>2276</v>
      </c>
      <c r="M3710" s="75" t="s">
        <v>2276</v>
      </c>
      <c r="N3710" s="75" t="s">
        <v>2276</v>
      </c>
      <c r="O3710" s="75" t="s">
        <v>2276</v>
      </c>
      <c r="P3710" s="75" t="s">
        <v>2276</v>
      </c>
      <c r="Q3710" s="75" t="s">
        <v>2276</v>
      </c>
      <c r="R3710" s="21">
        <v>1.8</v>
      </c>
      <c r="S3710" s="75" t="s">
        <v>2276</v>
      </c>
      <c r="T3710" s="75" t="s">
        <v>2276</v>
      </c>
      <c r="U3710" s="75" t="s">
        <v>2276</v>
      </c>
      <c r="V3710" s="75" t="s">
        <v>2276</v>
      </c>
      <c r="W3710" s="75" t="s">
        <v>2276</v>
      </c>
      <c r="X3710" s="75" t="s">
        <v>2276</v>
      </c>
      <c r="Y3710" s="75" t="s">
        <v>2276</v>
      </c>
      <c r="Z3710" s="75" t="s">
        <v>2276</v>
      </c>
      <c r="AA3710" s="75" t="s">
        <v>2276</v>
      </c>
      <c r="AB3710" s="75" t="s">
        <v>2276</v>
      </c>
      <c r="AC3710" s="204"/>
      <c r="AD3710" s="204"/>
    </row>
    <row r="3711" spans="1:30" ht="43.5" customHeight="1">
      <c r="A3711" s="11" t="s">
        <v>9672</v>
      </c>
      <c r="B3711" s="11" t="s">
        <v>9685</v>
      </c>
      <c r="C3711" s="204" t="s">
        <v>24</v>
      </c>
      <c r="D3711" s="204" t="s">
        <v>143</v>
      </c>
      <c r="E3711" s="4" t="s">
        <v>397</v>
      </c>
      <c r="F3711" s="204" t="s">
        <v>74</v>
      </c>
      <c r="G3711" s="204" t="s">
        <v>74</v>
      </c>
      <c r="H3711" s="204" t="s">
        <v>523</v>
      </c>
      <c r="I3711" s="204"/>
      <c r="J3711" s="239" t="s">
        <v>2276</v>
      </c>
      <c r="K3711" s="239" t="s">
        <v>2276</v>
      </c>
      <c r="L3711" s="239" t="s">
        <v>2276</v>
      </c>
      <c r="M3711" s="239" t="s">
        <v>2276</v>
      </c>
      <c r="N3711" s="239" t="s">
        <v>2276</v>
      </c>
      <c r="O3711" s="239" t="s">
        <v>2276</v>
      </c>
      <c r="P3711" s="239" t="s">
        <v>2276</v>
      </c>
      <c r="Q3711" s="239" t="s">
        <v>2276</v>
      </c>
      <c r="R3711" s="21">
        <v>1.8</v>
      </c>
      <c r="S3711" s="75" t="s">
        <v>2276</v>
      </c>
      <c r="T3711" s="21">
        <f>126176.6*0.537/14</f>
        <v>4839.7738714285724</v>
      </c>
      <c r="U3711" s="75" t="s">
        <v>2276</v>
      </c>
      <c r="V3711" s="75" t="s">
        <v>2276</v>
      </c>
      <c r="W3711" s="75" t="s">
        <v>2276</v>
      </c>
      <c r="X3711" s="21">
        <f>(T3711/'Record info'!K$1518)</f>
        <v>2.0638694547669817E-3</v>
      </c>
      <c r="Y3711" s="75" t="s">
        <v>2276</v>
      </c>
      <c r="Z3711" s="75" t="s">
        <v>2276</v>
      </c>
      <c r="AA3711" s="75" t="s">
        <v>2276</v>
      </c>
      <c r="AB3711" s="75" t="s">
        <v>2276</v>
      </c>
      <c r="AC3711" s="204"/>
      <c r="AD3711" s="204"/>
    </row>
    <row r="3712" spans="1:30" ht="43.5" customHeight="1">
      <c r="A3712" s="11" t="s">
        <v>9673</v>
      </c>
      <c r="B3712" s="11" t="s">
        <v>9689</v>
      </c>
      <c r="C3712" s="204" t="s">
        <v>24</v>
      </c>
      <c r="D3712" s="204" t="s">
        <v>143</v>
      </c>
      <c r="E3712" s="4" t="s">
        <v>397</v>
      </c>
      <c r="F3712" s="204" t="s">
        <v>74</v>
      </c>
      <c r="G3712" s="204" t="s">
        <v>74</v>
      </c>
      <c r="H3712" s="204" t="s">
        <v>523</v>
      </c>
      <c r="I3712" s="204"/>
      <c r="J3712" s="239" t="s">
        <v>2276</v>
      </c>
      <c r="K3712" s="239" t="s">
        <v>2276</v>
      </c>
      <c r="L3712" s="239" t="s">
        <v>2276</v>
      </c>
      <c r="M3712" s="239" t="s">
        <v>2276</v>
      </c>
      <c r="N3712" s="239" t="s">
        <v>2276</v>
      </c>
      <c r="O3712" s="239" t="s">
        <v>2276</v>
      </c>
      <c r="P3712" s="239" t="s">
        <v>2276</v>
      </c>
      <c r="Q3712" s="239" t="s">
        <v>2276</v>
      </c>
      <c r="R3712" s="21">
        <v>1.8</v>
      </c>
      <c r="S3712" s="75" t="s">
        <v>2276</v>
      </c>
      <c r="T3712" s="21">
        <f>172557*0.661/14</f>
        <v>8147.1555000000008</v>
      </c>
      <c r="U3712" s="75" t="s">
        <v>2276</v>
      </c>
      <c r="V3712" s="75" t="s">
        <v>2276</v>
      </c>
      <c r="W3712" s="75" t="s">
        <v>2276</v>
      </c>
      <c r="X3712" s="21">
        <f>(T3712/'Record info'!K$1519)</f>
        <v>1.7135960853269169E-2</v>
      </c>
      <c r="Y3712" s="75" t="s">
        <v>2276</v>
      </c>
      <c r="Z3712" s="75" t="s">
        <v>2276</v>
      </c>
      <c r="AA3712" s="75" t="s">
        <v>2276</v>
      </c>
      <c r="AB3712" s="75" t="s">
        <v>2276</v>
      </c>
      <c r="AC3712" s="204"/>
      <c r="AD3712" s="204"/>
    </row>
    <row r="3713" spans="1:30" ht="43.5" customHeight="1">
      <c r="A3713" s="11" t="s">
        <v>9674</v>
      </c>
      <c r="B3713" s="11" t="s">
        <v>9692</v>
      </c>
      <c r="C3713" s="204" t="s">
        <v>24</v>
      </c>
      <c r="D3713" s="204" t="s">
        <v>143</v>
      </c>
      <c r="E3713" s="4" t="s">
        <v>397</v>
      </c>
      <c r="F3713" s="204" t="s">
        <v>74</v>
      </c>
      <c r="G3713" s="204" t="s">
        <v>74</v>
      </c>
      <c r="H3713" s="204" t="s">
        <v>523</v>
      </c>
      <c r="I3713" s="204"/>
      <c r="J3713" s="239" t="s">
        <v>2276</v>
      </c>
      <c r="K3713" s="239" t="s">
        <v>2276</v>
      </c>
      <c r="L3713" s="239" t="s">
        <v>2276</v>
      </c>
      <c r="M3713" s="239" t="s">
        <v>2276</v>
      </c>
      <c r="N3713" s="239" t="s">
        <v>2276</v>
      </c>
      <c r="O3713" s="239" t="s">
        <v>2276</v>
      </c>
      <c r="P3713" s="239" t="s">
        <v>2276</v>
      </c>
      <c r="Q3713" s="239" t="s">
        <v>2276</v>
      </c>
      <c r="R3713" s="21">
        <v>1.8</v>
      </c>
      <c r="S3713" s="75" t="s">
        <v>2276</v>
      </c>
      <c r="T3713" s="21">
        <f>47907.6*0.909/14</f>
        <v>3110.5720285714283</v>
      </c>
      <c r="U3713" s="75" t="s">
        <v>2276</v>
      </c>
      <c r="V3713" s="75" t="s">
        <v>2276</v>
      </c>
      <c r="W3713" s="75" t="s">
        <v>2276</v>
      </c>
      <c r="X3713" s="21">
        <f>(T3713/'Record info'!K1520)</f>
        <v>4.993020733391914E-3</v>
      </c>
      <c r="Y3713" s="75" t="s">
        <v>2276</v>
      </c>
      <c r="Z3713" s="75" t="s">
        <v>2276</v>
      </c>
      <c r="AA3713" s="75" t="s">
        <v>2276</v>
      </c>
      <c r="AB3713" s="75" t="s">
        <v>2276</v>
      </c>
      <c r="AC3713" s="204"/>
      <c r="AD3713" s="4"/>
    </row>
    <row r="3714" spans="1:30" ht="44.5" customHeight="1">
      <c r="A3714" s="11" t="s">
        <v>9672</v>
      </c>
      <c r="B3714" s="11" t="s">
        <v>9699</v>
      </c>
      <c r="C3714" s="204" t="s">
        <v>24</v>
      </c>
      <c r="D3714" s="204" t="s">
        <v>143</v>
      </c>
      <c r="E3714" s="204" t="s">
        <v>84</v>
      </c>
      <c r="F3714" s="204" t="s">
        <v>74</v>
      </c>
      <c r="G3714" s="204" t="s">
        <v>74</v>
      </c>
      <c r="H3714" s="204" t="s">
        <v>523</v>
      </c>
      <c r="I3714" s="204"/>
      <c r="J3714" s="239" t="s">
        <v>2276</v>
      </c>
      <c r="K3714" s="239" t="s">
        <v>2276</v>
      </c>
      <c r="L3714" s="239" t="s">
        <v>2276</v>
      </c>
      <c r="M3714" s="239" t="s">
        <v>2276</v>
      </c>
      <c r="N3714" s="239" t="s">
        <v>2276</v>
      </c>
      <c r="O3714" s="239" t="s">
        <v>2276</v>
      </c>
      <c r="P3714" s="239" t="s">
        <v>2276</v>
      </c>
      <c r="Q3714" s="239" t="s">
        <v>2276</v>
      </c>
      <c r="R3714" s="75" t="s">
        <v>2276</v>
      </c>
      <c r="S3714" s="75" t="s">
        <v>2276</v>
      </c>
      <c r="T3714" s="75" t="s">
        <v>2276</v>
      </c>
      <c r="U3714" s="75" t="s">
        <v>2276</v>
      </c>
      <c r="V3714" s="75" t="s">
        <v>2276</v>
      </c>
      <c r="W3714" s="75" t="s">
        <v>2276</v>
      </c>
      <c r="X3714" s="75" t="s">
        <v>2276</v>
      </c>
      <c r="Y3714" s="75" t="s">
        <v>2276</v>
      </c>
      <c r="Z3714" s="75" t="s">
        <v>2276</v>
      </c>
      <c r="AA3714" s="75" t="s">
        <v>2276</v>
      </c>
      <c r="AB3714" s="75" t="s">
        <v>2276</v>
      </c>
      <c r="AC3714" s="204"/>
      <c r="AD3714" s="4" t="s">
        <v>9704</v>
      </c>
    </row>
    <row r="3715" spans="1:30" ht="44.5" customHeight="1">
      <c r="A3715" s="11" t="s">
        <v>9673</v>
      </c>
      <c r="B3715" s="11" t="s">
        <v>9700</v>
      </c>
      <c r="C3715" s="204" t="s">
        <v>24</v>
      </c>
      <c r="D3715" s="204" t="s">
        <v>143</v>
      </c>
      <c r="E3715" s="204" t="s">
        <v>84</v>
      </c>
      <c r="F3715" s="204" t="s">
        <v>74</v>
      </c>
      <c r="G3715" s="204" t="s">
        <v>74</v>
      </c>
      <c r="H3715" s="204" t="s">
        <v>523</v>
      </c>
      <c r="I3715" s="204"/>
      <c r="J3715" s="239" t="s">
        <v>2276</v>
      </c>
      <c r="K3715" s="239" t="s">
        <v>2276</v>
      </c>
      <c r="L3715" s="239" t="s">
        <v>2276</v>
      </c>
      <c r="M3715" s="239" t="s">
        <v>2276</v>
      </c>
      <c r="N3715" s="239" t="s">
        <v>2276</v>
      </c>
      <c r="O3715" s="239" t="s">
        <v>2276</v>
      </c>
      <c r="P3715" s="239" t="s">
        <v>2276</v>
      </c>
      <c r="Q3715" s="239" t="s">
        <v>2276</v>
      </c>
      <c r="R3715" s="75" t="s">
        <v>2276</v>
      </c>
      <c r="S3715" s="75" t="s">
        <v>2276</v>
      </c>
      <c r="T3715" s="75" t="s">
        <v>2276</v>
      </c>
      <c r="U3715" s="75" t="s">
        <v>2276</v>
      </c>
      <c r="V3715" s="75" t="s">
        <v>2276</v>
      </c>
      <c r="W3715" s="75" t="s">
        <v>2276</v>
      </c>
      <c r="X3715" s="75" t="s">
        <v>2276</v>
      </c>
      <c r="Y3715" s="75" t="s">
        <v>2276</v>
      </c>
      <c r="Z3715" s="75" t="s">
        <v>2276</v>
      </c>
      <c r="AA3715" s="75" t="s">
        <v>2276</v>
      </c>
      <c r="AB3715" s="75" t="s">
        <v>2276</v>
      </c>
      <c r="AC3715" s="204"/>
      <c r="AD3715" s="4" t="s">
        <v>9704</v>
      </c>
    </row>
    <row r="3716" spans="1:30" ht="44.5" customHeight="1">
      <c r="A3716" s="11" t="s">
        <v>9675</v>
      </c>
      <c r="B3716" s="11" t="s">
        <v>9701</v>
      </c>
      <c r="C3716" s="204" t="s">
        <v>24</v>
      </c>
      <c r="D3716" s="204" t="s">
        <v>143</v>
      </c>
      <c r="E3716" s="204" t="s">
        <v>84</v>
      </c>
      <c r="F3716" s="204" t="s">
        <v>74</v>
      </c>
      <c r="G3716" s="204" t="s">
        <v>74</v>
      </c>
      <c r="H3716" s="204" t="s">
        <v>523</v>
      </c>
      <c r="I3716" s="204"/>
      <c r="J3716" s="239" t="s">
        <v>2276</v>
      </c>
      <c r="K3716" s="239" t="s">
        <v>2276</v>
      </c>
      <c r="L3716" s="239" t="s">
        <v>2276</v>
      </c>
      <c r="M3716" s="239" t="s">
        <v>2276</v>
      </c>
      <c r="N3716" s="239" t="s">
        <v>2276</v>
      </c>
      <c r="O3716" s="239" t="s">
        <v>2276</v>
      </c>
      <c r="P3716" s="239" t="s">
        <v>2276</v>
      </c>
      <c r="Q3716" s="239" t="s">
        <v>2276</v>
      </c>
      <c r="R3716" s="75" t="s">
        <v>2276</v>
      </c>
      <c r="S3716" s="75" t="s">
        <v>2276</v>
      </c>
      <c r="T3716" s="75" t="s">
        <v>2276</v>
      </c>
      <c r="U3716" s="75" t="s">
        <v>2276</v>
      </c>
      <c r="V3716" s="75" t="s">
        <v>2276</v>
      </c>
      <c r="W3716" s="75" t="s">
        <v>2276</v>
      </c>
      <c r="X3716" s="75" t="s">
        <v>2276</v>
      </c>
      <c r="Y3716" s="75" t="s">
        <v>2276</v>
      </c>
      <c r="Z3716" s="75" t="s">
        <v>2276</v>
      </c>
      <c r="AA3716" s="75" t="s">
        <v>2276</v>
      </c>
      <c r="AB3716" s="75" t="s">
        <v>2276</v>
      </c>
      <c r="AC3716" s="204"/>
      <c r="AD3716" s="4" t="s">
        <v>9704</v>
      </c>
    </row>
    <row r="3717" spans="1:30" ht="44.5" customHeight="1">
      <c r="A3717" s="11" t="s">
        <v>9676</v>
      </c>
      <c r="B3717" s="11" t="s">
        <v>9702</v>
      </c>
      <c r="C3717" s="204" t="s">
        <v>24</v>
      </c>
      <c r="D3717" s="204" t="s">
        <v>143</v>
      </c>
      <c r="E3717" s="204" t="s">
        <v>84</v>
      </c>
      <c r="F3717" s="204" t="s">
        <v>74</v>
      </c>
      <c r="G3717" s="204" t="s">
        <v>74</v>
      </c>
      <c r="H3717" s="204" t="s">
        <v>523</v>
      </c>
      <c r="I3717" s="204"/>
      <c r="J3717" s="239" t="s">
        <v>2276</v>
      </c>
      <c r="K3717" s="239" t="s">
        <v>2276</v>
      </c>
      <c r="L3717" s="239" t="s">
        <v>2276</v>
      </c>
      <c r="M3717" s="239" t="s">
        <v>2276</v>
      </c>
      <c r="N3717" s="239" t="s">
        <v>2276</v>
      </c>
      <c r="O3717" s="239" t="s">
        <v>2276</v>
      </c>
      <c r="P3717" s="239" t="s">
        <v>2276</v>
      </c>
      <c r="Q3717" s="239" t="s">
        <v>2276</v>
      </c>
      <c r="R3717" s="75" t="s">
        <v>2276</v>
      </c>
      <c r="S3717" s="75" t="s">
        <v>2276</v>
      </c>
      <c r="T3717" s="75" t="s">
        <v>2276</v>
      </c>
      <c r="U3717" s="75" t="s">
        <v>2276</v>
      </c>
      <c r="V3717" s="75" t="s">
        <v>2276</v>
      </c>
      <c r="W3717" s="75" t="s">
        <v>2276</v>
      </c>
      <c r="X3717" s="75" t="s">
        <v>2276</v>
      </c>
      <c r="Y3717" s="75" t="s">
        <v>2276</v>
      </c>
      <c r="Z3717" s="75" t="s">
        <v>2276</v>
      </c>
      <c r="AA3717" s="75" t="s">
        <v>2276</v>
      </c>
      <c r="AB3717" s="75" t="s">
        <v>2276</v>
      </c>
      <c r="AC3717" s="204"/>
      <c r="AD3717" s="4" t="s">
        <v>9704</v>
      </c>
    </row>
    <row r="3718" spans="1:30" ht="44.5" customHeight="1">
      <c r="A3718" s="11" t="s">
        <v>9677</v>
      </c>
      <c r="B3718" s="11" t="s">
        <v>9703</v>
      </c>
      <c r="C3718" s="204" t="s">
        <v>24</v>
      </c>
      <c r="D3718" s="204" t="s">
        <v>143</v>
      </c>
      <c r="E3718" s="204" t="s">
        <v>84</v>
      </c>
      <c r="F3718" s="204" t="s">
        <v>74</v>
      </c>
      <c r="G3718" s="204" t="s">
        <v>74</v>
      </c>
      <c r="H3718" s="204" t="s">
        <v>523</v>
      </c>
      <c r="I3718" s="204"/>
      <c r="J3718" s="239" t="s">
        <v>2276</v>
      </c>
      <c r="K3718" s="239" t="s">
        <v>2276</v>
      </c>
      <c r="L3718" s="239" t="s">
        <v>2276</v>
      </c>
      <c r="M3718" s="239" t="s">
        <v>2276</v>
      </c>
      <c r="N3718" s="239" t="s">
        <v>2276</v>
      </c>
      <c r="O3718" s="239" t="s">
        <v>2276</v>
      </c>
      <c r="P3718" s="239" t="s">
        <v>2276</v>
      </c>
      <c r="Q3718" s="239" t="s">
        <v>2276</v>
      </c>
      <c r="R3718" s="75" t="s">
        <v>2276</v>
      </c>
      <c r="S3718" s="75" t="s">
        <v>2276</v>
      </c>
      <c r="T3718" s="75" t="s">
        <v>2276</v>
      </c>
      <c r="U3718" s="75" t="s">
        <v>2276</v>
      </c>
      <c r="V3718" s="75" t="s">
        <v>2276</v>
      </c>
      <c r="W3718" s="75" t="s">
        <v>2276</v>
      </c>
      <c r="X3718" s="75" t="s">
        <v>2276</v>
      </c>
      <c r="Y3718" s="75" t="s">
        <v>2276</v>
      </c>
      <c r="Z3718" s="75" t="s">
        <v>2276</v>
      </c>
      <c r="AA3718" s="75" t="s">
        <v>2276</v>
      </c>
      <c r="AB3718" s="75" t="s">
        <v>2276</v>
      </c>
      <c r="AC3718" s="204"/>
      <c r="AD3718" s="4" t="s">
        <v>9704</v>
      </c>
    </row>
    <row r="3719" spans="1:30" ht="33.5" customHeight="1">
      <c r="A3719" s="11" t="s">
        <v>9672</v>
      </c>
      <c r="B3719" s="11" t="s">
        <v>9705</v>
      </c>
      <c r="C3719" s="204" t="s">
        <v>24</v>
      </c>
      <c r="D3719" s="204" t="s">
        <v>143</v>
      </c>
      <c r="E3719" s="204" t="s">
        <v>2653</v>
      </c>
      <c r="F3719" s="204" t="s">
        <v>74</v>
      </c>
      <c r="G3719" s="204" t="s">
        <v>74</v>
      </c>
      <c r="H3719" s="204" t="s">
        <v>523</v>
      </c>
      <c r="I3719" s="204"/>
      <c r="J3719" s="239" t="s">
        <v>2276</v>
      </c>
      <c r="K3719" s="239" t="s">
        <v>2276</v>
      </c>
      <c r="L3719" s="239" t="s">
        <v>2276</v>
      </c>
      <c r="M3719" s="239" t="s">
        <v>2276</v>
      </c>
      <c r="N3719" s="239" t="s">
        <v>2276</v>
      </c>
      <c r="O3719" s="239" t="s">
        <v>2276</v>
      </c>
      <c r="P3719" s="239" t="s">
        <v>2276</v>
      </c>
      <c r="Q3719" s="239" t="s">
        <v>2276</v>
      </c>
      <c r="R3719" s="239" t="s">
        <v>2276</v>
      </c>
      <c r="S3719" s="239" t="s">
        <v>2276</v>
      </c>
      <c r="T3719" s="239" t="s">
        <v>2276</v>
      </c>
      <c r="U3719" s="239" t="s">
        <v>2276</v>
      </c>
      <c r="V3719" s="239" t="s">
        <v>2276</v>
      </c>
      <c r="W3719" s="239" t="s">
        <v>2276</v>
      </c>
      <c r="X3719" s="239" t="s">
        <v>2276</v>
      </c>
      <c r="Y3719" s="239" t="s">
        <v>2276</v>
      </c>
      <c r="Z3719" s="239" t="s">
        <v>2276</v>
      </c>
      <c r="AA3719" s="239" t="s">
        <v>2276</v>
      </c>
      <c r="AB3719" s="239" t="s">
        <v>2276</v>
      </c>
      <c r="AC3719" s="239"/>
      <c r="AD3719" s="239" t="s">
        <v>9727</v>
      </c>
    </row>
    <row r="3720" spans="1:30" ht="36" customHeight="1">
      <c r="A3720" s="11" t="s">
        <v>9673</v>
      </c>
      <c r="B3720" s="11" t="s">
        <v>9706</v>
      </c>
      <c r="C3720" s="204" t="s">
        <v>24</v>
      </c>
      <c r="D3720" s="204" t="s">
        <v>143</v>
      </c>
      <c r="E3720" s="204" t="s">
        <v>2653</v>
      </c>
      <c r="F3720" s="204" t="s">
        <v>74</v>
      </c>
      <c r="G3720" s="204" t="s">
        <v>74</v>
      </c>
      <c r="H3720" s="204" t="s">
        <v>523</v>
      </c>
      <c r="I3720" s="204"/>
      <c r="J3720" s="239" t="s">
        <v>2276</v>
      </c>
      <c r="K3720" s="239" t="s">
        <v>2276</v>
      </c>
      <c r="L3720" s="239" t="s">
        <v>2276</v>
      </c>
      <c r="M3720" s="239" t="s">
        <v>2276</v>
      </c>
      <c r="N3720" s="239" t="s">
        <v>2276</v>
      </c>
      <c r="O3720" s="239" t="s">
        <v>2276</v>
      </c>
      <c r="P3720" s="239" t="s">
        <v>2276</v>
      </c>
      <c r="Q3720" s="239" t="s">
        <v>2276</v>
      </c>
      <c r="R3720" s="239" t="s">
        <v>2276</v>
      </c>
      <c r="S3720" s="239" t="s">
        <v>2276</v>
      </c>
      <c r="T3720" s="239" t="s">
        <v>2276</v>
      </c>
      <c r="U3720" s="239" t="s">
        <v>2276</v>
      </c>
      <c r="V3720" s="239" t="s">
        <v>2276</v>
      </c>
      <c r="W3720" s="239" t="s">
        <v>2276</v>
      </c>
      <c r="X3720" s="239" t="s">
        <v>2276</v>
      </c>
      <c r="Y3720" s="239" t="s">
        <v>2276</v>
      </c>
      <c r="Z3720" s="239" t="s">
        <v>2276</v>
      </c>
      <c r="AA3720" s="239" t="s">
        <v>2276</v>
      </c>
      <c r="AB3720" s="239" t="s">
        <v>2276</v>
      </c>
      <c r="AC3720" s="239"/>
      <c r="AD3720" s="239" t="s">
        <v>9727</v>
      </c>
    </row>
    <row r="3721" spans="1:30" s="203" customFormat="1" ht="36" customHeight="1">
      <c r="A3721" s="11" t="s">
        <v>9674</v>
      </c>
      <c r="B3721" s="11" t="s">
        <v>9710</v>
      </c>
      <c r="C3721" s="204" t="s">
        <v>24</v>
      </c>
      <c r="D3721" s="204" t="s">
        <v>143</v>
      </c>
      <c r="E3721" s="204" t="s">
        <v>2653</v>
      </c>
      <c r="F3721" s="204" t="s">
        <v>74</v>
      </c>
      <c r="G3721" s="204" t="s">
        <v>74</v>
      </c>
      <c r="H3721" s="204" t="s">
        <v>523</v>
      </c>
      <c r="I3721" s="204"/>
      <c r="J3721" s="239" t="s">
        <v>2276</v>
      </c>
      <c r="K3721" s="239" t="s">
        <v>2276</v>
      </c>
      <c r="L3721" s="239" t="s">
        <v>2276</v>
      </c>
      <c r="M3721" s="239" t="s">
        <v>2276</v>
      </c>
      <c r="N3721" s="239" t="s">
        <v>2276</v>
      </c>
      <c r="O3721" s="239" t="s">
        <v>2276</v>
      </c>
      <c r="P3721" s="239" t="s">
        <v>2276</v>
      </c>
      <c r="Q3721" s="239" t="s">
        <v>2276</v>
      </c>
      <c r="R3721" s="239" t="s">
        <v>2276</v>
      </c>
      <c r="S3721" s="239" t="s">
        <v>2276</v>
      </c>
      <c r="T3721" s="239" t="s">
        <v>2276</v>
      </c>
      <c r="U3721" s="239" t="s">
        <v>2276</v>
      </c>
      <c r="V3721" s="239" t="s">
        <v>2276</v>
      </c>
      <c r="W3721" s="239" t="s">
        <v>2276</v>
      </c>
      <c r="X3721" s="239" t="s">
        <v>2276</v>
      </c>
      <c r="Y3721" s="239" t="s">
        <v>2276</v>
      </c>
      <c r="Z3721" s="239" t="s">
        <v>2276</v>
      </c>
      <c r="AA3721" s="239" t="s">
        <v>2276</v>
      </c>
      <c r="AB3721" s="239" t="s">
        <v>2276</v>
      </c>
      <c r="AC3721" s="239"/>
      <c r="AD3721" s="239" t="s">
        <v>9727</v>
      </c>
    </row>
    <row r="3722" spans="1:30" ht="36" customHeight="1">
      <c r="A3722" s="11" t="s">
        <v>9675</v>
      </c>
      <c r="B3722" s="11" t="s">
        <v>9707</v>
      </c>
      <c r="C3722" s="204" t="s">
        <v>24</v>
      </c>
      <c r="D3722" s="204" t="s">
        <v>143</v>
      </c>
      <c r="E3722" s="204" t="s">
        <v>2653</v>
      </c>
      <c r="F3722" s="204" t="s">
        <v>74</v>
      </c>
      <c r="G3722" s="204" t="s">
        <v>74</v>
      </c>
      <c r="H3722" s="204" t="s">
        <v>523</v>
      </c>
      <c r="I3722" s="204"/>
      <c r="J3722" s="239" t="s">
        <v>2276</v>
      </c>
      <c r="K3722" s="239" t="s">
        <v>2276</v>
      </c>
      <c r="L3722" s="239" t="s">
        <v>2276</v>
      </c>
      <c r="M3722" s="239" t="s">
        <v>2276</v>
      </c>
      <c r="N3722" s="239" t="s">
        <v>2276</v>
      </c>
      <c r="O3722" s="239" t="s">
        <v>2276</v>
      </c>
      <c r="P3722" s="239" t="s">
        <v>2276</v>
      </c>
      <c r="Q3722" s="239" t="s">
        <v>2276</v>
      </c>
      <c r="R3722" s="239" t="s">
        <v>2276</v>
      </c>
      <c r="S3722" s="239" t="s">
        <v>2276</v>
      </c>
      <c r="T3722" s="239" t="s">
        <v>2276</v>
      </c>
      <c r="U3722" s="239" t="s">
        <v>2276</v>
      </c>
      <c r="V3722" s="239" t="s">
        <v>2276</v>
      </c>
      <c r="W3722" s="239" t="s">
        <v>2276</v>
      </c>
      <c r="X3722" s="239" t="s">
        <v>2276</v>
      </c>
      <c r="Y3722" s="239" t="s">
        <v>2276</v>
      </c>
      <c r="Z3722" s="239" t="s">
        <v>2276</v>
      </c>
      <c r="AA3722" s="239" t="s">
        <v>2276</v>
      </c>
      <c r="AB3722" s="239" t="s">
        <v>2276</v>
      </c>
      <c r="AC3722" s="239"/>
      <c r="AD3722" s="239" t="s">
        <v>9727</v>
      </c>
    </row>
    <row r="3723" spans="1:30" ht="36" customHeight="1">
      <c r="A3723" s="11" t="s">
        <v>9676</v>
      </c>
      <c r="B3723" s="11" t="s">
        <v>9708</v>
      </c>
      <c r="C3723" s="204" t="s">
        <v>24</v>
      </c>
      <c r="D3723" s="204" t="s">
        <v>143</v>
      </c>
      <c r="E3723" s="204" t="s">
        <v>2653</v>
      </c>
      <c r="F3723" s="204" t="s">
        <v>74</v>
      </c>
      <c r="G3723" s="204" t="s">
        <v>74</v>
      </c>
      <c r="H3723" s="204" t="s">
        <v>523</v>
      </c>
      <c r="I3723" s="204"/>
      <c r="J3723" s="239" t="s">
        <v>2276</v>
      </c>
      <c r="K3723" s="239" t="s">
        <v>2276</v>
      </c>
      <c r="L3723" s="239" t="s">
        <v>2276</v>
      </c>
      <c r="M3723" s="239" t="s">
        <v>2276</v>
      </c>
      <c r="N3723" s="239" t="s">
        <v>2276</v>
      </c>
      <c r="O3723" s="239" t="s">
        <v>2276</v>
      </c>
      <c r="P3723" s="239" t="s">
        <v>2276</v>
      </c>
      <c r="Q3723" s="239" t="s">
        <v>2276</v>
      </c>
      <c r="R3723" s="239" t="s">
        <v>2276</v>
      </c>
      <c r="S3723" s="239" t="s">
        <v>2276</v>
      </c>
      <c r="T3723" s="239" t="s">
        <v>2276</v>
      </c>
      <c r="U3723" s="239" t="s">
        <v>2276</v>
      </c>
      <c r="V3723" s="239" t="s">
        <v>2276</v>
      </c>
      <c r="W3723" s="239" t="s">
        <v>2276</v>
      </c>
      <c r="X3723" s="239" t="s">
        <v>2276</v>
      </c>
      <c r="Y3723" s="239" t="s">
        <v>2276</v>
      </c>
      <c r="Z3723" s="239" t="s">
        <v>2276</v>
      </c>
      <c r="AA3723" s="239" t="s">
        <v>2276</v>
      </c>
      <c r="AB3723" s="239" t="s">
        <v>2276</v>
      </c>
      <c r="AC3723" s="239"/>
      <c r="AD3723" s="239" t="s">
        <v>9727</v>
      </c>
    </row>
    <row r="3724" spans="1:30" ht="36" customHeight="1">
      <c r="A3724" s="11" t="s">
        <v>9677</v>
      </c>
      <c r="B3724" s="11" t="s">
        <v>9709</v>
      </c>
      <c r="C3724" s="204" t="s">
        <v>24</v>
      </c>
      <c r="D3724" s="204" t="s">
        <v>143</v>
      </c>
      <c r="E3724" s="204" t="s">
        <v>2653</v>
      </c>
      <c r="F3724" s="204" t="s">
        <v>74</v>
      </c>
      <c r="G3724" s="204" t="s">
        <v>74</v>
      </c>
      <c r="H3724" s="204" t="s">
        <v>523</v>
      </c>
      <c r="I3724" s="204"/>
      <c r="J3724" s="239" t="s">
        <v>2276</v>
      </c>
      <c r="K3724" s="239" t="s">
        <v>2276</v>
      </c>
      <c r="L3724" s="239" t="s">
        <v>2276</v>
      </c>
      <c r="M3724" s="239" t="s">
        <v>2276</v>
      </c>
      <c r="N3724" s="239" t="s">
        <v>2276</v>
      </c>
      <c r="O3724" s="239" t="s">
        <v>2276</v>
      </c>
      <c r="P3724" s="239" t="s">
        <v>2276</v>
      </c>
      <c r="Q3724" s="239" t="s">
        <v>2276</v>
      </c>
      <c r="R3724" s="239" t="s">
        <v>2276</v>
      </c>
      <c r="S3724" s="239" t="s">
        <v>2276</v>
      </c>
      <c r="T3724" s="239" t="s">
        <v>2276</v>
      </c>
      <c r="U3724" s="239" t="s">
        <v>2276</v>
      </c>
      <c r="V3724" s="239" t="s">
        <v>2276</v>
      </c>
      <c r="W3724" s="239" t="s">
        <v>2276</v>
      </c>
      <c r="X3724" s="239" t="s">
        <v>2276</v>
      </c>
      <c r="Y3724" s="239" t="s">
        <v>2276</v>
      </c>
      <c r="Z3724" s="239" t="s">
        <v>2276</v>
      </c>
      <c r="AA3724" s="239" t="s">
        <v>2276</v>
      </c>
      <c r="AB3724" s="239" t="s">
        <v>2276</v>
      </c>
      <c r="AC3724" s="239"/>
      <c r="AD3724" s="239" t="s">
        <v>9727</v>
      </c>
    </row>
    <row r="3725" spans="1:30" ht="36" customHeight="1">
      <c r="A3725" s="11" t="s">
        <v>9672</v>
      </c>
      <c r="B3725" s="11" t="s">
        <v>9711</v>
      </c>
      <c r="C3725" s="204" t="s">
        <v>24</v>
      </c>
      <c r="D3725" s="204" t="s">
        <v>143</v>
      </c>
      <c r="E3725" s="204" t="s">
        <v>84</v>
      </c>
      <c r="F3725" s="204" t="s">
        <v>160</v>
      </c>
      <c r="G3725" s="204" t="s">
        <v>160</v>
      </c>
      <c r="H3725" s="204" t="s">
        <v>523</v>
      </c>
      <c r="I3725" s="204"/>
      <c r="J3725" s="239" t="s">
        <v>2276</v>
      </c>
      <c r="K3725" s="239" t="s">
        <v>2276</v>
      </c>
      <c r="L3725" s="239" t="s">
        <v>2276</v>
      </c>
      <c r="M3725" s="239" t="s">
        <v>2276</v>
      </c>
      <c r="N3725" s="239" t="s">
        <v>2276</v>
      </c>
      <c r="O3725" s="239" t="s">
        <v>2276</v>
      </c>
      <c r="P3725" s="239" t="s">
        <v>2276</v>
      </c>
      <c r="Q3725" s="239" t="s">
        <v>2276</v>
      </c>
      <c r="R3725" s="75" t="s">
        <v>2276</v>
      </c>
      <c r="S3725" s="75" t="s">
        <v>2276</v>
      </c>
      <c r="T3725" s="75" t="s">
        <v>2276</v>
      </c>
      <c r="U3725" s="75" t="s">
        <v>2276</v>
      </c>
      <c r="V3725" s="75" t="s">
        <v>2276</v>
      </c>
      <c r="W3725" s="75" t="s">
        <v>2276</v>
      </c>
      <c r="X3725" s="75" t="s">
        <v>2276</v>
      </c>
      <c r="Y3725" s="75" t="s">
        <v>2276</v>
      </c>
      <c r="Z3725" s="75" t="s">
        <v>2276</v>
      </c>
      <c r="AA3725" s="75" t="s">
        <v>2276</v>
      </c>
      <c r="AB3725" s="75" t="s">
        <v>2276</v>
      </c>
      <c r="AC3725" s="204"/>
      <c r="AD3725" s="4" t="s">
        <v>9704</v>
      </c>
    </row>
    <row r="3726" spans="1:30" ht="36" customHeight="1">
      <c r="A3726" s="11" t="s">
        <v>9673</v>
      </c>
      <c r="B3726" s="11" t="s">
        <v>9712</v>
      </c>
      <c r="C3726" s="204" t="s">
        <v>24</v>
      </c>
      <c r="D3726" s="204" t="s">
        <v>143</v>
      </c>
      <c r="E3726" s="204" t="s">
        <v>84</v>
      </c>
      <c r="F3726" s="204" t="s">
        <v>160</v>
      </c>
      <c r="G3726" s="204" t="s">
        <v>160</v>
      </c>
      <c r="H3726" s="204" t="s">
        <v>523</v>
      </c>
      <c r="I3726" s="204"/>
      <c r="J3726" s="239" t="s">
        <v>2276</v>
      </c>
      <c r="K3726" s="239" t="s">
        <v>2276</v>
      </c>
      <c r="L3726" s="239" t="s">
        <v>2276</v>
      </c>
      <c r="M3726" s="239" t="s">
        <v>2276</v>
      </c>
      <c r="N3726" s="239" t="s">
        <v>2276</v>
      </c>
      <c r="O3726" s="239" t="s">
        <v>2276</v>
      </c>
      <c r="P3726" s="239" t="s">
        <v>2276</v>
      </c>
      <c r="Q3726" s="239" t="s">
        <v>2276</v>
      </c>
      <c r="R3726" s="75" t="s">
        <v>2276</v>
      </c>
      <c r="S3726" s="75" t="s">
        <v>2276</v>
      </c>
      <c r="T3726" s="75" t="s">
        <v>2276</v>
      </c>
      <c r="U3726" s="75" t="s">
        <v>2276</v>
      </c>
      <c r="V3726" s="75" t="s">
        <v>2276</v>
      </c>
      <c r="W3726" s="75" t="s">
        <v>2276</v>
      </c>
      <c r="X3726" s="75" t="s">
        <v>2276</v>
      </c>
      <c r="Y3726" s="75" t="s">
        <v>2276</v>
      </c>
      <c r="Z3726" s="75" t="s">
        <v>2276</v>
      </c>
      <c r="AA3726" s="75" t="s">
        <v>2276</v>
      </c>
      <c r="AB3726" s="75" t="s">
        <v>2276</v>
      </c>
      <c r="AC3726" s="204"/>
      <c r="AD3726" s="4" t="s">
        <v>9704</v>
      </c>
    </row>
    <row r="3727" spans="1:30" ht="36" customHeight="1">
      <c r="A3727" s="11" t="s">
        <v>9675</v>
      </c>
      <c r="B3727" s="11" t="s">
        <v>9713</v>
      </c>
      <c r="C3727" s="204" t="s">
        <v>24</v>
      </c>
      <c r="D3727" s="204" t="s">
        <v>143</v>
      </c>
      <c r="E3727" s="204" t="s">
        <v>84</v>
      </c>
      <c r="F3727" s="204" t="s">
        <v>160</v>
      </c>
      <c r="G3727" s="204" t="s">
        <v>160</v>
      </c>
      <c r="H3727" s="204" t="s">
        <v>523</v>
      </c>
      <c r="I3727" s="204"/>
      <c r="J3727" s="239" t="s">
        <v>2276</v>
      </c>
      <c r="K3727" s="239" t="s">
        <v>2276</v>
      </c>
      <c r="L3727" s="239" t="s">
        <v>2276</v>
      </c>
      <c r="M3727" s="239" t="s">
        <v>2276</v>
      </c>
      <c r="N3727" s="239" t="s">
        <v>2276</v>
      </c>
      <c r="O3727" s="239" t="s">
        <v>2276</v>
      </c>
      <c r="P3727" s="239" t="s">
        <v>2276</v>
      </c>
      <c r="Q3727" s="239" t="s">
        <v>2276</v>
      </c>
      <c r="R3727" s="75" t="s">
        <v>2276</v>
      </c>
      <c r="S3727" s="75" t="s">
        <v>2276</v>
      </c>
      <c r="T3727" s="75" t="s">
        <v>2276</v>
      </c>
      <c r="U3727" s="75" t="s">
        <v>2276</v>
      </c>
      <c r="V3727" s="75" t="s">
        <v>2276</v>
      </c>
      <c r="W3727" s="75" t="s">
        <v>2276</v>
      </c>
      <c r="X3727" s="75" t="s">
        <v>2276</v>
      </c>
      <c r="Y3727" s="75" t="s">
        <v>2276</v>
      </c>
      <c r="Z3727" s="75" t="s">
        <v>2276</v>
      </c>
      <c r="AA3727" s="75" t="s">
        <v>2276</v>
      </c>
      <c r="AB3727" s="75" t="s">
        <v>2276</v>
      </c>
      <c r="AC3727" s="204"/>
      <c r="AD3727" s="4" t="s">
        <v>9704</v>
      </c>
    </row>
    <row r="3728" spans="1:30" ht="36" customHeight="1">
      <c r="A3728" s="11" t="s">
        <v>9676</v>
      </c>
      <c r="B3728" s="11" t="s">
        <v>9714</v>
      </c>
      <c r="C3728" s="204" t="s">
        <v>24</v>
      </c>
      <c r="D3728" s="204" t="s">
        <v>143</v>
      </c>
      <c r="E3728" s="204" t="s">
        <v>84</v>
      </c>
      <c r="F3728" s="204" t="s">
        <v>160</v>
      </c>
      <c r="G3728" s="204" t="s">
        <v>160</v>
      </c>
      <c r="H3728" s="204" t="s">
        <v>523</v>
      </c>
      <c r="I3728" s="204"/>
      <c r="J3728" s="239" t="s">
        <v>2276</v>
      </c>
      <c r="K3728" s="239" t="s">
        <v>2276</v>
      </c>
      <c r="L3728" s="239" t="s">
        <v>2276</v>
      </c>
      <c r="M3728" s="239" t="s">
        <v>2276</v>
      </c>
      <c r="N3728" s="239" t="s">
        <v>2276</v>
      </c>
      <c r="O3728" s="239" t="s">
        <v>2276</v>
      </c>
      <c r="P3728" s="239" t="s">
        <v>2276</v>
      </c>
      <c r="Q3728" s="239" t="s">
        <v>2276</v>
      </c>
      <c r="R3728" s="75" t="s">
        <v>2276</v>
      </c>
      <c r="S3728" s="75" t="s">
        <v>2276</v>
      </c>
      <c r="T3728" s="75" t="s">
        <v>2276</v>
      </c>
      <c r="U3728" s="75" t="s">
        <v>2276</v>
      </c>
      <c r="V3728" s="75" t="s">
        <v>2276</v>
      </c>
      <c r="W3728" s="75" t="s">
        <v>2276</v>
      </c>
      <c r="X3728" s="75" t="s">
        <v>2276</v>
      </c>
      <c r="Y3728" s="75" t="s">
        <v>2276</v>
      </c>
      <c r="Z3728" s="75" t="s">
        <v>2276</v>
      </c>
      <c r="AA3728" s="75" t="s">
        <v>2276</v>
      </c>
      <c r="AB3728" s="75" t="s">
        <v>2276</v>
      </c>
      <c r="AC3728" s="204"/>
      <c r="AD3728" s="4" t="s">
        <v>9704</v>
      </c>
    </row>
    <row r="3729" spans="1:30" ht="37" customHeight="1">
      <c r="A3729" s="11" t="s">
        <v>9677</v>
      </c>
      <c r="B3729" s="11" t="s">
        <v>9715</v>
      </c>
      <c r="C3729" s="204" t="s">
        <v>24</v>
      </c>
      <c r="D3729" s="204" t="s">
        <v>143</v>
      </c>
      <c r="E3729" s="204" t="s">
        <v>84</v>
      </c>
      <c r="F3729" s="204" t="s">
        <v>160</v>
      </c>
      <c r="G3729" s="204" t="s">
        <v>160</v>
      </c>
      <c r="H3729" s="204" t="s">
        <v>523</v>
      </c>
      <c r="I3729" s="204"/>
      <c r="J3729" s="239" t="s">
        <v>2276</v>
      </c>
      <c r="K3729" s="239" t="s">
        <v>2276</v>
      </c>
      <c r="L3729" s="239" t="s">
        <v>2276</v>
      </c>
      <c r="M3729" s="239" t="s">
        <v>2276</v>
      </c>
      <c r="N3729" s="239" t="s">
        <v>2276</v>
      </c>
      <c r="O3729" s="239" t="s">
        <v>2276</v>
      </c>
      <c r="P3729" s="239" t="s">
        <v>2276</v>
      </c>
      <c r="Q3729" s="239" t="s">
        <v>2276</v>
      </c>
      <c r="R3729" s="75" t="s">
        <v>2276</v>
      </c>
      <c r="S3729" s="75" t="s">
        <v>2276</v>
      </c>
      <c r="T3729" s="75" t="s">
        <v>2276</v>
      </c>
      <c r="U3729" s="75" t="s">
        <v>2276</v>
      </c>
      <c r="V3729" s="75" t="s">
        <v>2276</v>
      </c>
      <c r="W3729" s="75" t="s">
        <v>2276</v>
      </c>
      <c r="X3729" s="75" t="s">
        <v>2276</v>
      </c>
      <c r="Y3729" s="75" t="s">
        <v>2276</v>
      </c>
      <c r="Z3729" s="75" t="s">
        <v>2276</v>
      </c>
      <c r="AA3729" s="75" t="s">
        <v>2276</v>
      </c>
      <c r="AB3729" s="75" t="s">
        <v>2276</v>
      </c>
      <c r="AC3729" s="204"/>
      <c r="AD3729" s="4" t="s">
        <v>9704</v>
      </c>
    </row>
    <row r="3730" spans="1:30" ht="37" customHeight="1">
      <c r="A3730" s="11" t="s">
        <v>9672</v>
      </c>
      <c r="B3730" s="11" t="s">
        <v>9716</v>
      </c>
      <c r="C3730" s="204" t="s">
        <v>24</v>
      </c>
      <c r="D3730" s="204" t="s">
        <v>143</v>
      </c>
      <c r="E3730" s="204" t="s">
        <v>2653</v>
      </c>
      <c r="F3730" s="204" t="s">
        <v>160</v>
      </c>
      <c r="G3730" s="204" t="s">
        <v>160</v>
      </c>
      <c r="H3730" s="204" t="s">
        <v>523</v>
      </c>
      <c r="I3730" s="204"/>
      <c r="J3730" s="239" t="s">
        <v>2276</v>
      </c>
      <c r="K3730" s="239" t="s">
        <v>2276</v>
      </c>
      <c r="L3730" s="239" t="s">
        <v>2276</v>
      </c>
      <c r="M3730" s="239" t="s">
        <v>2276</v>
      </c>
      <c r="N3730" s="239" t="s">
        <v>2276</v>
      </c>
      <c r="O3730" s="239" t="s">
        <v>2276</v>
      </c>
      <c r="P3730" s="239" t="s">
        <v>2276</v>
      </c>
      <c r="Q3730" s="239" t="s">
        <v>2276</v>
      </c>
      <c r="R3730" s="239" t="s">
        <v>2276</v>
      </c>
      <c r="S3730" s="239" t="s">
        <v>2276</v>
      </c>
      <c r="T3730" s="239" t="s">
        <v>2276</v>
      </c>
      <c r="U3730" s="239" t="s">
        <v>2276</v>
      </c>
      <c r="V3730" s="239" t="s">
        <v>2276</v>
      </c>
      <c r="W3730" s="239" t="s">
        <v>2276</v>
      </c>
      <c r="X3730" s="239" t="s">
        <v>2276</v>
      </c>
      <c r="Y3730" s="239" t="s">
        <v>2276</v>
      </c>
      <c r="Z3730" s="239" t="s">
        <v>2276</v>
      </c>
      <c r="AA3730" s="239" t="s">
        <v>2276</v>
      </c>
      <c r="AB3730" s="239" t="s">
        <v>2276</v>
      </c>
      <c r="AC3730" s="239"/>
      <c r="AD3730" s="239" t="s">
        <v>9727</v>
      </c>
    </row>
    <row r="3731" spans="1:30" ht="37" customHeight="1">
      <c r="A3731" s="11" t="s">
        <v>9673</v>
      </c>
      <c r="B3731" s="11" t="s">
        <v>9717</v>
      </c>
      <c r="C3731" s="204" t="s">
        <v>24</v>
      </c>
      <c r="D3731" s="204" t="s">
        <v>143</v>
      </c>
      <c r="E3731" s="204" t="s">
        <v>2653</v>
      </c>
      <c r="F3731" s="204" t="s">
        <v>160</v>
      </c>
      <c r="G3731" s="204" t="s">
        <v>160</v>
      </c>
      <c r="H3731" s="204" t="s">
        <v>523</v>
      </c>
      <c r="I3731" s="204"/>
      <c r="J3731" s="239" t="s">
        <v>2276</v>
      </c>
      <c r="K3731" s="239" t="s">
        <v>2276</v>
      </c>
      <c r="L3731" s="239" t="s">
        <v>2276</v>
      </c>
      <c r="M3731" s="239" t="s">
        <v>2276</v>
      </c>
      <c r="N3731" s="239" t="s">
        <v>2276</v>
      </c>
      <c r="O3731" s="239" t="s">
        <v>2276</v>
      </c>
      <c r="P3731" s="239" t="s">
        <v>2276</v>
      </c>
      <c r="Q3731" s="239" t="s">
        <v>2276</v>
      </c>
      <c r="R3731" s="239" t="s">
        <v>2276</v>
      </c>
      <c r="S3731" s="239" t="s">
        <v>2276</v>
      </c>
      <c r="T3731" s="239" t="s">
        <v>2276</v>
      </c>
      <c r="U3731" s="239" t="s">
        <v>2276</v>
      </c>
      <c r="V3731" s="239" t="s">
        <v>2276</v>
      </c>
      <c r="W3731" s="239" t="s">
        <v>2276</v>
      </c>
      <c r="X3731" s="239" t="s">
        <v>2276</v>
      </c>
      <c r="Y3731" s="239" t="s">
        <v>2276</v>
      </c>
      <c r="Z3731" s="239" t="s">
        <v>2276</v>
      </c>
      <c r="AA3731" s="239" t="s">
        <v>2276</v>
      </c>
      <c r="AB3731" s="239" t="s">
        <v>2276</v>
      </c>
      <c r="AC3731" s="239"/>
      <c r="AD3731" s="239" t="s">
        <v>9727</v>
      </c>
    </row>
    <row r="3732" spans="1:30" ht="37" customHeight="1">
      <c r="A3732" s="11" t="s">
        <v>9674</v>
      </c>
      <c r="B3732" s="11" t="s">
        <v>9718</v>
      </c>
      <c r="C3732" s="204" t="s">
        <v>24</v>
      </c>
      <c r="D3732" s="204" t="s">
        <v>143</v>
      </c>
      <c r="E3732" s="204" t="s">
        <v>2653</v>
      </c>
      <c r="F3732" s="204" t="s">
        <v>160</v>
      </c>
      <c r="G3732" s="204" t="s">
        <v>160</v>
      </c>
      <c r="H3732" s="204" t="s">
        <v>523</v>
      </c>
      <c r="I3732" s="204"/>
      <c r="J3732" s="239" t="s">
        <v>2276</v>
      </c>
      <c r="K3732" s="239" t="s">
        <v>2276</v>
      </c>
      <c r="L3732" s="239" t="s">
        <v>2276</v>
      </c>
      <c r="M3732" s="239" t="s">
        <v>2276</v>
      </c>
      <c r="N3732" s="239" t="s">
        <v>2276</v>
      </c>
      <c r="O3732" s="239" t="s">
        <v>2276</v>
      </c>
      <c r="P3732" s="239" t="s">
        <v>2276</v>
      </c>
      <c r="Q3732" s="239" t="s">
        <v>2276</v>
      </c>
      <c r="R3732" s="239" t="s">
        <v>2276</v>
      </c>
      <c r="S3732" s="239" t="s">
        <v>2276</v>
      </c>
      <c r="T3732" s="239" t="s">
        <v>2276</v>
      </c>
      <c r="U3732" s="239" t="s">
        <v>2276</v>
      </c>
      <c r="V3732" s="239" t="s">
        <v>2276</v>
      </c>
      <c r="W3732" s="239" t="s">
        <v>2276</v>
      </c>
      <c r="X3732" s="239" t="s">
        <v>2276</v>
      </c>
      <c r="Y3732" s="239" t="s">
        <v>2276</v>
      </c>
      <c r="Z3732" s="239" t="s">
        <v>2276</v>
      </c>
      <c r="AA3732" s="239" t="s">
        <v>2276</v>
      </c>
      <c r="AB3732" s="239" t="s">
        <v>2276</v>
      </c>
      <c r="AC3732" s="239"/>
      <c r="AD3732" s="239" t="s">
        <v>9727</v>
      </c>
    </row>
    <row r="3733" spans="1:30" ht="37" customHeight="1">
      <c r="A3733" s="11" t="s">
        <v>9675</v>
      </c>
      <c r="B3733" s="11" t="s">
        <v>9719</v>
      </c>
      <c r="C3733" s="204" t="s">
        <v>24</v>
      </c>
      <c r="D3733" s="204" t="s">
        <v>143</v>
      </c>
      <c r="E3733" s="204" t="s">
        <v>2653</v>
      </c>
      <c r="F3733" s="204" t="s">
        <v>160</v>
      </c>
      <c r="G3733" s="204" t="s">
        <v>160</v>
      </c>
      <c r="H3733" s="204" t="s">
        <v>523</v>
      </c>
      <c r="I3733" s="204"/>
      <c r="J3733" s="239" t="s">
        <v>2276</v>
      </c>
      <c r="K3733" s="239" t="s">
        <v>2276</v>
      </c>
      <c r="L3733" s="239" t="s">
        <v>2276</v>
      </c>
      <c r="M3733" s="239" t="s">
        <v>2276</v>
      </c>
      <c r="N3733" s="239" t="s">
        <v>2276</v>
      </c>
      <c r="O3733" s="239" t="s">
        <v>2276</v>
      </c>
      <c r="P3733" s="239" t="s">
        <v>2276</v>
      </c>
      <c r="Q3733" s="239" t="s">
        <v>2276</v>
      </c>
      <c r="R3733" s="239" t="s">
        <v>2276</v>
      </c>
      <c r="S3733" s="239" t="s">
        <v>2276</v>
      </c>
      <c r="T3733" s="239" t="s">
        <v>2276</v>
      </c>
      <c r="U3733" s="239" t="s">
        <v>2276</v>
      </c>
      <c r="V3733" s="239" t="s">
        <v>2276</v>
      </c>
      <c r="W3733" s="239" t="s">
        <v>2276</v>
      </c>
      <c r="X3733" s="239" t="s">
        <v>2276</v>
      </c>
      <c r="Y3733" s="239" t="s">
        <v>2276</v>
      </c>
      <c r="Z3733" s="239" t="s">
        <v>2276</v>
      </c>
      <c r="AA3733" s="239" t="s">
        <v>2276</v>
      </c>
      <c r="AB3733" s="239" t="s">
        <v>2276</v>
      </c>
      <c r="AC3733" s="239"/>
      <c r="AD3733" s="239" t="s">
        <v>9727</v>
      </c>
    </row>
    <row r="3734" spans="1:30" ht="37" customHeight="1">
      <c r="A3734" s="11" t="s">
        <v>9676</v>
      </c>
      <c r="B3734" s="11" t="s">
        <v>9720</v>
      </c>
      <c r="C3734" s="204" t="s">
        <v>24</v>
      </c>
      <c r="D3734" s="204" t="s">
        <v>143</v>
      </c>
      <c r="E3734" s="204" t="s">
        <v>2653</v>
      </c>
      <c r="F3734" s="204" t="s">
        <v>160</v>
      </c>
      <c r="G3734" s="204" t="s">
        <v>160</v>
      </c>
      <c r="H3734" s="204" t="s">
        <v>523</v>
      </c>
      <c r="I3734" s="204"/>
      <c r="J3734" s="239" t="s">
        <v>2276</v>
      </c>
      <c r="K3734" s="239" t="s">
        <v>2276</v>
      </c>
      <c r="L3734" s="239" t="s">
        <v>2276</v>
      </c>
      <c r="M3734" s="239" t="s">
        <v>2276</v>
      </c>
      <c r="N3734" s="239" t="s">
        <v>2276</v>
      </c>
      <c r="O3734" s="239" t="s">
        <v>2276</v>
      </c>
      <c r="P3734" s="239" t="s">
        <v>2276</v>
      </c>
      <c r="Q3734" s="239" t="s">
        <v>2276</v>
      </c>
      <c r="R3734" s="239" t="s">
        <v>2276</v>
      </c>
      <c r="S3734" s="239" t="s">
        <v>2276</v>
      </c>
      <c r="T3734" s="239" t="s">
        <v>2276</v>
      </c>
      <c r="U3734" s="239" t="s">
        <v>2276</v>
      </c>
      <c r="V3734" s="239" t="s">
        <v>2276</v>
      </c>
      <c r="W3734" s="239" t="s">
        <v>2276</v>
      </c>
      <c r="X3734" s="239" t="s">
        <v>2276</v>
      </c>
      <c r="Y3734" s="239" t="s">
        <v>2276</v>
      </c>
      <c r="Z3734" s="239" t="s">
        <v>2276</v>
      </c>
      <c r="AA3734" s="239" t="s">
        <v>2276</v>
      </c>
      <c r="AB3734" s="239" t="s">
        <v>2276</v>
      </c>
      <c r="AC3734" s="239"/>
      <c r="AD3734" s="239" t="s">
        <v>9727</v>
      </c>
    </row>
    <row r="3735" spans="1:30" ht="40.5" customHeight="1">
      <c r="A3735" s="11" t="s">
        <v>9677</v>
      </c>
      <c r="B3735" s="11" t="s">
        <v>9721</v>
      </c>
      <c r="C3735" s="204" t="s">
        <v>24</v>
      </c>
      <c r="D3735" s="204" t="s">
        <v>143</v>
      </c>
      <c r="E3735" s="204" t="s">
        <v>2653</v>
      </c>
      <c r="F3735" s="204" t="s">
        <v>160</v>
      </c>
      <c r="G3735" s="204" t="s">
        <v>160</v>
      </c>
      <c r="H3735" s="204" t="s">
        <v>523</v>
      </c>
      <c r="I3735" s="204"/>
      <c r="J3735" s="239" t="s">
        <v>2276</v>
      </c>
      <c r="K3735" s="239" t="s">
        <v>2276</v>
      </c>
      <c r="L3735" s="239" t="s">
        <v>2276</v>
      </c>
      <c r="M3735" s="239" t="s">
        <v>2276</v>
      </c>
      <c r="N3735" s="239" t="s">
        <v>2276</v>
      </c>
      <c r="O3735" s="239" t="s">
        <v>2276</v>
      </c>
      <c r="P3735" s="239" t="s">
        <v>2276</v>
      </c>
      <c r="Q3735" s="239" t="s">
        <v>2276</v>
      </c>
      <c r="R3735" s="239" t="s">
        <v>2276</v>
      </c>
      <c r="S3735" s="239" t="s">
        <v>2276</v>
      </c>
      <c r="T3735" s="239" t="s">
        <v>2276</v>
      </c>
      <c r="U3735" s="239" t="s">
        <v>2276</v>
      </c>
      <c r="V3735" s="239" t="s">
        <v>2276</v>
      </c>
      <c r="W3735" s="239" t="s">
        <v>2276</v>
      </c>
      <c r="X3735" s="239" t="s">
        <v>2276</v>
      </c>
      <c r="Y3735" s="239" t="s">
        <v>2276</v>
      </c>
      <c r="Z3735" s="239" t="s">
        <v>2276</v>
      </c>
      <c r="AA3735" s="239" t="s">
        <v>2276</v>
      </c>
      <c r="AB3735" s="239" t="s">
        <v>2276</v>
      </c>
      <c r="AC3735" s="239"/>
      <c r="AD3735" s="239" t="s">
        <v>9727</v>
      </c>
    </row>
    <row r="3736" spans="1:30" ht="40.5" customHeight="1">
      <c r="A3736" s="11" t="s">
        <v>9672</v>
      </c>
      <c r="B3736" s="11" t="s">
        <v>9722</v>
      </c>
      <c r="C3736" s="204" t="s">
        <v>2458</v>
      </c>
      <c r="D3736" s="204" t="s">
        <v>2276</v>
      </c>
      <c r="E3736" s="204" t="s">
        <v>2276</v>
      </c>
      <c r="F3736" s="204" t="s">
        <v>2276</v>
      </c>
      <c r="G3736" s="204" t="s">
        <v>74</v>
      </c>
      <c r="H3736" s="204" t="s">
        <v>523</v>
      </c>
      <c r="I3736" s="204"/>
      <c r="J3736" s="239" t="s">
        <v>2276</v>
      </c>
      <c r="K3736" s="239" t="s">
        <v>2276</v>
      </c>
      <c r="L3736" s="239" t="s">
        <v>2276</v>
      </c>
      <c r="M3736" s="239" t="s">
        <v>2276</v>
      </c>
      <c r="N3736" s="239" t="s">
        <v>2276</v>
      </c>
      <c r="O3736" s="239" t="s">
        <v>2276</v>
      </c>
      <c r="P3736" s="239" t="s">
        <v>2276</v>
      </c>
      <c r="Q3736" s="239" t="s">
        <v>2276</v>
      </c>
      <c r="R3736" s="239" t="s">
        <v>2276</v>
      </c>
      <c r="S3736" s="239" t="s">
        <v>2276</v>
      </c>
      <c r="T3736" s="21">
        <f>504706*0.537/14</f>
        <v>19359.080142857147</v>
      </c>
      <c r="U3736" s="239" t="s">
        <v>2276</v>
      </c>
      <c r="V3736" s="239" t="s">
        <v>2276</v>
      </c>
      <c r="W3736" s="239" t="s">
        <v>2276</v>
      </c>
      <c r="X3736" s="21">
        <f>(T3736/'Record info'!K1518)</f>
        <v>8.2554712762717038E-3</v>
      </c>
      <c r="Y3736" s="239" t="s">
        <v>2276</v>
      </c>
      <c r="Z3736" s="239" t="s">
        <v>2276</v>
      </c>
      <c r="AA3736" s="239" t="s">
        <v>2276</v>
      </c>
      <c r="AB3736" s="239" t="s">
        <v>2276</v>
      </c>
      <c r="AC3736" s="204"/>
      <c r="AD3736" s="4" t="s">
        <v>9728</v>
      </c>
    </row>
    <row r="3737" spans="1:30" ht="40.5" customHeight="1">
      <c r="A3737" s="11" t="s">
        <v>9673</v>
      </c>
      <c r="B3737" s="11" t="s">
        <v>9723</v>
      </c>
      <c r="C3737" s="204" t="s">
        <v>2458</v>
      </c>
      <c r="D3737" s="204" t="s">
        <v>2276</v>
      </c>
      <c r="E3737" s="204" t="s">
        <v>2276</v>
      </c>
      <c r="F3737" s="204" t="s">
        <v>2276</v>
      </c>
      <c r="G3737" s="204" t="s">
        <v>74</v>
      </c>
      <c r="H3737" s="204" t="s">
        <v>523</v>
      </c>
      <c r="I3737" s="204"/>
      <c r="J3737" s="239" t="s">
        <v>2276</v>
      </c>
      <c r="K3737" s="239" t="s">
        <v>2276</v>
      </c>
      <c r="L3737" s="239" t="s">
        <v>2276</v>
      </c>
      <c r="M3737" s="239" t="s">
        <v>2276</v>
      </c>
      <c r="N3737" s="239" t="s">
        <v>2276</v>
      </c>
      <c r="O3737" s="239" t="s">
        <v>2276</v>
      </c>
      <c r="P3737" s="239" t="s">
        <v>2276</v>
      </c>
      <c r="Q3737" s="239" t="s">
        <v>2276</v>
      </c>
      <c r="R3737" s="239" t="s">
        <v>2276</v>
      </c>
      <c r="S3737" s="239" t="s">
        <v>2276</v>
      </c>
      <c r="T3737" s="21">
        <f>23007.6*0.661/14</f>
        <v>1086.2873999999999</v>
      </c>
      <c r="U3737" s="239" t="s">
        <v>2276</v>
      </c>
      <c r="V3737" s="239" t="s">
        <v>2276</v>
      </c>
      <c r="W3737" s="239" t="s">
        <v>2276</v>
      </c>
      <c r="X3737" s="21">
        <f>(T3737/'Record info'!K1519)</f>
        <v>2.2847947804358888E-3</v>
      </c>
      <c r="Y3737" s="239" t="s">
        <v>2276</v>
      </c>
      <c r="Z3737" s="239" t="s">
        <v>2276</v>
      </c>
      <c r="AA3737" s="239" t="s">
        <v>2276</v>
      </c>
      <c r="AB3737" s="239" t="s">
        <v>2276</v>
      </c>
      <c r="AC3737" s="204"/>
      <c r="AD3737" s="4" t="s">
        <v>9728</v>
      </c>
    </row>
    <row r="3738" spans="1:30" ht="40.5" customHeight="1">
      <c r="A3738" s="11" t="s">
        <v>9674</v>
      </c>
      <c r="B3738" s="11" t="s">
        <v>9724</v>
      </c>
      <c r="C3738" s="204" t="s">
        <v>2458</v>
      </c>
      <c r="D3738" s="204" t="s">
        <v>2276</v>
      </c>
      <c r="E3738" s="204" t="s">
        <v>2276</v>
      </c>
      <c r="F3738" s="204" t="s">
        <v>2276</v>
      </c>
      <c r="G3738" s="204" t="s">
        <v>74</v>
      </c>
      <c r="H3738" s="204" t="s">
        <v>523</v>
      </c>
      <c r="I3738" s="204"/>
      <c r="J3738" s="239" t="s">
        <v>2276</v>
      </c>
      <c r="K3738" s="239" t="s">
        <v>2276</v>
      </c>
      <c r="L3738" s="239" t="s">
        <v>2276</v>
      </c>
      <c r="M3738" s="239" t="s">
        <v>2276</v>
      </c>
      <c r="N3738" s="239" t="s">
        <v>2276</v>
      </c>
      <c r="O3738" s="239" t="s">
        <v>2276</v>
      </c>
      <c r="P3738" s="239" t="s">
        <v>2276</v>
      </c>
      <c r="Q3738" s="239" t="s">
        <v>2276</v>
      </c>
      <c r="R3738" s="239" t="s">
        <v>2276</v>
      </c>
      <c r="S3738" s="239" t="s">
        <v>2276</v>
      </c>
      <c r="T3738" s="21">
        <f>42994*0.909/14</f>
        <v>2791.5390000000002</v>
      </c>
      <c r="U3738" s="239" t="s">
        <v>2276</v>
      </c>
      <c r="V3738" s="239" t="s">
        <v>2276</v>
      </c>
      <c r="W3738" s="239" t="s">
        <v>2276</v>
      </c>
      <c r="X3738" s="21">
        <f>(T3738/'Record info'!K1520)</f>
        <v>4.4809160427876161E-3</v>
      </c>
      <c r="Y3738" s="239" t="s">
        <v>2276</v>
      </c>
      <c r="Z3738" s="239" t="s">
        <v>2276</v>
      </c>
      <c r="AA3738" s="239" t="s">
        <v>2276</v>
      </c>
      <c r="AB3738" s="239" t="s">
        <v>2276</v>
      </c>
      <c r="AC3738" s="204"/>
      <c r="AD3738" s="4" t="s">
        <v>9728</v>
      </c>
    </row>
    <row r="3739" spans="1:30" ht="40.5" customHeight="1">
      <c r="A3739" s="11" t="s">
        <v>9675</v>
      </c>
      <c r="B3739" s="11" t="s">
        <v>9725</v>
      </c>
      <c r="C3739" s="204" t="s">
        <v>2458</v>
      </c>
      <c r="D3739" s="204" t="s">
        <v>2276</v>
      </c>
      <c r="E3739" s="204" t="s">
        <v>2276</v>
      </c>
      <c r="F3739" s="204" t="s">
        <v>2276</v>
      </c>
      <c r="G3739" s="204" t="s">
        <v>74</v>
      </c>
      <c r="H3739" s="204" t="s">
        <v>523</v>
      </c>
      <c r="I3739" s="204"/>
      <c r="J3739" s="239" t="s">
        <v>2276</v>
      </c>
      <c r="K3739" s="239" t="s">
        <v>2276</v>
      </c>
      <c r="L3739" s="239" t="s">
        <v>2276</v>
      </c>
      <c r="M3739" s="239" t="s">
        <v>2276</v>
      </c>
      <c r="N3739" s="239" t="s">
        <v>2276</v>
      </c>
      <c r="O3739" s="239" t="s">
        <v>2276</v>
      </c>
      <c r="P3739" s="239" t="s">
        <v>2276</v>
      </c>
      <c r="Q3739" s="239" t="s">
        <v>2276</v>
      </c>
      <c r="R3739" s="239" t="s">
        <v>2276</v>
      </c>
      <c r="S3739" s="239" t="s">
        <v>2276</v>
      </c>
      <c r="T3739" s="21">
        <f>15604*0.841/14</f>
        <v>937.35457142857138</v>
      </c>
      <c r="U3739" s="239" t="s">
        <v>2276</v>
      </c>
      <c r="V3739" s="239" t="s">
        <v>2276</v>
      </c>
      <c r="W3739" s="239" t="s">
        <v>2276</v>
      </c>
      <c r="X3739" s="21">
        <f>(T3739/'Record info'!K1521)</f>
        <v>3.5019429792562079E-3</v>
      </c>
      <c r="Y3739" s="239" t="s">
        <v>2276</v>
      </c>
      <c r="Z3739" s="239" t="s">
        <v>2276</v>
      </c>
      <c r="AA3739" s="239" t="s">
        <v>2276</v>
      </c>
      <c r="AB3739" s="239" t="s">
        <v>2276</v>
      </c>
      <c r="AC3739" s="204"/>
      <c r="AD3739" s="4" t="s">
        <v>9728</v>
      </c>
    </row>
    <row r="3740" spans="1:30" ht="40.5" customHeight="1">
      <c r="A3740" s="11" t="s">
        <v>9677</v>
      </c>
      <c r="B3740" s="11" t="s">
        <v>9726</v>
      </c>
      <c r="C3740" s="204" t="s">
        <v>2458</v>
      </c>
      <c r="D3740" s="204" t="s">
        <v>2276</v>
      </c>
      <c r="E3740" s="204" t="s">
        <v>2276</v>
      </c>
      <c r="F3740" s="204" t="s">
        <v>2276</v>
      </c>
      <c r="G3740" s="204" t="s">
        <v>74</v>
      </c>
      <c r="H3740" s="204" t="s">
        <v>523</v>
      </c>
      <c r="I3740" s="204"/>
      <c r="J3740" s="239" t="s">
        <v>2276</v>
      </c>
      <c r="K3740" s="239" t="s">
        <v>2276</v>
      </c>
      <c r="L3740" s="239" t="s">
        <v>2276</v>
      </c>
      <c r="M3740" s="239" t="s">
        <v>2276</v>
      </c>
      <c r="N3740" s="239" t="s">
        <v>2276</v>
      </c>
      <c r="O3740" s="239" t="s">
        <v>2276</v>
      </c>
      <c r="P3740" s="239" t="s">
        <v>2276</v>
      </c>
      <c r="Q3740" s="239" t="s">
        <v>2276</v>
      </c>
      <c r="R3740" s="239" t="s">
        <v>2276</v>
      </c>
      <c r="S3740" s="239" t="s">
        <v>2276</v>
      </c>
      <c r="T3740" s="21">
        <f>53086.8*0.712/14</f>
        <v>2699.8429714285712</v>
      </c>
      <c r="U3740" s="239" t="s">
        <v>2276</v>
      </c>
      <c r="V3740" s="239" t="s">
        <v>2276</v>
      </c>
      <c r="W3740" s="239" t="s">
        <v>2276</v>
      </c>
      <c r="X3740" s="21">
        <f>(T3740/'Record info'!K1523)</f>
        <v>7.894277694235589E-3</v>
      </c>
      <c r="Y3740" s="239" t="s">
        <v>2276</v>
      </c>
      <c r="Z3740" s="239" t="s">
        <v>2276</v>
      </c>
      <c r="AA3740" s="239" t="s">
        <v>2276</v>
      </c>
      <c r="AB3740" s="239" t="s">
        <v>2276</v>
      </c>
      <c r="AC3740" s="204"/>
      <c r="AD3740" s="4" t="s">
        <v>9728</v>
      </c>
    </row>
    <row r="3741" spans="1:30" ht="45.5" customHeight="1">
      <c r="A3741" s="19" t="s">
        <v>9731</v>
      </c>
      <c r="B3741" s="19" t="s">
        <v>9733</v>
      </c>
      <c r="C3741" s="4" t="s">
        <v>2658</v>
      </c>
      <c r="D3741" s="4" t="s">
        <v>2276</v>
      </c>
      <c r="E3741" s="4" t="s">
        <v>2276</v>
      </c>
      <c r="F3741" s="4" t="s">
        <v>2276</v>
      </c>
      <c r="G3741" s="4" t="s">
        <v>28</v>
      </c>
      <c r="H3741" s="4" t="s">
        <v>523</v>
      </c>
      <c r="I3741" s="204"/>
      <c r="J3741" s="75" t="s">
        <v>2276</v>
      </c>
      <c r="K3741" s="75" t="s">
        <v>2276</v>
      </c>
      <c r="L3741" s="75" t="s">
        <v>2276</v>
      </c>
      <c r="M3741" s="75" t="s">
        <v>2276</v>
      </c>
      <c r="N3741" s="75" t="s">
        <v>2276</v>
      </c>
      <c r="O3741" s="75" t="s">
        <v>2276</v>
      </c>
      <c r="P3741" s="75" t="s">
        <v>2276</v>
      </c>
      <c r="Q3741" s="75" t="s">
        <v>2276</v>
      </c>
      <c r="R3741" s="75" t="s">
        <v>2276</v>
      </c>
      <c r="S3741" s="75" t="s">
        <v>2276</v>
      </c>
      <c r="T3741" s="75" t="s">
        <v>2276</v>
      </c>
      <c r="U3741" s="75" t="s">
        <v>2276</v>
      </c>
      <c r="V3741" s="75" t="s">
        <v>2276</v>
      </c>
      <c r="W3741" s="75" t="s">
        <v>2276</v>
      </c>
      <c r="X3741" s="75" t="s">
        <v>2276</v>
      </c>
      <c r="Y3741" s="75" t="s">
        <v>2276</v>
      </c>
      <c r="Z3741" s="75" t="s">
        <v>2276</v>
      </c>
      <c r="AA3741" s="75" t="s">
        <v>2276</v>
      </c>
      <c r="AB3741" s="75" t="s">
        <v>2276</v>
      </c>
      <c r="AC3741" s="204"/>
      <c r="AD3741" s="204"/>
    </row>
    <row r="3742" spans="1:30" ht="45.5" customHeight="1">
      <c r="A3742" s="19" t="s">
        <v>9731</v>
      </c>
      <c r="B3742" s="19" t="s">
        <v>9734</v>
      </c>
      <c r="C3742" s="204" t="s">
        <v>24</v>
      </c>
      <c r="D3742" s="204" t="s">
        <v>2341</v>
      </c>
      <c r="E3742" s="204" t="s">
        <v>863</v>
      </c>
      <c r="F3742" s="4" t="s">
        <v>74</v>
      </c>
      <c r="G3742" s="4" t="s">
        <v>74</v>
      </c>
      <c r="H3742" s="204" t="s">
        <v>524</v>
      </c>
      <c r="I3742" s="204"/>
      <c r="J3742" s="21">
        <v>0</v>
      </c>
      <c r="K3742" s="21">
        <v>0</v>
      </c>
      <c r="L3742" s="21">
        <v>0</v>
      </c>
      <c r="M3742" s="21">
        <v>0</v>
      </c>
      <c r="N3742" s="21">
        <v>0</v>
      </c>
      <c r="O3742" s="21">
        <v>0</v>
      </c>
      <c r="P3742" s="21">
        <v>0</v>
      </c>
      <c r="Q3742" s="21">
        <v>0</v>
      </c>
      <c r="R3742" s="21">
        <v>0</v>
      </c>
      <c r="S3742" s="21">
        <v>0</v>
      </c>
      <c r="T3742" s="21">
        <v>0</v>
      </c>
      <c r="U3742" s="21">
        <v>0</v>
      </c>
      <c r="V3742" s="21">
        <v>0</v>
      </c>
      <c r="W3742" s="21">
        <v>0</v>
      </c>
      <c r="X3742" s="21">
        <v>0</v>
      </c>
      <c r="Y3742" s="75" t="s">
        <v>2276</v>
      </c>
      <c r="Z3742" s="75" t="s">
        <v>2276</v>
      </c>
      <c r="AA3742" s="75" t="s">
        <v>2276</v>
      </c>
      <c r="AB3742" s="75" t="s">
        <v>2276</v>
      </c>
      <c r="AC3742" s="4" t="s">
        <v>9735</v>
      </c>
      <c r="AD3742" s="204"/>
    </row>
    <row r="3743" spans="1:30" ht="40" customHeight="1">
      <c r="A3743" s="19" t="s">
        <v>9731</v>
      </c>
      <c r="B3743" s="19" t="s">
        <v>9738</v>
      </c>
      <c r="C3743" t="s">
        <v>2458</v>
      </c>
      <c r="D3743" s="4" t="s">
        <v>2276</v>
      </c>
      <c r="E3743" s="4" t="s">
        <v>2276</v>
      </c>
      <c r="F3743" s="4" t="s">
        <v>2276</v>
      </c>
      <c r="G3743" s="4" t="s">
        <v>74</v>
      </c>
      <c r="H3743" s="4" t="s">
        <v>523</v>
      </c>
      <c r="I3743" s="204"/>
      <c r="J3743" s="75" t="s">
        <v>2276</v>
      </c>
      <c r="K3743" s="75" t="s">
        <v>2276</v>
      </c>
      <c r="L3743" s="75" t="s">
        <v>2276</v>
      </c>
      <c r="M3743" s="75" t="s">
        <v>2276</v>
      </c>
      <c r="N3743" s="21">
        <v>2000</v>
      </c>
      <c r="O3743" s="75" t="s">
        <v>2276</v>
      </c>
      <c r="P3743" s="75" t="s">
        <v>2276</v>
      </c>
      <c r="Q3743" s="75" t="s">
        <v>2276</v>
      </c>
      <c r="R3743" s="75" t="s">
        <v>2276</v>
      </c>
      <c r="S3743" s="75" t="s">
        <v>2276</v>
      </c>
      <c r="T3743" s="75" t="s">
        <v>2276</v>
      </c>
      <c r="U3743" s="75" t="s">
        <v>2276</v>
      </c>
      <c r="V3743" s="75" t="s">
        <v>2276</v>
      </c>
      <c r="W3743" s="75" t="s">
        <v>2276</v>
      </c>
      <c r="X3743" s="75" t="s">
        <v>2276</v>
      </c>
      <c r="Y3743" s="75" t="s">
        <v>2276</v>
      </c>
      <c r="Z3743" s="75" t="s">
        <v>2276</v>
      </c>
      <c r="AA3743" s="75" t="s">
        <v>2276</v>
      </c>
      <c r="AB3743" s="75" t="s">
        <v>2276</v>
      </c>
      <c r="AC3743" s="204"/>
      <c r="AD3743" s="204"/>
    </row>
    <row r="3744" spans="1:30" ht="51" customHeight="1">
      <c r="A3744" s="19" t="s">
        <v>9740</v>
      </c>
      <c r="B3744" s="19" t="s">
        <v>9743</v>
      </c>
      <c r="C3744" s="204" t="s">
        <v>24</v>
      </c>
      <c r="D3744" s="204" t="s">
        <v>3476</v>
      </c>
      <c r="E3744" s="204" t="s">
        <v>863</v>
      </c>
      <c r="F3744" s="4" t="s">
        <v>2276</v>
      </c>
      <c r="G3744" s="4" t="s">
        <v>74</v>
      </c>
      <c r="H3744" s="4" t="s">
        <v>523</v>
      </c>
      <c r="I3744" s="204"/>
      <c r="J3744" s="75" t="s">
        <v>2276</v>
      </c>
      <c r="K3744" s="75" t="s">
        <v>2276</v>
      </c>
      <c r="L3744" s="75" t="s">
        <v>2276</v>
      </c>
      <c r="M3744" s="75" t="s">
        <v>2276</v>
      </c>
      <c r="N3744" s="75" t="s">
        <v>2276</v>
      </c>
      <c r="O3744" s="75" t="s">
        <v>2276</v>
      </c>
      <c r="P3744" s="75" t="s">
        <v>2276</v>
      </c>
      <c r="Q3744" s="75" t="s">
        <v>2276</v>
      </c>
      <c r="R3744" s="75" t="s">
        <v>2276</v>
      </c>
      <c r="S3744" s="75" t="s">
        <v>2276</v>
      </c>
      <c r="T3744" s="75" t="s">
        <v>2276</v>
      </c>
      <c r="U3744" s="75" t="s">
        <v>2276</v>
      </c>
      <c r="V3744" s="75" t="s">
        <v>2276</v>
      </c>
      <c r="W3744" s="75" t="s">
        <v>2276</v>
      </c>
      <c r="X3744" s="75" t="s">
        <v>2276</v>
      </c>
      <c r="Y3744" s="75" t="s">
        <v>2276</v>
      </c>
      <c r="Z3744" s="75" t="s">
        <v>2276</v>
      </c>
      <c r="AA3744" s="75" t="s">
        <v>2276</v>
      </c>
      <c r="AB3744" s="75" t="s">
        <v>2276</v>
      </c>
      <c r="AC3744" s="204"/>
      <c r="AD3744" s="82" t="s">
        <v>9745</v>
      </c>
    </row>
    <row r="3745" spans="1:30" ht="51" customHeight="1">
      <c r="A3745" s="204" t="s">
        <v>9765</v>
      </c>
      <c r="B3745" s="204" t="s">
        <v>9788</v>
      </c>
      <c r="C3745" s="204" t="s">
        <v>24</v>
      </c>
      <c r="D3745" s="204" t="s">
        <v>27</v>
      </c>
      <c r="E3745" s="204" t="s">
        <v>130</v>
      </c>
      <c r="F3745" s="4" t="s">
        <v>74</v>
      </c>
      <c r="G3745" s="4" t="s">
        <v>74</v>
      </c>
      <c r="H3745" s="4" t="s">
        <v>523</v>
      </c>
      <c r="I3745" s="204"/>
      <c r="J3745" s="75" t="s">
        <v>2276</v>
      </c>
      <c r="K3745" s="75" t="s">
        <v>2276</v>
      </c>
      <c r="L3745" s="75" t="s">
        <v>2276</v>
      </c>
      <c r="M3745" s="75" t="s">
        <v>2276</v>
      </c>
      <c r="N3745" s="75" t="s">
        <v>2276</v>
      </c>
      <c r="O3745" s="75" t="s">
        <v>2276</v>
      </c>
      <c r="P3745" s="75" t="s">
        <v>2276</v>
      </c>
      <c r="Q3745" s="75" t="s">
        <v>2276</v>
      </c>
      <c r="R3745" s="75" t="s">
        <v>2276</v>
      </c>
      <c r="S3745" s="75" t="s">
        <v>2276</v>
      </c>
      <c r="T3745" s="21">
        <f>0.1062*2126200</f>
        <v>225802.44</v>
      </c>
      <c r="U3745" s="75" t="s">
        <v>2276</v>
      </c>
      <c r="V3745" s="21">
        <f>$T3745/('Record info'!$K1527*'Land use'!$R1527/100)/30</f>
        <v>0.376721278983284</v>
      </c>
      <c r="W3745" s="75" t="s">
        <v>2276</v>
      </c>
      <c r="X3745" s="21">
        <f>$T3745/('Record info'!$K1527)/30</f>
        <v>0.35400000000000004</v>
      </c>
      <c r="Y3745" s="75" t="s">
        <v>2276</v>
      </c>
      <c r="Z3745" s="75" t="s">
        <v>2276</v>
      </c>
      <c r="AA3745" s="75" t="s">
        <v>2276</v>
      </c>
      <c r="AB3745" s="75" t="s">
        <v>2276</v>
      </c>
      <c r="AC3745" s="204"/>
      <c r="AD3745" s="204"/>
    </row>
    <row r="3746" spans="1:30" ht="51" customHeight="1">
      <c r="A3746" s="204" t="s">
        <v>9766</v>
      </c>
      <c r="B3746" s="204" t="s">
        <v>9789</v>
      </c>
      <c r="C3746" s="204" t="s">
        <v>24</v>
      </c>
      <c r="D3746" s="204" t="s">
        <v>27</v>
      </c>
      <c r="E3746" s="204" t="s">
        <v>130</v>
      </c>
      <c r="F3746" s="4" t="s">
        <v>74</v>
      </c>
      <c r="G3746" s="4" t="s">
        <v>74</v>
      </c>
      <c r="H3746" s="4" t="s">
        <v>523</v>
      </c>
      <c r="I3746" s="204"/>
      <c r="J3746" s="75" t="s">
        <v>2276</v>
      </c>
      <c r="K3746" s="75" t="s">
        <v>2276</v>
      </c>
      <c r="L3746" s="75" t="s">
        <v>2276</v>
      </c>
      <c r="M3746" s="75" t="s">
        <v>2276</v>
      </c>
      <c r="N3746" s="75" t="s">
        <v>2276</v>
      </c>
      <c r="O3746" s="75" t="s">
        <v>2276</v>
      </c>
      <c r="P3746" s="75" t="s">
        <v>2276</v>
      </c>
      <c r="Q3746" s="75" t="s">
        <v>2276</v>
      </c>
      <c r="R3746" s="75" t="s">
        <v>2276</v>
      </c>
      <c r="S3746" s="75" t="s">
        <v>2276</v>
      </c>
      <c r="T3746" s="21">
        <f>0.1291*('Record info'!K1528*100)</f>
        <v>119975.21200000001</v>
      </c>
      <c r="U3746" s="75" t="s">
        <v>2276</v>
      </c>
      <c r="V3746" s="21">
        <f>$T3746/('Record info'!$K1528*'Land use'!$R1528/100)/30</f>
        <v>0.46041895652497605</v>
      </c>
      <c r="W3746" s="75" t="s">
        <v>2276</v>
      </c>
      <c r="X3746" s="21">
        <f>$T3746/('Record info'!$K1528)/30</f>
        <v>0.43033333333333335</v>
      </c>
      <c r="Y3746" s="75" t="s">
        <v>2276</v>
      </c>
      <c r="Z3746" s="75" t="s">
        <v>2276</v>
      </c>
      <c r="AA3746" s="75" t="s">
        <v>2276</v>
      </c>
      <c r="AB3746" s="75" t="s">
        <v>2276</v>
      </c>
      <c r="AC3746" s="204"/>
      <c r="AD3746" s="204"/>
    </row>
    <row r="3747" spans="1:30" ht="51" customHeight="1">
      <c r="A3747" s="204" t="s">
        <v>9767</v>
      </c>
      <c r="B3747" s="204" t="s">
        <v>9790</v>
      </c>
      <c r="C3747" s="204" t="s">
        <v>24</v>
      </c>
      <c r="D3747" s="204" t="s">
        <v>27</v>
      </c>
      <c r="E3747" s="204" t="s">
        <v>130</v>
      </c>
      <c r="F3747" s="4" t="s">
        <v>74</v>
      </c>
      <c r="G3747" s="4" t="s">
        <v>74</v>
      </c>
      <c r="H3747" s="4" t="s">
        <v>523</v>
      </c>
      <c r="I3747" s="204"/>
      <c r="J3747" s="75" t="s">
        <v>2276</v>
      </c>
      <c r="K3747" s="75" t="s">
        <v>2276</v>
      </c>
      <c r="L3747" s="75" t="s">
        <v>2276</v>
      </c>
      <c r="M3747" s="75" t="s">
        <v>2276</v>
      </c>
      <c r="N3747" s="75" t="s">
        <v>2276</v>
      </c>
      <c r="O3747" s="75" t="s">
        <v>2276</v>
      </c>
      <c r="P3747" s="75" t="s">
        <v>2276</v>
      </c>
      <c r="Q3747" s="75" t="s">
        <v>2276</v>
      </c>
      <c r="R3747" s="75" t="s">
        <v>2276</v>
      </c>
      <c r="S3747" s="75" t="s">
        <v>2276</v>
      </c>
      <c r="T3747" s="21">
        <f>0.1388*('Record info'!K1529*100)</f>
        <v>80982.86</v>
      </c>
      <c r="U3747" s="75" t="s">
        <v>2276</v>
      </c>
      <c r="V3747" s="21">
        <f>$T3747/('Record info'!$K1529*'Land use'!$R1529/100)/30</f>
        <v>0.49919486250589074</v>
      </c>
      <c r="W3747" s="75" t="s">
        <v>2276</v>
      </c>
      <c r="X3747" s="21">
        <f>$T3747/('Record info'!$K1529)/30</f>
        <v>0.46266666666666667</v>
      </c>
      <c r="Y3747" s="75" t="s">
        <v>2276</v>
      </c>
      <c r="Z3747" s="75" t="s">
        <v>2276</v>
      </c>
      <c r="AA3747" s="75" t="s">
        <v>2276</v>
      </c>
      <c r="AB3747" s="75" t="s">
        <v>2276</v>
      </c>
      <c r="AC3747" s="204"/>
      <c r="AD3747" s="204"/>
    </row>
    <row r="3748" spans="1:30" ht="51" customHeight="1">
      <c r="A3748" s="204" t="s">
        <v>9768</v>
      </c>
      <c r="B3748" s="204" t="s">
        <v>9791</v>
      </c>
      <c r="C3748" s="204" t="s">
        <v>24</v>
      </c>
      <c r="D3748" s="204" t="s">
        <v>27</v>
      </c>
      <c r="E3748" s="204" t="s">
        <v>130</v>
      </c>
      <c r="F3748" s="4" t="s">
        <v>74</v>
      </c>
      <c r="G3748" s="4" t="s">
        <v>74</v>
      </c>
      <c r="H3748" s="4" t="s">
        <v>523</v>
      </c>
      <c r="I3748" s="204"/>
      <c r="J3748" s="75" t="s">
        <v>2276</v>
      </c>
      <c r="K3748" s="75" t="s">
        <v>2276</v>
      </c>
      <c r="L3748" s="75" t="s">
        <v>2276</v>
      </c>
      <c r="M3748" s="75" t="s">
        <v>2276</v>
      </c>
      <c r="N3748" s="75" t="s">
        <v>2276</v>
      </c>
      <c r="O3748" s="75" t="s">
        <v>2276</v>
      </c>
      <c r="P3748" s="75" t="s">
        <v>2276</v>
      </c>
      <c r="Q3748" s="75" t="s">
        <v>2276</v>
      </c>
      <c r="R3748" s="75" t="s">
        <v>2276</v>
      </c>
      <c r="S3748" s="75" t="s">
        <v>2276</v>
      </c>
      <c r="T3748" s="21">
        <f>0.1205*('Record info'!K1530*100)</f>
        <v>52527.155000000006</v>
      </c>
      <c r="U3748" s="75" t="s">
        <v>2276</v>
      </c>
      <c r="V3748" s="21">
        <f>$T3748/('Record info'!$K1530*'Land use'!$R1530/100)/30</f>
        <v>0.43793376278678692</v>
      </c>
      <c r="W3748" s="75" t="s">
        <v>2276</v>
      </c>
      <c r="X3748" s="21">
        <f>$T3748/('Record info'!$K1530)/30</f>
        <v>0.40166666666666667</v>
      </c>
      <c r="Y3748" s="75" t="s">
        <v>2276</v>
      </c>
      <c r="Z3748" s="75" t="s">
        <v>2276</v>
      </c>
      <c r="AA3748" s="75" t="s">
        <v>2276</v>
      </c>
      <c r="AB3748" s="75" t="s">
        <v>2276</v>
      </c>
      <c r="AC3748" s="204"/>
      <c r="AD3748" s="204"/>
    </row>
    <row r="3749" spans="1:30" ht="51" customHeight="1">
      <c r="A3749" s="204" t="s">
        <v>9769</v>
      </c>
      <c r="B3749" s="204" t="s">
        <v>9792</v>
      </c>
      <c r="C3749" s="204" t="s">
        <v>24</v>
      </c>
      <c r="D3749" s="204" t="s">
        <v>27</v>
      </c>
      <c r="E3749" s="204" t="s">
        <v>130</v>
      </c>
      <c r="F3749" s="4" t="s">
        <v>74</v>
      </c>
      <c r="G3749" s="4" t="s">
        <v>74</v>
      </c>
      <c r="H3749" s="4" t="s">
        <v>523</v>
      </c>
      <c r="I3749" s="204"/>
      <c r="J3749" s="75" t="s">
        <v>2276</v>
      </c>
      <c r="K3749" s="75" t="s">
        <v>2276</v>
      </c>
      <c r="L3749" s="75" t="s">
        <v>2276</v>
      </c>
      <c r="M3749" s="75" t="s">
        <v>2276</v>
      </c>
      <c r="N3749" s="75" t="s">
        <v>2276</v>
      </c>
      <c r="O3749" s="75" t="s">
        <v>2276</v>
      </c>
      <c r="P3749" s="75" t="s">
        <v>2276</v>
      </c>
      <c r="Q3749" s="75" t="s">
        <v>2276</v>
      </c>
      <c r="R3749" s="75" t="s">
        <v>2276</v>
      </c>
      <c r="S3749" s="75" t="s">
        <v>2276</v>
      </c>
      <c r="T3749" s="21">
        <f>0.1729*('Record info'!K1531*100)</f>
        <v>121317.014</v>
      </c>
      <c r="U3749" s="75" t="s">
        <v>2276</v>
      </c>
      <c r="V3749" s="21">
        <f>$T3749/('Record info'!$K1531*'Land use'!$R1531/100)/30</f>
        <v>0.63824085925790308</v>
      </c>
      <c r="W3749" s="75" t="s">
        <v>2276</v>
      </c>
      <c r="X3749" s="21">
        <f>$T3749/('Record info'!$K1531)/30</f>
        <v>0.57633333333333325</v>
      </c>
      <c r="Y3749" s="75" t="s">
        <v>2276</v>
      </c>
      <c r="Z3749" s="75" t="s">
        <v>2276</v>
      </c>
      <c r="AA3749" s="75" t="s">
        <v>2276</v>
      </c>
      <c r="AB3749" s="75" t="s">
        <v>2276</v>
      </c>
      <c r="AC3749" s="204"/>
      <c r="AD3749" s="204"/>
    </row>
    <row r="3750" spans="1:30" ht="51" customHeight="1">
      <c r="A3750" s="204" t="s">
        <v>9770</v>
      </c>
      <c r="B3750" s="204" t="s">
        <v>9793</v>
      </c>
      <c r="C3750" s="204" t="s">
        <v>24</v>
      </c>
      <c r="D3750" s="204" t="s">
        <v>27</v>
      </c>
      <c r="E3750" s="204" t="s">
        <v>130</v>
      </c>
      <c r="F3750" s="4" t="s">
        <v>74</v>
      </c>
      <c r="G3750" s="4" t="s">
        <v>74</v>
      </c>
      <c r="H3750" s="4" t="s">
        <v>523</v>
      </c>
      <c r="I3750" s="204"/>
      <c r="J3750" s="75" t="s">
        <v>2276</v>
      </c>
      <c r="K3750" s="75" t="s">
        <v>2276</v>
      </c>
      <c r="L3750" s="75" t="s">
        <v>2276</v>
      </c>
      <c r="M3750" s="75" t="s">
        <v>2276</v>
      </c>
      <c r="N3750" s="75" t="s">
        <v>2276</v>
      </c>
      <c r="O3750" s="75" t="s">
        <v>2276</v>
      </c>
      <c r="P3750" s="75" t="s">
        <v>2276</v>
      </c>
      <c r="Q3750" s="75" t="s">
        <v>2276</v>
      </c>
      <c r="R3750" s="75" t="s">
        <v>2276</v>
      </c>
      <c r="S3750" s="75" t="s">
        <v>2276</v>
      </c>
      <c r="T3750" s="21">
        <f>0.0645*('Record info'!K1532*100)</f>
        <v>335026.54499999998</v>
      </c>
      <c r="U3750" s="75" t="s">
        <v>2276</v>
      </c>
      <c r="V3750" s="21">
        <f>$T3750/('Record info'!$K1532*'Land use'!$R1532/100)/30</f>
        <v>0.24234496178703599</v>
      </c>
      <c r="W3750" s="75" t="s">
        <v>2276</v>
      </c>
      <c r="X3750" s="21">
        <f>$T3750/('Record info'!$K1532)/30</f>
        <v>0.215</v>
      </c>
      <c r="Y3750" s="75" t="s">
        <v>2276</v>
      </c>
      <c r="Z3750" s="75" t="s">
        <v>2276</v>
      </c>
      <c r="AA3750" s="75" t="s">
        <v>2276</v>
      </c>
      <c r="AB3750" s="75" t="s">
        <v>2276</v>
      </c>
      <c r="AC3750" s="204"/>
      <c r="AD3750" s="204"/>
    </row>
    <row r="3751" spans="1:30" ht="51" customHeight="1">
      <c r="A3751" s="204" t="s">
        <v>9771</v>
      </c>
      <c r="B3751" s="204" t="s">
        <v>9794</v>
      </c>
      <c r="C3751" s="204" t="s">
        <v>24</v>
      </c>
      <c r="D3751" s="204" t="s">
        <v>27</v>
      </c>
      <c r="E3751" s="204" t="s">
        <v>130</v>
      </c>
      <c r="F3751" s="4" t="s">
        <v>74</v>
      </c>
      <c r="G3751" s="4" t="s">
        <v>74</v>
      </c>
      <c r="H3751" s="4" t="s">
        <v>523</v>
      </c>
      <c r="I3751" s="204"/>
      <c r="J3751" s="75" t="s">
        <v>2276</v>
      </c>
      <c r="K3751" s="75" t="s">
        <v>2276</v>
      </c>
      <c r="L3751" s="75" t="s">
        <v>2276</v>
      </c>
      <c r="M3751" s="75" t="s">
        <v>2276</v>
      </c>
      <c r="N3751" s="75" t="s">
        <v>2276</v>
      </c>
      <c r="O3751" s="75" t="s">
        <v>2276</v>
      </c>
      <c r="P3751" s="75" t="s">
        <v>2276</v>
      </c>
      <c r="Q3751" s="75" t="s">
        <v>2276</v>
      </c>
      <c r="R3751" s="75" t="s">
        <v>2276</v>
      </c>
      <c r="S3751" s="75" t="s">
        <v>2276</v>
      </c>
      <c r="T3751" s="21">
        <f>0.0503*('Record info'!K1533*100)</f>
        <v>126872.193</v>
      </c>
      <c r="U3751" s="75" t="s">
        <v>2276</v>
      </c>
      <c r="V3751" s="21">
        <f>$T3751/('Record info'!$K1533*'Land use'!$R1533/100)/30</f>
        <v>0.18580025960623239</v>
      </c>
      <c r="W3751" s="75" t="s">
        <v>2276</v>
      </c>
      <c r="X3751" s="21">
        <f>$T3751/('Record info'!$K1533)/30</f>
        <v>0.16766666666666669</v>
      </c>
      <c r="Y3751" s="75" t="s">
        <v>2276</v>
      </c>
      <c r="Z3751" s="75" t="s">
        <v>2276</v>
      </c>
      <c r="AA3751" s="75" t="s">
        <v>2276</v>
      </c>
      <c r="AB3751" s="75" t="s">
        <v>2276</v>
      </c>
      <c r="AC3751" s="204"/>
      <c r="AD3751" s="204"/>
    </row>
    <row r="3752" spans="1:30" ht="51" customHeight="1">
      <c r="A3752" s="204" t="s">
        <v>9772</v>
      </c>
      <c r="B3752" s="204" t="s">
        <v>9795</v>
      </c>
      <c r="C3752" s="204" t="s">
        <v>24</v>
      </c>
      <c r="D3752" s="204" t="s">
        <v>27</v>
      </c>
      <c r="E3752" s="204" t="s">
        <v>130</v>
      </c>
      <c r="F3752" s="4" t="s">
        <v>74</v>
      </c>
      <c r="G3752" s="4" t="s">
        <v>74</v>
      </c>
      <c r="H3752" s="4" t="s">
        <v>523</v>
      </c>
      <c r="I3752" s="204"/>
      <c r="J3752" s="75" t="s">
        <v>2276</v>
      </c>
      <c r="K3752" s="75" t="s">
        <v>2276</v>
      </c>
      <c r="L3752" s="75" t="s">
        <v>2276</v>
      </c>
      <c r="M3752" s="75" t="s">
        <v>2276</v>
      </c>
      <c r="N3752" s="75" t="s">
        <v>2276</v>
      </c>
      <c r="O3752" s="75" t="s">
        <v>2276</v>
      </c>
      <c r="P3752" s="75" t="s">
        <v>2276</v>
      </c>
      <c r="Q3752" s="75" t="s">
        <v>2276</v>
      </c>
      <c r="R3752" s="75" t="s">
        <v>2276</v>
      </c>
      <c r="S3752" s="75" t="s">
        <v>2276</v>
      </c>
      <c r="T3752" s="21">
        <f>0.1296*('Record info'!K1534*100)</f>
        <v>308722.75199999998</v>
      </c>
      <c r="U3752" s="75" t="s">
        <v>2276</v>
      </c>
      <c r="V3752" s="21">
        <f>$T3752/('Record info'!$K1534*'Land use'!$R1534/100)/30</f>
        <v>0.49413709925445543</v>
      </c>
      <c r="W3752" s="75" t="s">
        <v>2276</v>
      </c>
      <c r="X3752" s="21">
        <f>$T3752/('Record info'!$K1534)/30</f>
        <v>0.432</v>
      </c>
      <c r="Y3752" s="75" t="s">
        <v>2276</v>
      </c>
      <c r="Z3752" s="75" t="s">
        <v>2276</v>
      </c>
      <c r="AA3752" s="75" t="s">
        <v>2276</v>
      </c>
      <c r="AB3752" s="75" t="s">
        <v>2276</v>
      </c>
      <c r="AC3752" s="204"/>
      <c r="AD3752" s="204"/>
    </row>
    <row r="3753" spans="1:30" ht="51" customHeight="1">
      <c r="A3753" s="204" t="s">
        <v>9773</v>
      </c>
      <c r="B3753" s="204" t="s">
        <v>9796</v>
      </c>
      <c r="C3753" s="204" t="s">
        <v>24</v>
      </c>
      <c r="D3753" s="204" t="s">
        <v>27</v>
      </c>
      <c r="E3753" s="204" t="s">
        <v>130</v>
      </c>
      <c r="F3753" s="4" t="s">
        <v>74</v>
      </c>
      <c r="G3753" s="4" t="s">
        <v>74</v>
      </c>
      <c r="H3753" s="4" t="s">
        <v>523</v>
      </c>
      <c r="I3753" s="204"/>
      <c r="J3753" s="75" t="s">
        <v>2276</v>
      </c>
      <c r="K3753" s="75" t="s">
        <v>2276</v>
      </c>
      <c r="L3753" s="75" t="s">
        <v>2276</v>
      </c>
      <c r="M3753" s="75" t="s">
        <v>2276</v>
      </c>
      <c r="N3753" s="75" t="s">
        <v>2276</v>
      </c>
      <c r="O3753" s="75" t="s">
        <v>2276</v>
      </c>
      <c r="P3753" s="75" t="s">
        <v>2276</v>
      </c>
      <c r="Q3753" s="75" t="s">
        <v>2276</v>
      </c>
      <c r="R3753" s="75" t="s">
        <v>2276</v>
      </c>
      <c r="S3753" s="75" t="s">
        <v>2276</v>
      </c>
      <c r="T3753" s="21">
        <f>0.1467*('Record info'!K1535*100)</f>
        <v>166500.09899999999</v>
      </c>
      <c r="U3753" s="75" t="s">
        <v>2276</v>
      </c>
      <c r="V3753" s="21">
        <f>$T3753/('Record info'!$K1535*'Land use'!$R1535/100)/30</f>
        <v>0.56621853471912253</v>
      </c>
      <c r="W3753" s="75" t="s">
        <v>2276</v>
      </c>
      <c r="X3753" s="21">
        <f>$T3753/('Record info'!$K1535)/30</f>
        <v>0.48899999999999993</v>
      </c>
      <c r="Y3753" s="75" t="s">
        <v>2276</v>
      </c>
      <c r="Z3753" s="75" t="s">
        <v>2276</v>
      </c>
      <c r="AA3753" s="75" t="s">
        <v>2276</v>
      </c>
      <c r="AB3753" s="75" t="s">
        <v>2276</v>
      </c>
      <c r="AC3753" s="204"/>
      <c r="AD3753" s="204"/>
    </row>
    <row r="3754" spans="1:30" ht="51" customHeight="1">
      <c r="A3754" s="204" t="s">
        <v>9774</v>
      </c>
      <c r="B3754" s="204" t="s">
        <v>9797</v>
      </c>
      <c r="C3754" s="204" t="s">
        <v>24</v>
      </c>
      <c r="D3754" s="204" t="s">
        <v>27</v>
      </c>
      <c r="E3754" s="204" t="s">
        <v>130</v>
      </c>
      <c r="F3754" s="4" t="s">
        <v>74</v>
      </c>
      <c r="G3754" s="4" t="s">
        <v>74</v>
      </c>
      <c r="H3754" s="4" t="s">
        <v>523</v>
      </c>
      <c r="I3754" s="204"/>
      <c r="J3754" s="75" t="s">
        <v>2276</v>
      </c>
      <c r="K3754" s="75" t="s">
        <v>2276</v>
      </c>
      <c r="L3754" s="75" t="s">
        <v>2276</v>
      </c>
      <c r="M3754" s="75" t="s">
        <v>2276</v>
      </c>
      <c r="N3754" s="75" t="s">
        <v>2276</v>
      </c>
      <c r="O3754" s="75" t="s">
        <v>2276</v>
      </c>
      <c r="P3754" s="75" t="s">
        <v>2276</v>
      </c>
      <c r="Q3754" s="75" t="s">
        <v>2276</v>
      </c>
      <c r="R3754" s="75" t="s">
        <v>2276</v>
      </c>
      <c r="S3754" s="75" t="s">
        <v>2276</v>
      </c>
      <c r="T3754" s="21">
        <f>0.0944*('Record info'!K1536*100)</f>
        <v>169346.04800000001</v>
      </c>
      <c r="U3754" s="75" t="s">
        <v>2276</v>
      </c>
      <c r="V3754" s="21">
        <f>$T3754/('Record info'!$K1536*'Land use'!$R1536/100)/30</f>
        <v>0.34595214390637602</v>
      </c>
      <c r="W3754" s="75" t="s">
        <v>2276</v>
      </c>
      <c r="X3754" s="21">
        <f>$T3754/('Record info'!$K1536)/30</f>
        <v>0.31466666666666665</v>
      </c>
      <c r="Y3754" s="75" t="s">
        <v>2276</v>
      </c>
      <c r="Z3754" s="75" t="s">
        <v>2276</v>
      </c>
      <c r="AA3754" s="75" t="s">
        <v>2276</v>
      </c>
      <c r="AB3754" s="75" t="s">
        <v>2276</v>
      </c>
      <c r="AC3754" s="204"/>
      <c r="AD3754" s="204"/>
    </row>
    <row r="3755" spans="1:30" ht="51" customHeight="1">
      <c r="A3755" s="204" t="s">
        <v>9775</v>
      </c>
      <c r="B3755" s="204" t="s">
        <v>9798</v>
      </c>
      <c r="C3755" s="204" t="s">
        <v>24</v>
      </c>
      <c r="D3755" s="204" t="s">
        <v>27</v>
      </c>
      <c r="E3755" s="204" t="s">
        <v>130</v>
      </c>
      <c r="F3755" s="4" t="s">
        <v>74</v>
      </c>
      <c r="G3755" s="4" t="s">
        <v>74</v>
      </c>
      <c r="H3755" s="4" t="s">
        <v>523</v>
      </c>
      <c r="I3755" s="204"/>
      <c r="J3755" s="75" t="s">
        <v>2276</v>
      </c>
      <c r="K3755" s="75" t="s">
        <v>2276</v>
      </c>
      <c r="L3755" s="75" t="s">
        <v>2276</v>
      </c>
      <c r="M3755" s="75" t="s">
        <v>2276</v>
      </c>
      <c r="N3755" s="75" t="s">
        <v>2276</v>
      </c>
      <c r="O3755" s="75" t="s">
        <v>2276</v>
      </c>
      <c r="P3755" s="75" t="s">
        <v>2276</v>
      </c>
      <c r="Q3755" s="75" t="s">
        <v>2276</v>
      </c>
      <c r="R3755" s="75" t="s">
        <v>2276</v>
      </c>
      <c r="S3755" s="75" t="s">
        <v>2276</v>
      </c>
      <c r="T3755" s="21">
        <f>0.1577*('Record info'!K1537*100)</f>
        <v>416611.86000000004</v>
      </c>
      <c r="U3755" s="75" t="s">
        <v>2276</v>
      </c>
      <c r="V3755" s="21">
        <f>$T3755/('Record info'!$K1537*'Land use'!$R1537/100)/30</f>
        <v>0.6001044463146159</v>
      </c>
      <c r="W3755" s="75" t="s">
        <v>2276</v>
      </c>
      <c r="X3755" s="21">
        <f>$T3755/('Record info'!$K1537)/30</f>
        <v>0.52566666666666673</v>
      </c>
      <c r="Y3755" s="75" t="s">
        <v>2276</v>
      </c>
      <c r="Z3755" s="75" t="s">
        <v>2276</v>
      </c>
      <c r="AA3755" s="75" t="s">
        <v>2276</v>
      </c>
      <c r="AB3755" s="75" t="s">
        <v>2276</v>
      </c>
      <c r="AC3755" s="204"/>
      <c r="AD3755" s="204"/>
    </row>
    <row r="3756" spans="1:30" ht="51" customHeight="1">
      <c r="A3756" s="204" t="s">
        <v>9776</v>
      </c>
      <c r="B3756" s="204" t="s">
        <v>9799</v>
      </c>
      <c r="C3756" s="204" t="s">
        <v>24</v>
      </c>
      <c r="D3756" s="204" t="s">
        <v>27</v>
      </c>
      <c r="E3756" s="204" t="s">
        <v>130</v>
      </c>
      <c r="F3756" s="4" t="s">
        <v>74</v>
      </c>
      <c r="G3756" s="4" t="s">
        <v>74</v>
      </c>
      <c r="H3756" s="4" t="s">
        <v>523</v>
      </c>
      <c r="I3756" s="204"/>
      <c r="J3756" s="75" t="s">
        <v>2276</v>
      </c>
      <c r="K3756" s="75" t="s">
        <v>2276</v>
      </c>
      <c r="L3756" s="75" t="s">
        <v>2276</v>
      </c>
      <c r="M3756" s="75" t="s">
        <v>2276</v>
      </c>
      <c r="N3756" s="75" t="s">
        <v>2276</v>
      </c>
      <c r="O3756" s="75" t="s">
        <v>2276</v>
      </c>
      <c r="P3756" s="75" t="s">
        <v>2276</v>
      </c>
      <c r="Q3756" s="75" t="s">
        <v>2276</v>
      </c>
      <c r="R3756" s="75" t="s">
        <v>2276</v>
      </c>
      <c r="S3756" s="75" t="s">
        <v>2276</v>
      </c>
      <c r="T3756" s="21">
        <f>0.1513*('Record info'!K1538*100)</f>
        <v>366041.603</v>
      </c>
      <c r="U3756" s="75" t="s">
        <v>2276</v>
      </c>
      <c r="V3756" s="21">
        <f>$T3756/('Record info'!$K1538*'Land use'!$R1538/100)/30</f>
        <v>0.56223171251598281</v>
      </c>
      <c r="W3756" s="75" t="s">
        <v>2276</v>
      </c>
      <c r="X3756" s="21">
        <f>$T3756/('Record info'!$K1538)/30</f>
        <v>0.50433333333333341</v>
      </c>
      <c r="Y3756" s="75" t="s">
        <v>2276</v>
      </c>
      <c r="Z3756" s="75" t="s">
        <v>2276</v>
      </c>
      <c r="AA3756" s="75" t="s">
        <v>2276</v>
      </c>
      <c r="AB3756" s="75" t="s">
        <v>2276</v>
      </c>
      <c r="AC3756" s="204"/>
      <c r="AD3756" s="204"/>
    </row>
    <row r="3757" spans="1:30" ht="51" customHeight="1">
      <c r="A3757" s="204" t="s">
        <v>9777</v>
      </c>
      <c r="B3757" s="204" t="s">
        <v>9800</v>
      </c>
      <c r="C3757" s="204" t="s">
        <v>24</v>
      </c>
      <c r="D3757" s="204" t="s">
        <v>27</v>
      </c>
      <c r="E3757" s="204" t="s">
        <v>130</v>
      </c>
      <c r="F3757" s="4" t="s">
        <v>74</v>
      </c>
      <c r="G3757" s="4" t="s">
        <v>74</v>
      </c>
      <c r="H3757" s="4" t="s">
        <v>523</v>
      </c>
      <c r="I3757" s="204"/>
      <c r="J3757" s="75" t="s">
        <v>2276</v>
      </c>
      <c r="K3757" s="75" t="s">
        <v>2276</v>
      </c>
      <c r="L3757" s="75" t="s">
        <v>2276</v>
      </c>
      <c r="M3757" s="75" t="s">
        <v>2276</v>
      </c>
      <c r="N3757" s="75" t="s">
        <v>2276</v>
      </c>
      <c r="O3757" s="75" t="s">
        <v>2276</v>
      </c>
      <c r="P3757" s="75" t="s">
        <v>2276</v>
      </c>
      <c r="Q3757" s="75" t="s">
        <v>2276</v>
      </c>
      <c r="R3757" s="75" t="s">
        <v>2276</v>
      </c>
      <c r="S3757" s="75" t="s">
        <v>2276</v>
      </c>
      <c r="T3757" s="21">
        <f>0.1273*('Record info'!K1539*100)</f>
        <v>301855.033</v>
      </c>
      <c r="U3757" s="75" t="s">
        <v>2276</v>
      </c>
      <c r="V3757" s="21">
        <f>$T3757/('Record info'!$K1539*'Land use'!$R1539/100)/30</f>
        <v>0.46007915180407916</v>
      </c>
      <c r="W3757" s="75" t="s">
        <v>2276</v>
      </c>
      <c r="X3757" s="21">
        <f>$T3757/('Record info'!$K1539)/30</f>
        <v>0.42433333333333334</v>
      </c>
      <c r="Y3757" s="75" t="s">
        <v>2276</v>
      </c>
      <c r="Z3757" s="75" t="s">
        <v>2276</v>
      </c>
      <c r="AA3757" s="75" t="s">
        <v>2276</v>
      </c>
      <c r="AB3757" s="75" t="s">
        <v>2276</v>
      </c>
      <c r="AC3757" s="204"/>
      <c r="AD3757" s="204"/>
    </row>
    <row r="3758" spans="1:30" ht="51" customHeight="1">
      <c r="A3758" s="204" t="s">
        <v>9778</v>
      </c>
      <c r="B3758" s="204" t="s">
        <v>9801</v>
      </c>
      <c r="C3758" s="204" t="s">
        <v>24</v>
      </c>
      <c r="D3758" s="204" t="s">
        <v>27</v>
      </c>
      <c r="E3758" s="204" t="s">
        <v>130</v>
      </c>
      <c r="F3758" s="4" t="s">
        <v>74</v>
      </c>
      <c r="G3758" s="4" t="s">
        <v>74</v>
      </c>
      <c r="H3758" s="4" t="s">
        <v>523</v>
      </c>
      <c r="I3758" s="204"/>
      <c r="J3758" s="75" t="s">
        <v>2276</v>
      </c>
      <c r="K3758" s="75" t="s">
        <v>2276</v>
      </c>
      <c r="L3758" s="75" t="s">
        <v>2276</v>
      </c>
      <c r="M3758" s="75" t="s">
        <v>2276</v>
      </c>
      <c r="N3758" s="75" t="s">
        <v>2276</v>
      </c>
      <c r="O3758" s="75" t="s">
        <v>2276</v>
      </c>
      <c r="P3758" s="75" t="s">
        <v>2276</v>
      </c>
      <c r="Q3758" s="75" t="s">
        <v>2276</v>
      </c>
      <c r="R3758" s="75" t="s">
        <v>2276</v>
      </c>
      <c r="S3758" s="75" t="s">
        <v>2276</v>
      </c>
      <c r="T3758" s="21">
        <f>0.1017*('Record info'!K1540*100)</f>
        <v>315826.299</v>
      </c>
      <c r="U3758" s="75" t="s">
        <v>2276</v>
      </c>
      <c r="V3758" s="21">
        <f>$T3758/('Record info'!$K1540*'Land use'!$R1540/100)/30</f>
        <v>0.37641199235987804</v>
      </c>
      <c r="W3758" s="75" t="s">
        <v>2276</v>
      </c>
      <c r="X3758" s="21">
        <f>$T3758/('Record info'!$K1540)/30</f>
        <v>0.33900000000000002</v>
      </c>
      <c r="Y3758" s="75" t="s">
        <v>2276</v>
      </c>
      <c r="Z3758" s="75" t="s">
        <v>2276</v>
      </c>
      <c r="AA3758" s="75" t="s">
        <v>2276</v>
      </c>
      <c r="AB3758" s="75" t="s">
        <v>2276</v>
      </c>
      <c r="AC3758" s="204"/>
      <c r="AD3758" s="204"/>
    </row>
    <row r="3759" spans="1:30" ht="51" customHeight="1">
      <c r="A3759" s="204" t="s">
        <v>9779</v>
      </c>
      <c r="B3759" s="204" t="s">
        <v>9802</v>
      </c>
      <c r="C3759" s="204" t="s">
        <v>24</v>
      </c>
      <c r="D3759" s="204" t="s">
        <v>27</v>
      </c>
      <c r="E3759" s="204" t="s">
        <v>130</v>
      </c>
      <c r="F3759" s="4" t="s">
        <v>74</v>
      </c>
      <c r="G3759" s="4" t="s">
        <v>74</v>
      </c>
      <c r="H3759" s="4" t="s">
        <v>523</v>
      </c>
      <c r="I3759" s="204"/>
      <c r="J3759" s="75" t="s">
        <v>2276</v>
      </c>
      <c r="K3759" s="75" t="s">
        <v>2276</v>
      </c>
      <c r="L3759" s="75" t="s">
        <v>2276</v>
      </c>
      <c r="M3759" s="75" t="s">
        <v>2276</v>
      </c>
      <c r="N3759" s="75" t="s">
        <v>2276</v>
      </c>
      <c r="O3759" s="75" t="s">
        <v>2276</v>
      </c>
      <c r="P3759" s="75" t="s">
        <v>2276</v>
      </c>
      <c r="Q3759" s="75" t="s">
        <v>2276</v>
      </c>
      <c r="R3759" s="75" t="s">
        <v>2276</v>
      </c>
      <c r="S3759" s="75" t="s">
        <v>2276</v>
      </c>
      <c r="T3759" s="21">
        <f>0.1122*('Record info'!K1541*100)</f>
        <v>16908.54</v>
      </c>
      <c r="U3759" s="75" t="s">
        <v>2276</v>
      </c>
      <c r="V3759" s="21">
        <f>$T3759/('Record info'!$K1541*'Land use'!$R1541/100)/30</f>
        <v>0.44540522599483973</v>
      </c>
      <c r="W3759" s="75" t="s">
        <v>2276</v>
      </c>
      <c r="X3759" s="21">
        <f>$T3759/('Record info'!$K1541)/30</f>
        <v>0.374</v>
      </c>
      <c r="Y3759" s="75" t="s">
        <v>2276</v>
      </c>
      <c r="Z3759" s="75" t="s">
        <v>2276</v>
      </c>
      <c r="AA3759" s="75" t="s">
        <v>2276</v>
      </c>
      <c r="AB3759" s="75" t="s">
        <v>2276</v>
      </c>
      <c r="AC3759" s="204"/>
      <c r="AD3759" s="204"/>
    </row>
    <row r="3760" spans="1:30" ht="51" customHeight="1">
      <c r="A3760" s="204" t="s">
        <v>9780</v>
      </c>
      <c r="B3760" s="204" t="s">
        <v>9803</v>
      </c>
      <c r="C3760" s="204" t="s">
        <v>24</v>
      </c>
      <c r="D3760" s="204" t="s">
        <v>27</v>
      </c>
      <c r="E3760" s="204" t="s">
        <v>130</v>
      </c>
      <c r="F3760" s="4" t="s">
        <v>74</v>
      </c>
      <c r="G3760" s="4" t="s">
        <v>74</v>
      </c>
      <c r="H3760" s="4" t="s">
        <v>523</v>
      </c>
      <c r="I3760" s="204"/>
      <c r="J3760" s="75" t="s">
        <v>2276</v>
      </c>
      <c r="K3760" s="75" t="s">
        <v>2276</v>
      </c>
      <c r="L3760" s="75" t="s">
        <v>2276</v>
      </c>
      <c r="M3760" s="75" t="s">
        <v>2276</v>
      </c>
      <c r="N3760" s="75" t="s">
        <v>2276</v>
      </c>
      <c r="O3760" s="75" t="s">
        <v>2276</v>
      </c>
      <c r="P3760" s="75" t="s">
        <v>2276</v>
      </c>
      <c r="Q3760" s="75" t="s">
        <v>2276</v>
      </c>
      <c r="R3760" s="75" t="s">
        <v>2276</v>
      </c>
      <c r="S3760" s="75" t="s">
        <v>2276</v>
      </c>
      <c r="T3760" s="21">
        <f>0.0878*('Record info'!K1542*100)</f>
        <v>72049.558000000005</v>
      </c>
      <c r="U3760" s="75" t="s">
        <v>2276</v>
      </c>
      <c r="V3760" s="21">
        <f>$T3760/('Record info'!$K1542*'Land use'!$R1542/100)/30</f>
        <v>0.39762087155387388</v>
      </c>
      <c r="W3760" s="75" t="s">
        <v>2276</v>
      </c>
      <c r="X3760" s="21">
        <f>$T3760/('Record info'!$K1542)/30</f>
        <v>0.29266666666666663</v>
      </c>
      <c r="Y3760" s="75" t="s">
        <v>2276</v>
      </c>
      <c r="Z3760" s="75" t="s">
        <v>2276</v>
      </c>
      <c r="AA3760" s="75" t="s">
        <v>2276</v>
      </c>
      <c r="AB3760" s="75" t="s">
        <v>2276</v>
      </c>
      <c r="AC3760" s="204"/>
      <c r="AD3760" s="204"/>
    </row>
    <row r="3761" spans="1:30" ht="51" customHeight="1">
      <c r="A3761" s="204" t="s">
        <v>9781</v>
      </c>
      <c r="B3761" s="204" t="s">
        <v>9804</v>
      </c>
      <c r="C3761" s="204" t="s">
        <v>24</v>
      </c>
      <c r="D3761" s="204" t="s">
        <v>27</v>
      </c>
      <c r="E3761" s="204" t="s">
        <v>130</v>
      </c>
      <c r="F3761" s="4" t="s">
        <v>74</v>
      </c>
      <c r="G3761" s="4" t="s">
        <v>74</v>
      </c>
      <c r="H3761" s="4" t="s">
        <v>523</v>
      </c>
      <c r="I3761" s="204"/>
      <c r="J3761" s="75" t="s">
        <v>2276</v>
      </c>
      <c r="K3761" s="75" t="s">
        <v>2276</v>
      </c>
      <c r="L3761" s="75" t="s">
        <v>2276</v>
      </c>
      <c r="M3761" s="75" t="s">
        <v>2276</v>
      </c>
      <c r="N3761" s="75" t="s">
        <v>2276</v>
      </c>
      <c r="O3761" s="75" t="s">
        <v>2276</v>
      </c>
      <c r="P3761" s="75" t="s">
        <v>2276</v>
      </c>
      <c r="Q3761" s="75" t="s">
        <v>2276</v>
      </c>
      <c r="R3761" s="75" t="s">
        <v>2276</v>
      </c>
      <c r="S3761" s="75" t="s">
        <v>2276</v>
      </c>
      <c r="T3761" s="21">
        <f>0.0745*('Record info'!K1543*100)</f>
        <v>101240.28499999999</v>
      </c>
      <c r="U3761" s="75" t="s">
        <v>2276</v>
      </c>
      <c r="V3761" s="21">
        <f>$T3761/('Record info'!$K1543*'Land use'!$R1543/100)/30</f>
        <v>0.30073173195028013</v>
      </c>
      <c r="W3761" s="75" t="s">
        <v>2276</v>
      </c>
      <c r="X3761" s="21">
        <f>$T3761/('Record info'!$K1543)/30</f>
        <v>0.24833333333333332</v>
      </c>
      <c r="Y3761" s="75" t="s">
        <v>2276</v>
      </c>
      <c r="Z3761" s="75" t="s">
        <v>2276</v>
      </c>
      <c r="AA3761" s="75" t="s">
        <v>2276</v>
      </c>
      <c r="AB3761" s="75" t="s">
        <v>2276</v>
      </c>
      <c r="AC3761" s="204"/>
      <c r="AD3761" s="204"/>
    </row>
    <row r="3762" spans="1:30" ht="51" customHeight="1">
      <c r="A3762" s="11" t="s">
        <v>9782</v>
      </c>
      <c r="B3762" s="11" t="s">
        <v>9805</v>
      </c>
      <c r="C3762" s="204" t="s">
        <v>24</v>
      </c>
      <c r="D3762" s="204" t="s">
        <v>27</v>
      </c>
      <c r="E3762" s="204" t="s">
        <v>130</v>
      </c>
      <c r="F3762" s="4" t="s">
        <v>74</v>
      </c>
      <c r="G3762" s="4" t="s">
        <v>74</v>
      </c>
      <c r="H3762" s="4" t="s">
        <v>523</v>
      </c>
      <c r="I3762" s="204"/>
      <c r="J3762" s="75" t="s">
        <v>2276</v>
      </c>
      <c r="K3762" s="75" t="s">
        <v>2276</v>
      </c>
      <c r="L3762" s="75" t="s">
        <v>2276</v>
      </c>
      <c r="M3762" s="75" t="s">
        <v>2276</v>
      </c>
      <c r="N3762" s="75" t="s">
        <v>2276</v>
      </c>
      <c r="O3762" s="75" t="s">
        <v>2276</v>
      </c>
      <c r="P3762" s="75" t="s">
        <v>2276</v>
      </c>
      <c r="Q3762" s="75" t="s">
        <v>2276</v>
      </c>
      <c r="R3762" s="75" t="s">
        <v>2276</v>
      </c>
      <c r="S3762" s="75" t="s">
        <v>2276</v>
      </c>
      <c r="T3762" s="21">
        <f>0.0319*('Record info'!K1544*100)</f>
        <v>58948.009999999995</v>
      </c>
      <c r="U3762" s="75" t="s">
        <v>2276</v>
      </c>
      <c r="V3762" s="21">
        <f>$T3762/('Record info'!$K1544*'Land use'!$R1544/100)/30</f>
        <v>0.14527596279380406</v>
      </c>
      <c r="W3762" s="75" t="s">
        <v>2276</v>
      </c>
      <c r="X3762" s="21">
        <f>$T3762/('Record info'!$K1544)/30</f>
        <v>0.10633333333333332</v>
      </c>
      <c r="Y3762" s="75" t="s">
        <v>2276</v>
      </c>
      <c r="Z3762" s="75" t="s">
        <v>2276</v>
      </c>
      <c r="AA3762" s="75" t="s">
        <v>2276</v>
      </c>
      <c r="AB3762" s="75" t="s">
        <v>2276</v>
      </c>
      <c r="AC3762" s="204"/>
      <c r="AD3762" s="204"/>
    </row>
    <row r="3763" spans="1:30" ht="50.5" customHeight="1">
      <c r="A3763" s="204" t="s">
        <v>9786</v>
      </c>
      <c r="B3763" s="204" t="s">
        <v>9806</v>
      </c>
      <c r="C3763" s="204" t="s">
        <v>24</v>
      </c>
      <c r="D3763" s="204" t="s">
        <v>27</v>
      </c>
      <c r="E3763" s="204" t="s">
        <v>130</v>
      </c>
      <c r="F3763" s="4" t="s">
        <v>74</v>
      </c>
      <c r="G3763" s="4" t="s">
        <v>74</v>
      </c>
      <c r="H3763" s="4" t="s">
        <v>523</v>
      </c>
      <c r="I3763" s="204"/>
      <c r="J3763" s="75" t="s">
        <v>2276</v>
      </c>
      <c r="K3763" s="75" t="s">
        <v>2276</v>
      </c>
      <c r="L3763" s="75" t="s">
        <v>2276</v>
      </c>
      <c r="M3763" s="75" t="s">
        <v>2276</v>
      </c>
      <c r="N3763" s="75" t="s">
        <v>2276</v>
      </c>
      <c r="O3763" s="75" t="s">
        <v>2276</v>
      </c>
      <c r="P3763" s="75" t="s">
        <v>2276</v>
      </c>
      <c r="Q3763" s="75" t="s">
        <v>2276</v>
      </c>
      <c r="R3763" s="75" t="s">
        <v>2276</v>
      </c>
      <c r="S3763" s="75" t="s">
        <v>2276</v>
      </c>
      <c r="T3763" s="21">
        <f>0.3404*('Record info'!K1545*100)</f>
        <v>240860.23199999999</v>
      </c>
      <c r="U3763" s="75" t="s">
        <v>2276</v>
      </c>
      <c r="V3763" s="21">
        <f>$T3763/('Record info'!$K1545*'Land use'!$R1545/100)/30</f>
        <v>1.3673707148714622</v>
      </c>
      <c r="W3763" s="75" t="s">
        <v>2276</v>
      </c>
      <c r="X3763" s="21">
        <f>$T3763/('Record info'!$K1545)/30</f>
        <v>1.1346666666666667</v>
      </c>
      <c r="Y3763" s="75" t="s">
        <v>2276</v>
      </c>
      <c r="Z3763" s="75" t="s">
        <v>2276</v>
      </c>
      <c r="AA3763" s="75" t="s">
        <v>2276</v>
      </c>
      <c r="AB3763" s="75" t="s">
        <v>2276</v>
      </c>
      <c r="AC3763" s="204"/>
      <c r="AD3763" s="204"/>
    </row>
    <row r="3764" spans="1:30" ht="50.5" customHeight="1">
      <c r="A3764" s="204" t="s">
        <v>9765</v>
      </c>
      <c r="B3764" s="204" t="s">
        <v>9807</v>
      </c>
      <c r="C3764" s="204" t="s">
        <v>2458</v>
      </c>
      <c r="D3764" s="204" t="s">
        <v>2276</v>
      </c>
      <c r="E3764" s="204" t="s">
        <v>2276</v>
      </c>
      <c r="F3764" s="4" t="s">
        <v>74</v>
      </c>
      <c r="G3764" s="4" t="s">
        <v>74</v>
      </c>
      <c r="H3764" s="4" t="s">
        <v>523</v>
      </c>
      <c r="I3764" s="204"/>
      <c r="J3764" s="75" t="s">
        <v>2276</v>
      </c>
      <c r="K3764" s="75" t="s">
        <v>2276</v>
      </c>
      <c r="L3764" s="75" t="s">
        <v>2276</v>
      </c>
      <c r="M3764" s="75" t="s">
        <v>2276</v>
      </c>
      <c r="N3764" s="75" t="s">
        <v>2276</v>
      </c>
      <c r="O3764" s="75" t="s">
        <v>2276</v>
      </c>
      <c r="P3764" s="75" t="s">
        <v>2276</v>
      </c>
      <c r="Q3764" s="75" t="s">
        <v>2276</v>
      </c>
      <c r="R3764" s="75" t="s">
        <v>2276</v>
      </c>
      <c r="S3764" s="75" t="s">
        <v>2276</v>
      </c>
      <c r="T3764" s="21">
        <f>0.0089*'Record info'!K1527*100</f>
        <v>18923.18</v>
      </c>
      <c r="U3764" s="75" t="s">
        <v>2276</v>
      </c>
      <c r="V3764" s="21">
        <f>$T3764/('Record info'!$K1527*'Land use'!$R1527/100)/30</f>
        <v>3.1570803982591593E-2</v>
      </c>
      <c r="W3764" s="75" t="s">
        <v>2276</v>
      </c>
      <c r="X3764" s="21">
        <f>$T3764/('Record info'!$K1527)/30</f>
        <v>2.9666666666666668E-2</v>
      </c>
      <c r="Y3764" s="75" t="s">
        <v>2276</v>
      </c>
      <c r="Z3764" s="75" t="s">
        <v>2276</v>
      </c>
      <c r="AA3764" s="75" t="s">
        <v>2276</v>
      </c>
      <c r="AB3764" s="75" t="s">
        <v>2276</v>
      </c>
      <c r="AC3764" s="204"/>
      <c r="AD3764" s="204"/>
    </row>
    <row r="3765" spans="1:30" ht="50.5" customHeight="1">
      <c r="A3765" s="204" t="s">
        <v>9766</v>
      </c>
      <c r="B3765" s="204" t="s">
        <v>9808</v>
      </c>
      <c r="C3765" s="204" t="s">
        <v>2458</v>
      </c>
      <c r="D3765" s="204" t="s">
        <v>2276</v>
      </c>
      <c r="E3765" s="204" t="s">
        <v>2276</v>
      </c>
      <c r="F3765" s="4" t="s">
        <v>74</v>
      </c>
      <c r="G3765" s="4" t="s">
        <v>74</v>
      </c>
      <c r="H3765" s="4" t="s">
        <v>523</v>
      </c>
      <c r="I3765" s="204"/>
      <c r="J3765" s="75" t="s">
        <v>2276</v>
      </c>
      <c r="K3765" s="75" t="s">
        <v>2276</v>
      </c>
      <c r="L3765" s="75" t="s">
        <v>2276</v>
      </c>
      <c r="M3765" s="75" t="s">
        <v>2276</v>
      </c>
      <c r="N3765" s="75" t="s">
        <v>2276</v>
      </c>
      <c r="O3765" s="75" t="s">
        <v>2276</v>
      </c>
      <c r="P3765" s="75" t="s">
        <v>2276</v>
      </c>
      <c r="Q3765" s="75" t="s">
        <v>2276</v>
      </c>
      <c r="R3765" s="75" t="s">
        <v>2276</v>
      </c>
      <c r="S3765" s="75" t="s">
        <v>2276</v>
      </c>
      <c r="T3765" s="21">
        <f>0.0005*'Record info'!K1528*100</f>
        <v>464.66</v>
      </c>
      <c r="U3765" s="75" t="s">
        <v>2276</v>
      </c>
      <c r="V3765" s="21">
        <f>$T3765/('Record info'!$K1528*'Land use'!$R1528/100)/30</f>
        <v>1.7831872832105966E-3</v>
      </c>
      <c r="W3765" s="75" t="s">
        <v>2276</v>
      </c>
      <c r="X3765" s="21">
        <f>$T3765/('Record info'!$K1528)/30</f>
        <v>1.6666666666666666E-3</v>
      </c>
      <c r="Y3765" s="75" t="s">
        <v>2276</v>
      </c>
      <c r="Z3765" s="75" t="s">
        <v>2276</v>
      </c>
      <c r="AA3765" s="75" t="s">
        <v>2276</v>
      </c>
      <c r="AB3765" s="75" t="s">
        <v>2276</v>
      </c>
      <c r="AC3765" s="204"/>
      <c r="AD3765" s="204"/>
    </row>
    <row r="3766" spans="1:30" ht="50.5" customHeight="1">
      <c r="A3766" s="204" t="s">
        <v>9767</v>
      </c>
      <c r="B3766" s="204" t="s">
        <v>9809</v>
      </c>
      <c r="C3766" s="204" t="s">
        <v>2458</v>
      </c>
      <c r="D3766" s="204" t="s">
        <v>2276</v>
      </c>
      <c r="E3766" s="204" t="s">
        <v>2276</v>
      </c>
      <c r="F3766" s="4" t="s">
        <v>74</v>
      </c>
      <c r="G3766" s="4" t="s">
        <v>74</v>
      </c>
      <c r="H3766" s="4" t="s">
        <v>523</v>
      </c>
      <c r="I3766" s="204"/>
      <c r="J3766" s="75" t="s">
        <v>2276</v>
      </c>
      <c r="K3766" s="75" t="s">
        <v>2276</v>
      </c>
      <c r="L3766" s="75" t="s">
        <v>2276</v>
      </c>
      <c r="M3766" s="75" t="s">
        <v>2276</v>
      </c>
      <c r="N3766" s="75" t="s">
        <v>2276</v>
      </c>
      <c r="O3766" s="75" t="s">
        <v>2276</v>
      </c>
      <c r="P3766" s="75" t="s">
        <v>2276</v>
      </c>
      <c r="Q3766" s="75" t="s">
        <v>2276</v>
      </c>
      <c r="R3766" s="75" t="s">
        <v>2276</v>
      </c>
      <c r="S3766" s="75" t="s">
        <v>2276</v>
      </c>
      <c r="T3766" s="21">
        <f>0.0059*'Record info'!K1529*100</f>
        <v>3442.355</v>
      </c>
      <c r="U3766" s="75" t="s">
        <v>2276</v>
      </c>
      <c r="V3766" s="21">
        <f>$T3766/('Record info'!$K1529*'Land use'!$R1529/100)/30</f>
        <v>2.1219378161273453E-2</v>
      </c>
      <c r="W3766" s="75" t="s">
        <v>2276</v>
      </c>
      <c r="X3766" s="21">
        <f>$T3766/('Record info'!$K1529)/30</f>
        <v>1.9666666666666666E-2</v>
      </c>
      <c r="Y3766" s="75" t="s">
        <v>2276</v>
      </c>
      <c r="Z3766" s="75" t="s">
        <v>2276</v>
      </c>
      <c r="AA3766" s="75" t="s">
        <v>2276</v>
      </c>
      <c r="AB3766" s="75" t="s">
        <v>2276</v>
      </c>
      <c r="AC3766" s="204"/>
      <c r="AD3766" s="204"/>
    </row>
    <row r="3767" spans="1:30" ht="50.5" customHeight="1">
      <c r="A3767" s="204" t="s">
        <v>9768</v>
      </c>
      <c r="B3767" s="204" t="s">
        <v>9810</v>
      </c>
      <c r="C3767" s="204" t="s">
        <v>2458</v>
      </c>
      <c r="D3767" s="204" t="s">
        <v>2276</v>
      </c>
      <c r="E3767" s="204" t="s">
        <v>2276</v>
      </c>
      <c r="F3767" s="4" t="s">
        <v>74</v>
      </c>
      <c r="G3767" s="4" t="s">
        <v>74</v>
      </c>
      <c r="H3767" s="4" t="s">
        <v>523</v>
      </c>
      <c r="I3767" s="204"/>
      <c r="J3767" s="75" t="s">
        <v>2276</v>
      </c>
      <c r="K3767" s="75" t="s">
        <v>2276</v>
      </c>
      <c r="L3767" s="75" t="s">
        <v>2276</v>
      </c>
      <c r="M3767" s="75" t="s">
        <v>2276</v>
      </c>
      <c r="N3767" s="75" t="s">
        <v>2276</v>
      </c>
      <c r="O3767" s="75" t="s">
        <v>2276</v>
      </c>
      <c r="P3767" s="75" t="s">
        <v>2276</v>
      </c>
      <c r="Q3767" s="75" t="s">
        <v>2276</v>
      </c>
      <c r="R3767" s="75" t="s">
        <v>2276</v>
      </c>
      <c r="S3767" s="75" t="s">
        <v>2276</v>
      </c>
      <c r="T3767" s="21">
        <f>0.0451*'Record info'!K1530*100</f>
        <v>19659.541000000001</v>
      </c>
      <c r="U3767" s="75" t="s">
        <v>2276</v>
      </c>
      <c r="V3767" s="21">
        <f>$T3767/('Record info'!$K1530*'Land use'!$R1530/100)/30</f>
        <v>0.16390715935007544</v>
      </c>
      <c r="W3767" s="75" t="s">
        <v>2276</v>
      </c>
      <c r="X3767" s="21">
        <f>$T3767/('Record info'!$K1530)/30</f>
        <v>0.15033333333333332</v>
      </c>
      <c r="Y3767" s="75" t="s">
        <v>2276</v>
      </c>
      <c r="Z3767" s="75" t="s">
        <v>2276</v>
      </c>
      <c r="AA3767" s="75" t="s">
        <v>2276</v>
      </c>
      <c r="AB3767" s="75" t="s">
        <v>2276</v>
      </c>
      <c r="AC3767" s="204"/>
      <c r="AD3767" s="204"/>
    </row>
    <row r="3768" spans="1:30" ht="50.5" customHeight="1">
      <c r="A3768" s="204" t="s">
        <v>9769</v>
      </c>
      <c r="B3768" s="204" t="s">
        <v>9811</v>
      </c>
      <c r="C3768" s="204" t="s">
        <v>2458</v>
      </c>
      <c r="D3768" s="204" t="s">
        <v>2276</v>
      </c>
      <c r="E3768" s="204" t="s">
        <v>2276</v>
      </c>
      <c r="F3768" s="4" t="s">
        <v>74</v>
      </c>
      <c r="G3768" s="4" t="s">
        <v>74</v>
      </c>
      <c r="H3768" s="4" t="s">
        <v>523</v>
      </c>
      <c r="I3768" s="204"/>
      <c r="J3768" s="75" t="s">
        <v>2276</v>
      </c>
      <c r="K3768" s="75" t="s">
        <v>2276</v>
      </c>
      <c r="L3768" s="75" t="s">
        <v>2276</v>
      </c>
      <c r="M3768" s="75" t="s">
        <v>2276</v>
      </c>
      <c r="N3768" s="75" t="s">
        <v>2276</v>
      </c>
      <c r="O3768" s="75" t="s">
        <v>2276</v>
      </c>
      <c r="P3768" s="75" t="s">
        <v>2276</v>
      </c>
      <c r="Q3768" s="75" t="s">
        <v>2276</v>
      </c>
      <c r="R3768" s="75" t="s">
        <v>2276</v>
      </c>
      <c r="S3768" s="75" t="s">
        <v>2276</v>
      </c>
      <c r="T3768" s="21">
        <f>0.0068*'Record info'!K1531*100</f>
        <v>4771.2879999999996</v>
      </c>
      <c r="U3768" s="75" t="s">
        <v>2276</v>
      </c>
      <c r="V3768" s="21">
        <f>$T3768/('Record info'!$K1531*'Land use'!$R1531/100)/30</f>
        <v>2.5101433446811688E-2</v>
      </c>
      <c r="W3768" s="75" t="s">
        <v>2276</v>
      </c>
      <c r="X3768" s="21">
        <f>$T3768/('Record info'!$K1531)/30</f>
        <v>2.2666666666666665E-2</v>
      </c>
      <c r="Y3768" s="75" t="s">
        <v>2276</v>
      </c>
      <c r="Z3768" s="75" t="s">
        <v>2276</v>
      </c>
      <c r="AA3768" s="75" t="s">
        <v>2276</v>
      </c>
      <c r="AB3768" s="75" t="s">
        <v>2276</v>
      </c>
      <c r="AC3768" s="204"/>
      <c r="AD3768" s="204"/>
    </row>
    <row r="3769" spans="1:30" ht="50.5" customHeight="1">
      <c r="A3769" s="204" t="s">
        <v>9770</v>
      </c>
      <c r="B3769" s="204" t="s">
        <v>9812</v>
      </c>
      <c r="C3769" s="204" t="s">
        <v>2458</v>
      </c>
      <c r="D3769" s="204" t="s">
        <v>2276</v>
      </c>
      <c r="E3769" s="204" t="s">
        <v>2276</v>
      </c>
      <c r="F3769" s="4" t="s">
        <v>74</v>
      </c>
      <c r="G3769" s="4" t="s">
        <v>74</v>
      </c>
      <c r="H3769" s="4" t="s">
        <v>523</v>
      </c>
      <c r="I3769" s="204"/>
      <c r="J3769" s="75" t="s">
        <v>2276</v>
      </c>
      <c r="K3769" s="75" t="s">
        <v>2276</v>
      </c>
      <c r="L3769" s="75" t="s">
        <v>2276</v>
      </c>
      <c r="M3769" s="75" t="s">
        <v>2276</v>
      </c>
      <c r="N3769" s="75" t="s">
        <v>2276</v>
      </c>
      <c r="O3769" s="75" t="s">
        <v>2276</v>
      </c>
      <c r="P3769" s="75" t="s">
        <v>2276</v>
      </c>
      <c r="Q3769" s="75" t="s">
        <v>2276</v>
      </c>
      <c r="R3769" s="75" t="s">
        <v>2276</v>
      </c>
      <c r="S3769" s="75" t="s">
        <v>2276</v>
      </c>
      <c r="T3769" s="21">
        <f>0.029*'Record info'!K1532*100</f>
        <v>150632.09</v>
      </c>
      <c r="U3769" s="75" t="s">
        <v>2276</v>
      </c>
      <c r="V3769" s="21">
        <f>$T3769/('Record info'!$K1532*'Land use'!$R1532/100)/30</f>
        <v>0.1089613006484348</v>
      </c>
      <c r="W3769" s="75" t="s">
        <v>2276</v>
      </c>
      <c r="X3769" s="21">
        <f>$T3769/('Record info'!$K1532)/30</f>
        <v>9.6666666666666665E-2</v>
      </c>
      <c r="Y3769" s="75" t="s">
        <v>2276</v>
      </c>
      <c r="Z3769" s="75" t="s">
        <v>2276</v>
      </c>
      <c r="AA3769" s="75" t="s">
        <v>2276</v>
      </c>
      <c r="AB3769" s="75" t="s">
        <v>2276</v>
      </c>
      <c r="AC3769" s="204"/>
      <c r="AD3769" s="204"/>
    </row>
    <row r="3770" spans="1:30" ht="50.5" customHeight="1">
      <c r="A3770" s="204" t="s">
        <v>9771</v>
      </c>
      <c r="B3770" s="204" t="s">
        <v>9813</v>
      </c>
      <c r="C3770" s="204" t="s">
        <v>2458</v>
      </c>
      <c r="D3770" s="204" t="s">
        <v>2276</v>
      </c>
      <c r="E3770" s="204" t="s">
        <v>2276</v>
      </c>
      <c r="F3770" s="4" t="s">
        <v>74</v>
      </c>
      <c r="G3770" s="4" t="s">
        <v>74</v>
      </c>
      <c r="H3770" s="4" t="s">
        <v>523</v>
      </c>
      <c r="I3770" s="204"/>
      <c r="J3770" s="75" t="s">
        <v>2276</v>
      </c>
      <c r="K3770" s="75" t="s">
        <v>2276</v>
      </c>
      <c r="L3770" s="75" t="s">
        <v>2276</v>
      </c>
      <c r="M3770" s="75" t="s">
        <v>2276</v>
      </c>
      <c r="N3770" s="75" t="s">
        <v>2276</v>
      </c>
      <c r="O3770" s="75" t="s">
        <v>2276</v>
      </c>
      <c r="P3770" s="75" t="s">
        <v>2276</v>
      </c>
      <c r="Q3770" s="75" t="s">
        <v>2276</v>
      </c>
      <c r="R3770" s="75" t="s">
        <v>2276</v>
      </c>
      <c r="S3770" s="75" t="s">
        <v>2276</v>
      </c>
      <c r="T3770" s="21">
        <f>0.0002*'Record info'!K1533*100</f>
        <v>504.46199999999999</v>
      </c>
      <c r="U3770" s="75" t="s">
        <v>2276</v>
      </c>
      <c r="V3770" s="21">
        <f>$T3770/('Record info'!$K1533*'Land use'!$R1533/100)/30</f>
        <v>7.3876842785778284E-4</v>
      </c>
      <c r="W3770" s="75" t="s">
        <v>2276</v>
      </c>
      <c r="X3770" s="21">
        <f>$T3770/('Record info'!$K1533)/30</f>
        <v>6.6666666666666664E-4</v>
      </c>
      <c r="Y3770" s="75" t="s">
        <v>2276</v>
      </c>
      <c r="Z3770" s="75" t="s">
        <v>2276</v>
      </c>
      <c r="AA3770" s="75" t="s">
        <v>2276</v>
      </c>
      <c r="AB3770" s="75" t="s">
        <v>2276</v>
      </c>
      <c r="AC3770" s="204"/>
      <c r="AD3770" s="204"/>
    </row>
    <row r="3771" spans="1:30" ht="50.5" customHeight="1">
      <c r="A3771" s="204" t="s">
        <v>9772</v>
      </c>
      <c r="B3771" s="204" t="s">
        <v>9814</v>
      </c>
      <c r="C3771" s="204" t="s">
        <v>2458</v>
      </c>
      <c r="D3771" s="204" t="s">
        <v>2276</v>
      </c>
      <c r="E3771" s="204" t="s">
        <v>2276</v>
      </c>
      <c r="F3771" s="4" t="s">
        <v>74</v>
      </c>
      <c r="G3771" s="4" t="s">
        <v>74</v>
      </c>
      <c r="H3771" s="4" t="s">
        <v>523</v>
      </c>
      <c r="I3771" s="204"/>
      <c r="J3771" s="75" t="s">
        <v>2276</v>
      </c>
      <c r="K3771" s="75" t="s">
        <v>2276</v>
      </c>
      <c r="L3771" s="75" t="s">
        <v>2276</v>
      </c>
      <c r="M3771" s="75" t="s">
        <v>2276</v>
      </c>
      <c r="N3771" s="75" t="s">
        <v>2276</v>
      </c>
      <c r="O3771" s="75" t="s">
        <v>2276</v>
      </c>
      <c r="P3771" s="75" t="s">
        <v>2276</v>
      </c>
      <c r="Q3771" s="75" t="s">
        <v>2276</v>
      </c>
      <c r="R3771" s="75" t="s">
        <v>2276</v>
      </c>
      <c r="S3771" s="75" t="s">
        <v>2276</v>
      </c>
      <c r="T3771" s="21">
        <f>0.0101*'Record info'!K1534*100</f>
        <v>24059.412</v>
      </c>
      <c r="U3771" s="75" t="s">
        <v>2276</v>
      </c>
      <c r="V3771" s="21">
        <f>$T3771/('Record info'!$K1534*'Land use'!$R1534/100)/30</f>
        <v>3.8509141222762347E-2</v>
      </c>
      <c r="W3771" s="75" t="s">
        <v>2276</v>
      </c>
      <c r="X3771" s="21">
        <f>$T3771/('Record info'!$K1534)/30</f>
        <v>3.3666666666666664E-2</v>
      </c>
      <c r="Y3771" s="75" t="s">
        <v>2276</v>
      </c>
      <c r="Z3771" s="75" t="s">
        <v>2276</v>
      </c>
      <c r="AA3771" s="75" t="s">
        <v>2276</v>
      </c>
      <c r="AB3771" s="75" t="s">
        <v>2276</v>
      </c>
      <c r="AC3771" s="204"/>
      <c r="AD3771" s="204"/>
    </row>
    <row r="3772" spans="1:30" ht="50.5" customHeight="1">
      <c r="A3772" s="204" t="s">
        <v>9773</v>
      </c>
      <c r="B3772" s="204" t="s">
        <v>9815</v>
      </c>
      <c r="C3772" s="204" t="s">
        <v>2458</v>
      </c>
      <c r="D3772" s="204" t="s">
        <v>2276</v>
      </c>
      <c r="E3772" s="204" t="s">
        <v>2276</v>
      </c>
      <c r="F3772" s="4" t="s">
        <v>74</v>
      </c>
      <c r="G3772" s="4" t="s">
        <v>74</v>
      </c>
      <c r="H3772" s="4" t="s">
        <v>523</v>
      </c>
      <c r="I3772" s="204"/>
      <c r="J3772" s="75" t="s">
        <v>2276</v>
      </c>
      <c r="K3772" s="75" t="s">
        <v>2276</v>
      </c>
      <c r="L3772" s="75" t="s">
        <v>2276</v>
      </c>
      <c r="M3772" s="75" t="s">
        <v>2276</v>
      </c>
      <c r="N3772" s="75" t="s">
        <v>2276</v>
      </c>
      <c r="O3772" s="75" t="s">
        <v>2276</v>
      </c>
      <c r="P3772" s="75" t="s">
        <v>2276</v>
      </c>
      <c r="Q3772" s="75" t="s">
        <v>2276</v>
      </c>
      <c r="R3772" s="75" t="s">
        <v>2276</v>
      </c>
      <c r="S3772" s="75" t="s">
        <v>2276</v>
      </c>
      <c r="T3772" s="21">
        <f>0.00019*'Record info'!K1535*100</f>
        <v>215.64430000000004</v>
      </c>
      <c r="U3772" s="75" t="s">
        <v>2276</v>
      </c>
      <c r="V3772" s="21">
        <f>$T3772/('Record info'!$K1535*'Land use'!$R1535/100)/30</f>
        <v>7.333437054985229E-4</v>
      </c>
      <c r="W3772" s="75" t="s">
        <v>2276</v>
      </c>
      <c r="X3772" s="21">
        <f>$T3772/('Record info'!$K1535)/30</f>
        <v>6.333333333333334E-4</v>
      </c>
      <c r="Y3772" s="75" t="s">
        <v>2276</v>
      </c>
      <c r="Z3772" s="75" t="s">
        <v>2276</v>
      </c>
      <c r="AA3772" s="75" t="s">
        <v>2276</v>
      </c>
      <c r="AB3772" s="75" t="s">
        <v>2276</v>
      </c>
      <c r="AC3772" s="204"/>
      <c r="AD3772" s="204"/>
    </row>
    <row r="3773" spans="1:30" ht="50.5" customHeight="1">
      <c r="A3773" s="204" t="s">
        <v>9774</v>
      </c>
      <c r="B3773" s="204" t="s">
        <v>9816</v>
      </c>
      <c r="C3773" s="204" t="s">
        <v>2458</v>
      </c>
      <c r="D3773" s="204" t="s">
        <v>2276</v>
      </c>
      <c r="E3773" s="204" t="s">
        <v>2276</v>
      </c>
      <c r="F3773" s="4" t="s">
        <v>74</v>
      </c>
      <c r="G3773" s="4" t="s">
        <v>74</v>
      </c>
      <c r="H3773" s="4" t="s">
        <v>523</v>
      </c>
      <c r="I3773" s="204"/>
      <c r="J3773" s="75" t="s">
        <v>2276</v>
      </c>
      <c r="K3773" s="75" t="s">
        <v>2276</v>
      </c>
      <c r="L3773" s="75" t="s">
        <v>2276</v>
      </c>
      <c r="M3773" s="75" t="s">
        <v>2276</v>
      </c>
      <c r="N3773" s="75" t="s">
        <v>2276</v>
      </c>
      <c r="O3773" s="75" t="s">
        <v>2276</v>
      </c>
      <c r="P3773" s="75" t="s">
        <v>2276</v>
      </c>
      <c r="Q3773" s="75" t="s">
        <v>2276</v>
      </c>
      <c r="R3773" s="75" t="s">
        <v>2276</v>
      </c>
      <c r="S3773" s="75" t="s">
        <v>2276</v>
      </c>
      <c r="T3773" s="21">
        <f>0.0106*'Record info'!K1536*100</f>
        <v>19015.552</v>
      </c>
      <c r="U3773" s="75" t="s">
        <v>2276</v>
      </c>
      <c r="V3773" s="21">
        <f>$T3773/('Record info'!$K1536*'Land use'!$R1536/100)/30</f>
        <v>3.8846321243724426E-2</v>
      </c>
      <c r="W3773" s="75" t="s">
        <v>2276</v>
      </c>
      <c r="X3773" s="21">
        <f>$T3773/('Record info'!$K1536)/30</f>
        <v>3.5333333333333328E-2</v>
      </c>
      <c r="Y3773" s="75" t="s">
        <v>2276</v>
      </c>
      <c r="Z3773" s="75" t="s">
        <v>2276</v>
      </c>
      <c r="AA3773" s="75" t="s">
        <v>2276</v>
      </c>
      <c r="AB3773" s="75" t="s">
        <v>2276</v>
      </c>
      <c r="AC3773" s="204"/>
      <c r="AD3773" s="204"/>
    </row>
    <row r="3774" spans="1:30" ht="50.5" customHeight="1">
      <c r="A3774" s="204" t="s">
        <v>9775</v>
      </c>
      <c r="B3774" s="204" t="s">
        <v>9817</v>
      </c>
      <c r="C3774" s="204" t="s">
        <v>2458</v>
      </c>
      <c r="D3774" s="204" t="s">
        <v>2276</v>
      </c>
      <c r="E3774" s="204" t="s">
        <v>2276</v>
      </c>
      <c r="F3774" s="4" t="s">
        <v>74</v>
      </c>
      <c r="G3774" s="4" t="s">
        <v>74</v>
      </c>
      <c r="H3774" s="4" t="s">
        <v>523</v>
      </c>
      <c r="I3774" s="204"/>
      <c r="J3774" s="75" t="s">
        <v>2276</v>
      </c>
      <c r="K3774" s="75" t="s">
        <v>2276</v>
      </c>
      <c r="L3774" s="75" t="s">
        <v>2276</v>
      </c>
      <c r="M3774" s="75" t="s">
        <v>2276</v>
      </c>
      <c r="N3774" s="75" t="s">
        <v>2276</v>
      </c>
      <c r="O3774" s="75" t="s">
        <v>2276</v>
      </c>
      <c r="P3774" s="75" t="s">
        <v>2276</v>
      </c>
      <c r="Q3774" s="75" t="s">
        <v>2276</v>
      </c>
      <c r="R3774" s="75" t="s">
        <v>2276</v>
      </c>
      <c r="S3774" s="75" t="s">
        <v>2276</v>
      </c>
      <c r="T3774" s="21">
        <f>0.0184*'Record info'!K1537*100</f>
        <v>48609.120000000003</v>
      </c>
      <c r="U3774" s="75" t="s">
        <v>2276</v>
      </c>
      <c r="V3774" s="21">
        <f>$T3774/('Record info'!$K1537*'Land use'!$R1537/100)/30</f>
        <v>7.0018527661312183E-2</v>
      </c>
      <c r="W3774" s="75" t="s">
        <v>2276</v>
      </c>
      <c r="X3774" s="21">
        <f>$T3774/('Record info'!$K1537)/30</f>
        <v>6.1333333333333337E-2</v>
      </c>
      <c r="Y3774" s="75" t="s">
        <v>2276</v>
      </c>
      <c r="Z3774" s="75" t="s">
        <v>2276</v>
      </c>
      <c r="AA3774" s="75" t="s">
        <v>2276</v>
      </c>
      <c r="AB3774" s="75" t="s">
        <v>2276</v>
      </c>
      <c r="AC3774" s="204"/>
      <c r="AD3774" s="204"/>
    </row>
    <row r="3775" spans="1:30" ht="50.5" customHeight="1">
      <c r="A3775" s="204" t="s">
        <v>9776</v>
      </c>
      <c r="B3775" s="204" t="s">
        <v>9818</v>
      </c>
      <c r="C3775" s="204" t="s">
        <v>2458</v>
      </c>
      <c r="D3775" s="204" t="s">
        <v>2276</v>
      </c>
      <c r="E3775" s="204" t="s">
        <v>2276</v>
      </c>
      <c r="F3775" s="4" t="s">
        <v>74</v>
      </c>
      <c r="G3775" s="4" t="s">
        <v>74</v>
      </c>
      <c r="H3775" s="4" t="s">
        <v>523</v>
      </c>
      <c r="I3775" s="204"/>
      <c r="J3775" s="75" t="s">
        <v>2276</v>
      </c>
      <c r="K3775" s="75" t="s">
        <v>2276</v>
      </c>
      <c r="L3775" s="75" t="s">
        <v>2276</v>
      </c>
      <c r="M3775" s="75" t="s">
        <v>2276</v>
      </c>
      <c r="N3775" s="75" t="s">
        <v>2276</v>
      </c>
      <c r="O3775" s="75" t="s">
        <v>2276</v>
      </c>
      <c r="P3775" s="75" t="s">
        <v>2276</v>
      </c>
      <c r="Q3775" s="75" t="s">
        <v>2276</v>
      </c>
      <c r="R3775" s="75" t="s">
        <v>2276</v>
      </c>
      <c r="S3775" s="75" t="s">
        <v>2276</v>
      </c>
      <c r="T3775" s="21">
        <f>0.0049*'Record info'!K1538*100</f>
        <v>11854.618999999999</v>
      </c>
      <c r="U3775" s="75" t="s">
        <v>2276</v>
      </c>
      <c r="V3775" s="21">
        <f>$T3775/('Record info'!$K1538*'Land use'!$R1538/100)/30</f>
        <v>1.8208429552731761E-2</v>
      </c>
      <c r="W3775" s="75" t="s">
        <v>2276</v>
      </c>
      <c r="X3775" s="21">
        <f>$T3775/('Record info'!$K1538)/30</f>
        <v>1.6333333333333332E-2</v>
      </c>
      <c r="Y3775" s="75" t="s">
        <v>2276</v>
      </c>
      <c r="Z3775" s="75" t="s">
        <v>2276</v>
      </c>
      <c r="AA3775" s="75" t="s">
        <v>2276</v>
      </c>
      <c r="AB3775" s="75" t="s">
        <v>2276</v>
      </c>
      <c r="AC3775" s="204"/>
      <c r="AD3775" s="204"/>
    </row>
    <row r="3776" spans="1:30" ht="50.5" customHeight="1">
      <c r="A3776" s="204" t="s">
        <v>9777</v>
      </c>
      <c r="B3776" s="204" t="s">
        <v>9819</v>
      </c>
      <c r="C3776" s="204" t="s">
        <v>2458</v>
      </c>
      <c r="D3776" s="204" t="s">
        <v>2276</v>
      </c>
      <c r="E3776" s="204" t="s">
        <v>2276</v>
      </c>
      <c r="F3776" s="4" t="s">
        <v>74</v>
      </c>
      <c r="G3776" s="4" t="s">
        <v>74</v>
      </c>
      <c r="H3776" s="4" t="s">
        <v>523</v>
      </c>
      <c r="I3776" s="204"/>
      <c r="J3776" s="75" t="s">
        <v>2276</v>
      </c>
      <c r="K3776" s="75" t="s">
        <v>2276</v>
      </c>
      <c r="L3776" s="75" t="s">
        <v>2276</v>
      </c>
      <c r="M3776" s="75" t="s">
        <v>2276</v>
      </c>
      <c r="N3776" s="75" t="s">
        <v>2276</v>
      </c>
      <c r="O3776" s="75" t="s">
        <v>2276</v>
      </c>
      <c r="P3776" s="75" t="s">
        <v>2276</v>
      </c>
      <c r="Q3776" s="75" t="s">
        <v>2276</v>
      </c>
      <c r="R3776" s="75" t="s">
        <v>2276</v>
      </c>
      <c r="S3776" s="75" t="s">
        <v>2276</v>
      </c>
      <c r="T3776" s="21">
        <f>0.0036*'Record info'!K1539*100</f>
        <v>8536.3559999999998</v>
      </c>
      <c r="U3776" s="75" t="s">
        <v>2276</v>
      </c>
      <c r="V3776" s="21">
        <f>$T3776/('Record info'!$K1539*'Land use'!$R1539/100)/30</f>
        <v>1.3010879391160133E-2</v>
      </c>
      <c r="W3776" s="75" t="s">
        <v>2276</v>
      </c>
      <c r="X3776" s="21">
        <f>$T3776/('Record info'!$K1539)/30</f>
        <v>1.2E-2</v>
      </c>
      <c r="Y3776" s="75" t="s">
        <v>2276</v>
      </c>
      <c r="Z3776" s="75" t="s">
        <v>2276</v>
      </c>
      <c r="AA3776" s="75" t="s">
        <v>2276</v>
      </c>
      <c r="AB3776" s="75" t="s">
        <v>2276</v>
      </c>
      <c r="AC3776" s="204"/>
      <c r="AD3776" s="204"/>
    </row>
    <row r="3777" spans="1:30" ht="50.5" customHeight="1">
      <c r="A3777" s="204" t="s">
        <v>9778</v>
      </c>
      <c r="B3777" s="204" t="s">
        <v>9820</v>
      </c>
      <c r="C3777" s="204" t="s">
        <v>2458</v>
      </c>
      <c r="D3777" s="204" t="s">
        <v>2276</v>
      </c>
      <c r="E3777" s="204" t="s">
        <v>2276</v>
      </c>
      <c r="F3777" s="4" t="s">
        <v>74</v>
      </c>
      <c r="G3777" s="4" t="s">
        <v>74</v>
      </c>
      <c r="H3777" s="4" t="s">
        <v>523</v>
      </c>
      <c r="I3777" s="204"/>
      <c r="J3777" s="75" t="s">
        <v>2276</v>
      </c>
      <c r="K3777" s="75" t="s">
        <v>2276</v>
      </c>
      <c r="L3777" s="75" t="s">
        <v>2276</v>
      </c>
      <c r="M3777" s="75" t="s">
        <v>2276</v>
      </c>
      <c r="N3777" s="75" t="s">
        <v>2276</v>
      </c>
      <c r="O3777" s="75" t="s">
        <v>2276</v>
      </c>
      <c r="P3777" s="75" t="s">
        <v>2276</v>
      </c>
      <c r="Q3777" s="75" t="s">
        <v>2276</v>
      </c>
      <c r="R3777" s="75" t="s">
        <v>2276</v>
      </c>
      <c r="S3777" s="75" t="s">
        <v>2276</v>
      </c>
      <c r="T3777" s="21">
        <f>0.0058*'Record info'!K1540*100</f>
        <v>18011.725999999999</v>
      </c>
      <c r="U3777" s="75" t="s">
        <v>2276</v>
      </c>
      <c r="V3777" s="21">
        <f>$T3777/('Record info'!$K1540*'Land use'!$R1540/100)/30</f>
        <v>2.1466957283060892E-2</v>
      </c>
      <c r="W3777" s="75" t="s">
        <v>2276</v>
      </c>
      <c r="X3777" s="21">
        <f>$T3777/('Record info'!$K1540)/30</f>
        <v>1.9333333333333331E-2</v>
      </c>
      <c r="Y3777" s="75" t="s">
        <v>2276</v>
      </c>
      <c r="Z3777" s="75" t="s">
        <v>2276</v>
      </c>
      <c r="AA3777" s="75" t="s">
        <v>2276</v>
      </c>
      <c r="AB3777" s="75" t="s">
        <v>2276</v>
      </c>
      <c r="AC3777" s="204"/>
      <c r="AD3777" s="204"/>
    </row>
    <row r="3778" spans="1:30" ht="50.5" customHeight="1">
      <c r="A3778" s="204" t="s">
        <v>9779</v>
      </c>
      <c r="B3778" s="204" t="s">
        <v>9821</v>
      </c>
      <c r="C3778" s="204" t="s">
        <v>2458</v>
      </c>
      <c r="D3778" s="204" t="s">
        <v>2276</v>
      </c>
      <c r="E3778" s="204" t="s">
        <v>2276</v>
      </c>
      <c r="F3778" s="4" t="s">
        <v>74</v>
      </c>
      <c r="G3778" s="4" t="s">
        <v>74</v>
      </c>
      <c r="H3778" s="4" t="s">
        <v>524</v>
      </c>
      <c r="I3778" s="204"/>
      <c r="J3778" s="21">
        <v>0</v>
      </c>
      <c r="K3778" s="21">
        <v>0</v>
      </c>
      <c r="L3778" s="21">
        <v>0</v>
      </c>
      <c r="M3778" s="21">
        <v>0</v>
      </c>
      <c r="N3778" s="21">
        <v>0</v>
      </c>
      <c r="O3778" s="21">
        <v>0</v>
      </c>
      <c r="P3778" s="21">
        <v>0</v>
      </c>
      <c r="Q3778" s="21">
        <v>0</v>
      </c>
      <c r="R3778" s="21">
        <v>0</v>
      </c>
      <c r="S3778" s="21">
        <v>0</v>
      </c>
      <c r="T3778" s="21">
        <v>0</v>
      </c>
      <c r="U3778" s="21">
        <v>0</v>
      </c>
      <c r="V3778" s="21">
        <v>0</v>
      </c>
      <c r="W3778" s="21">
        <v>0</v>
      </c>
      <c r="X3778" s="21">
        <v>0</v>
      </c>
      <c r="Y3778" s="75" t="s">
        <v>2276</v>
      </c>
      <c r="Z3778" s="75" t="s">
        <v>2276</v>
      </c>
      <c r="AA3778" s="75" t="s">
        <v>2276</v>
      </c>
      <c r="AB3778" s="75" t="s">
        <v>2276</v>
      </c>
      <c r="AC3778" s="204"/>
      <c r="AD3778" s="204"/>
    </row>
    <row r="3779" spans="1:30" ht="50.5" customHeight="1">
      <c r="A3779" s="204" t="s">
        <v>9780</v>
      </c>
      <c r="B3779" s="204" t="s">
        <v>9822</v>
      </c>
      <c r="C3779" s="204" t="s">
        <v>2458</v>
      </c>
      <c r="D3779" s="204" t="s">
        <v>2276</v>
      </c>
      <c r="E3779" s="204" t="s">
        <v>2276</v>
      </c>
      <c r="F3779" s="4" t="s">
        <v>74</v>
      </c>
      <c r="G3779" s="4" t="s">
        <v>74</v>
      </c>
      <c r="H3779" s="4" t="s">
        <v>523</v>
      </c>
      <c r="I3779" s="204"/>
      <c r="J3779" s="75" t="s">
        <v>2276</v>
      </c>
      <c r="K3779" s="75" t="s">
        <v>2276</v>
      </c>
      <c r="L3779" s="75" t="s">
        <v>2276</v>
      </c>
      <c r="M3779" s="75" t="s">
        <v>2276</v>
      </c>
      <c r="N3779" s="75" t="s">
        <v>2276</v>
      </c>
      <c r="O3779" s="75" t="s">
        <v>2276</v>
      </c>
      <c r="P3779" s="75" t="s">
        <v>2276</v>
      </c>
      <c r="Q3779" s="75" t="s">
        <v>2276</v>
      </c>
      <c r="R3779" s="75" t="s">
        <v>2276</v>
      </c>
      <c r="S3779" s="75" t="s">
        <v>2276</v>
      </c>
      <c r="T3779" s="21">
        <f>0.0085*'Record info'!K1542*100</f>
        <v>6975.1850000000004</v>
      </c>
      <c r="U3779" s="75" t="s">
        <v>2276</v>
      </c>
      <c r="V3779" s="21">
        <f>$T3779/('Record info'!$K1542*'Land use'!$R1542/100)/30</f>
        <v>3.8494047929475257E-2</v>
      </c>
      <c r="W3779" s="75" t="s">
        <v>2276</v>
      </c>
      <c r="X3779" s="21">
        <f>$T3779/('Record info'!$K1542)/30</f>
        <v>2.8333333333333332E-2</v>
      </c>
      <c r="Y3779" s="75" t="s">
        <v>2276</v>
      </c>
      <c r="Z3779" s="75" t="s">
        <v>2276</v>
      </c>
      <c r="AA3779" s="75" t="s">
        <v>2276</v>
      </c>
      <c r="AB3779" s="75" t="s">
        <v>2276</v>
      </c>
      <c r="AC3779" s="204"/>
      <c r="AD3779" s="204"/>
    </row>
    <row r="3780" spans="1:30" ht="50.5" customHeight="1">
      <c r="A3780" s="204" t="s">
        <v>9781</v>
      </c>
      <c r="B3780" s="204" t="s">
        <v>9823</v>
      </c>
      <c r="C3780" s="204" t="s">
        <v>2458</v>
      </c>
      <c r="D3780" s="204" t="s">
        <v>2276</v>
      </c>
      <c r="E3780" s="204" t="s">
        <v>2276</v>
      </c>
      <c r="F3780" s="4" t="s">
        <v>74</v>
      </c>
      <c r="G3780" s="4" t="s">
        <v>74</v>
      </c>
      <c r="H3780" s="4" t="s">
        <v>524</v>
      </c>
      <c r="I3780" s="204"/>
      <c r="J3780" s="21">
        <v>0</v>
      </c>
      <c r="K3780" s="21">
        <v>0</v>
      </c>
      <c r="L3780" s="21">
        <v>0</v>
      </c>
      <c r="M3780" s="21">
        <v>0</v>
      </c>
      <c r="N3780" s="21">
        <v>0</v>
      </c>
      <c r="O3780" s="21">
        <v>0</v>
      </c>
      <c r="P3780" s="21">
        <v>0</v>
      </c>
      <c r="Q3780" s="21">
        <v>0</v>
      </c>
      <c r="R3780" s="21">
        <v>0</v>
      </c>
      <c r="S3780" s="21">
        <v>0</v>
      </c>
      <c r="T3780" s="21">
        <v>0</v>
      </c>
      <c r="U3780" s="21">
        <v>0</v>
      </c>
      <c r="V3780" s="21">
        <v>0</v>
      </c>
      <c r="W3780" s="21">
        <v>0</v>
      </c>
      <c r="X3780" s="21">
        <v>0</v>
      </c>
      <c r="Y3780" s="75" t="s">
        <v>2276</v>
      </c>
      <c r="Z3780" s="75" t="s">
        <v>2276</v>
      </c>
      <c r="AA3780" s="75" t="s">
        <v>2276</v>
      </c>
      <c r="AB3780" s="75" t="s">
        <v>2276</v>
      </c>
      <c r="AC3780" s="204"/>
      <c r="AD3780" s="204"/>
    </row>
    <row r="3781" spans="1:30" ht="50.5" customHeight="1">
      <c r="A3781" s="11" t="s">
        <v>9782</v>
      </c>
      <c r="B3781" s="11" t="s">
        <v>9824</v>
      </c>
      <c r="C3781" s="204" t="s">
        <v>2458</v>
      </c>
      <c r="D3781" s="204" t="s">
        <v>2276</v>
      </c>
      <c r="E3781" s="204" t="s">
        <v>2276</v>
      </c>
      <c r="F3781" s="4" t="s">
        <v>74</v>
      </c>
      <c r="G3781" s="4" t="s">
        <v>74</v>
      </c>
      <c r="H3781" s="4" t="s">
        <v>523</v>
      </c>
      <c r="I3781" s="204"/>
      <c r="J3781" s="75" t="s">
        <v>2276</v>
      </c>
      <c r="K3781" s="75" t="s">
        <v>2276</v>
      </c>
      <c r="L3781" s="75" t="s">
        <v>2276</v>
      </c>
      <c r="M3781" s="75" t="s">
        <v>2276</v>
      </c>
      <c r="N3781" s="75" t="s">
        <v>2276</v>
      </c>
      <c r="O3781" s="75" t="s">
        <v>2276</v>
      </c>
      <c r="P3781" s="75" t="s">
        <v>2276</v>
      </c>
      <c r="Q3781" s="75" t="s">
        <v>2276</v>
      </c>
      <c r="R3781" s="75" t="s">
        <v>2276</v>
      </c>
      <c r="S3781" s="75" t="s">
        <v>2276</v>
      </c>
      <c r="T3781" s="21">
        <f>0.0049*'Record info'!K1544*100</f>
        <v>9054.7099999999991</v>
      </c>
      <c r="U3781" s="75" t="s">
        <v>2276</v>
      </c>
      <c r="V3781" s="21">
        <f>$T3781/('Record info'!$K1544*'Land use'!$R1544/100)/30</f>
        <v>2.231511654199498E-2</v>
      </c>
      <c r="W3781" s="75" t="s">
        <v>2276</v>
      </c>
      <c r="X3781" s="21">
        <f>$T3781/('Record info'!$K1544)/30</f>
        <v>1.6333333333333332E-2</v>
      </c>
      <c r="Y3781" s="75" t="s">
        <v>2276</v>
      </c>
      <c r="Z3781" s="75" t="s">
        <v>2276</v>
      </c>
      <c r="AA3781" s="75" t="s">
        <v>2276</v>
      </c>
      <c r="AB3781" s="75" t="s">
        <v>2276</v>
      </c>
      <c r="AC3781" s="204"/>
      <c r="AD3781" s="204"/>
    </row>
    <row r="3782" spans="1:30" ht="54" customHeight="1">
      <c r="A3782" s="204" t="s">
        <v>9786</v>
      </c>
      <c r="B3782" s="204" t="s">
        <v>9825</v>
      </c>
      <c r="C3782" s="204" t="s">
        <v>2458</v>
      </c>
      <c r="D3782" s="204" t="s">
        <v>2276</v>
      </c>
      <c r="E3782" s="204" t="s">
        <v>2276</v>
      </c>
      <c r="F3782" s="4" t="s">
        <v>74</v>
      </c>
      <c r="G3782" s="4" t="s">
        <v>74</v>
      </c>
      <c r="H3782" s="4" t="s">
        <v>524</v>
      </c>
      <c r="I3782" s="204"/>
      <c r="J3782" s="21">
        <v>0</v>
      </c>
      <c r="K3782" s="21">
        <v>0</v>
      </c>
      <c r="L3782" s="21">
        <v>0</v>
      </c>
      <c r="M3782" s="21">
        <v>0</v>
      </c>
      <c r="N3782" s="21">
        <v>0</v>
      </c>
      <c r="O3782" s="21">
        <v>0</v>
      </c>
      <c r="P3782" s="21">
        <v>0</v>
      </c>
      <c r="Q3782" s="21">
        <v>0</v>
      </c>
      <c r="R3782" s="21">
        <v>0</v>
      </c>
      <c r="S3782" s="21">
        <v>0</v>
      </c>
      <c r="T3782" s="21">
        <v>0</v>
      </c>
      <c r="U3782" s="21">
        <v>0</v>
      </c>
      <c r="V3782" s="21">
        <v>0</v>
      </c>
      <c r="W3782" s="21">
        <v>0</v>
      </c>
      <c r="X3782" s="21">
        <v>0</v>
      </c>
      <c r="Y3782" s="75" t="s">
        <v>2276</v>
      </c>
      <c r="Z3782" s="75" t="s">
        <v>2276</v>
      </c>
      <c r="AA3782" s="75" t="s">
        <v>2276</v>
      </c>
      <c r="AB3782" s="75" t="s">
        <v>2276</v>
      </c>
      <c r="AC3782" s="204"/>
      <c r="AD3782" s="204"/>
    </row>
    <row r="3783" spans="1:30" ht="54" customHeight="1">
      <c r="A3783" s="204" t="s">
        <v>9765</v>
      </c>
      <c r="B3783" s="204" t="s">
        <v>9826</v>
      </c>
      <c r="C3783" s="204" t="s">
        <v>24</v>
      </c>
      <c r="D3783" s="204" t="s">
        <v>27</v>
      </c>
      <c r="E3783" s="204" t="s">
        <v>130</v>
      </c>
      <c r="F3783" s="4" t="s">
        <v>160</v>
      </c>
      <c r="G3783" s="4" t="s">
        <v>160</v>
      </c>
      <c r="H3783" s="4" t="s">
        <v>523</v>
      </c>
      <c r="I3783" s="204"/>
      <c r="J3783" s="75" t="s">
        <v>2276</v>
      </c>
      <c r="K3783" s="75" t="s">
        <v>2276</v>
      </c>
      <c r="L3783" s="75" t="s">
        <v>2276</v>
      </c>
      <c r="M3783" s="75" t="s">
        <v>2276</v>
      </c>
      <c r="N3783" s="75" t="s">
        <v>2276</v>
      </c>
      <c r="O3783" s="75" t="s">
        <v>2276</v>
      </c>
      <c r="P3783" s="75" t="s">
        <v>2276</v>
      </c>
      <c r="Q3783" s="75" t="s">
        <v>2276</v>
      </c>
      <c r="R3783" s="75" t="s">
        <v>2276</v>
      </c>
      <c r="S3783" s="75" t="s">
        <v>2276</v>
      </c>
      <c r="T3783" s="75" t="s">
        <v>2276</v>
      </c>
      <c r="U3783" s="75" t="s">
        <v>2276</v>
      </c>
      <c r="V3783" s="75" t="s">
        <v>2276</v>
      </c>
      <c r="W3783" s="75" t="s">
        <v>2276</v>
      </c>
      <c r="X3783" s="75" t="s">
        <v>2276</v>
      </c>
      <c r="Y3783" s="75" t="s">
        <v>2276</v>
      </c>
      <c r="Z3783" s="75" t="s">
        <v>2276</v>
      </c>
      <c r="AA3783" s="75" t="s">
        <v>2276</v>
      </c>
      <c r="AB3783" s="75" t="s">
        <v>2276</v>
      </c>
      <c r="AC3783" s="204"/>
      <c r="AD3783" s="204"/>
    </row>
    <row r="3784" spans="1:30" ht="54" customHeight="1">
      <c r="A3784" s="204" t="s">
        <v>9766</v>
      </c>
      <c r="B3784" s="204" t="s">
        <v>9827</v>
      </c>
      <c r="C3784" s="204" t="s">
        <v>24</v>
      </c>
      <c r="D3784" s="204" t="s">
        <v>27</v>
      </c>
      <c r="E3784" s="204" t="s">
        <v>130</v>
      </c>
      <c r="F3784" s="4" t="s">
        <v>160</v>
      </c>
      <c r="G3784" s="4" t="s">
        <v>160</v>
      </c>
      <c r="H3784" s="4" t="s">
        <v>523</v>
      </c>
      <c r="I3784" s="204"/>
      <c r="J3784" s="75" t="s">
        <v>2276</v>
      </c>
      <c r="K3784" s="75" t="s">
        <v>2276</v>
      </c>
      <c r="L3784" s="75" t="s">
        <v>2276</v>
      </c>
      <c r="M3784" s="75" t="s">
        <v>2276</v>
      </c>
      <c r="N3784" s="75" t="s">
        <v>2276</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75" t="s">
        <v>2276</v>
      </c>
      <c r="AB3784" s="75" t="s">
        <v>2276</v>
      </c>
      <c r="AC3784" s="204"/>
      <c r="AD3784" s="204"/>
    </row>
    <row r="3785" spans="1:30" ht="54" customHeight="1">
      <c r="A3785" s="204" t="s">
        <v>9767</v>
      </c>
      <c r="B3785" s="204" t="s">
        <v>9828</v>
      </c>
      <c r="C3785" s="204" t="s">
        <v>24</v>
      </c>
      <c r="D3785" s="204" t="s">
        <v>27</v>
      </c>
      <c r="E3785" s="204" t="s">
        <v>130</v>
      </c>
      <c r="F3785" s="4" t="s">
        <v>160</v>
      </c>
      <c r="G3785" s="4" t="s">
        <v>160</v>
      </c>
      <c r="H3785" s="4" t="s">
        <v>523</v>
      </c>
      <c r="I3785" s="204"/>
      <c r="J3785" s="75" t="s">
        <v>2276</v>
      </c>
      <c r="K3785" s="75" t="s">
        <v>2276</v>
      </c>
      <c r="L3785" s="75" t="s">
        <v>2276</v>
      </c>
      <c r="M3785" s="75" t="s">
        <v>2276</v>
      </c>
      <c r="N3785" s="75" t="s">
        <v>2276</v>
      </c>
      <c r="O3785" s="75" t="s">
        <v>2276</v>
      </c>
      <c r="P3785" s="75" t="s">
        <v>2276</v>
      </c>
      <c r="Q3785" s="75" t="s">
        <v>2276</v>
      </c>
      <c r="R3785" s="75" t="s">
        <v>2276</v>
      </c>
      <c r="S3785" s="75" t="s">
        <v>2276</v>
      </c>
      <c r="T3785" s="75" t="s">
        <v>2276</v>
      </c>
      <c r="U3785" s="75" t="s">
        <v>2276</v>
      </c>
      <c r="V3785" s="75" t="s">
        <v>2276</v>
      </c>
      <c r="W3785" s="75" t="s">
        <v>2276</v>
      </c>
      <c r="X3785" s="75" t="s">
        <v>2276</v>
      </c>
      <c r="Y3785" s="75" t="s">
        <v>2276</v>
      </c>
      <c r="Z3785" s="75" t="s">
        <v>2276</v>
      </c>
      <c r="AA3785" s="75" t="s">
        <v>2276</v>
      </c>
      <c r="AB3785" s="75" t="s">
        <v>2276</v>
      </c>
      <c r="AC3785" s="204"/>
      <c r="AD3785" s="204"/>
    </row>
    <row r="3786" spans="1:30" ht="54" customHeight="1">
      <c r="A3786" s="204" t="s">
        <v>9768</v>
      </c>
      <c r="B3786" s="204" t="s">
        <v>9829</v>
      </c>
      <c r="C3786" s="204" t="s">
        <v>24</v>
      </c>
      <c r="D3786" s="204" t="s">
        <v>27</v>
      </c>
      <c r="E3786" s="204" t="s">
        <v>130</v>
      </c>
      <c r="F3786" s="4" t="s">
        <v>160</v>
      </c>
      <c r="G3786" s="4" t="s">
        <v>160</v>
      </c>
      <c r="H3786" s="4" t="s">
        <v>523</v>
      </c>
      <c r="I3786" s="204"/>
      <c r="J3786" s="75" t="s">
        <v>2276</v>
      </c>
      <c r="K3786" s="75" t="s">
        <v>2276</v>
      </c>
      <c r="L3786" s="75" t="s">
        <v>2276</v>
      </c>
      <c r="M3786" s="75" t="s">
        <v>2276</v>
      </c>
      <c r="N3786" s="75" t="s">
        <v>2276</v>
      </c>
      <c r="O3786" s="75" t="s">
        <v>2276</v>
      </c>
      <c r="P3786" s="75" t="s">
        <v>2276</v>
      </c>
      <c r="Q3786" s="75" t="s">
        <v>2276</v>
      </c>
      <c r="R3786" s="75" t="s">
        <v>2276</v>
      </c>
      <c r="S3786" s="75" t="s">
        <v>2276</v>
      </c>
      <c r="T3786" s="75" t="s">
        <v>2276</v>
      </c>
      <c r="U3786" s="75" t="s">
        <v>2276</v>
      </c>
      <c r="V3786" s="75" t="s">
        <v>2276</v>
      </c>
      <c r="W3786" s="75" t="s">
        <v>2276</v>
      </c>
      <c r="X3786" s="75" t="s">
        <v>2276</v>
      </c>
      <c r="Y3786" s="75" t="s">
        <v>2276</v>
      </c>
      <c r="Z3786" s="75" t="s">
        <v>2276</v>
      </c>
      <c r="AA3786" s="75" t="s">
        <v>2276</v>
      </c>
      <c r="AB3786" s="75" t="s">
        <v>2276</v>
      </c>
      <c r="AC3786" s="204"/>
      <c r="AD3786" s="204"/>
    </row>
    <row r="3787" spans="1:30" ht="54" customHeight="1">
      <c r="A3787" s="204" t="s">
        <v>9769</v>
      </c>
      <c r="B3787" s="204" t="s">
        <v>9830</v>
      </c>
      <c r="C3787" s="204" t="s">
        <v>24</v>
      </c>
      <c r="D3787" s="204" t="s">
        <v>27</v>
      </c>
      <c r="E3787" s="204" t="s">
        <v>130</v>
      </c>
      <c r="F3787" s="4" t="s">
        <v>160</v>
      </c>
      <c r="G3787" s="4" t="s">
        <v>160</v>
      </c>
      <c r="H3787" s="4" t="s">
        <v>523</v>
      </c>
      <c r="I3787" s="204"/>
      <c r="J3787" s="75" t="s">
        <v>2276</v>
      </c>
      <c r="K3787" s="75" t="s">
        <v>2276</v>
      </c>
      <c r="L3787" s="75" t="s">
        <v>2276</v>
      </c>
      <c r="M3787" s="75" t="s">
        <v>2276</v>
      </c>
      <c r="N3787" s="75" t="s">
        <v>2276</v>
      </c>
      <c r="O3787" s="75" t="s">
        <v>2276</v>
      </c>
      <c r="P3787" s="75" t="s">
        <v>2276</v>
      </c>
      <c r="Q3787" s="75" t="s">
        <v>2276</v>
      </c>
      <c r="R3787" s="75" t="s">
        <v>2276</v>
      </c>
      <c r="S3787" s="75" t="s">
        <v>2276</v>
      </c>
      <c r="T3787" s="75" t="s">
        <v>2276</v>
      </c>
      <c r="U3787" s="75" t="s">
        <v>2276</v>
      </c>
      <c r="V3787" s="75" t="s">
        <v>2276</v>
      </c>
      <c r="W3787" s="75" t="s">
        <v>2276</v>
      </c>
      <c r="X3787" s="75" t="s">
        <v>2276</v>
      </c>
      <c r="Y3787" s="75" t="s">
        <v>2276</v>
      </c>
      <c r="Z3787" s="75" t="s">
        <v>2276</v>
      </c>
      <c r="AA3787" s="75" t="s">
        <v>2276</v>
      </c>
      <c r="AB3787" s="75" t="s">
        <v>2276</v>
      </c>
      <c r="AC3787" s="204"/>
      <c r="AD3787" s="204"/>
    </row>
    <row r="3788" spans="1:30" ht="54" customHeight="1">
      <c r="A3788" s="204" t="s">
        <v>9770</v>
      </c>
      <c r="B3788" s="204" t="s">
        <v>9831</v>
      </c>
      <c r="C3788" s="204" t="s">
        <v>24</v>
      </c>
      <c r="D3788" s="204" t="s">
        <v>27</v>
      </c>
      <c r="E3788" s="204" t="s">
        <v>130</v>
      </c>
      <c r="F3788" s="4" t="s">
        <v>160</v>
      </c>
      <c r="G3788" s="4" t="s">
        <v>160</v>
      </c>
      <c r="H3788" s="4" t="s">
        <v>523</v>
      </c>
      <c r="I3788" s="204"/>
      <c r="J3788" s="75" t="s">
        <v>2276</v>
      </c>
      <c r="K3788" s="75" t="s">
        <v>2276</v>
      </c>
      <c r="L3788" s="75" t="s">
        <v>2276</v>
      </c>
      <c r="M3788" s="75" t="s">
        <v>2276</v>
      </c>
      <c r="N3788" s="75" t="s">
        <v>2276</v>
      </c>
      <c r="O3788" s="75" t="s">
        <v>2276</v>
      </c>
      <c r="P3788" s="75" t="s">
        <v>2276</v>
      </c>
      <c r="Q3788" s="75" t="s">
        <v>2276</v>
      </c>
      <c r="R3788" s="75" t="s">
        <v>2276</v>
      </c>
      <c r="S3788" s="75" t="s">
        <v>2276</v>
      </c>
      <c r="T3788" s="75" t="s">
        <v>2276</v>
      </c>
      <c r="U3788" s="75" t="s">
        <v>2276</v>
      </c>
      <c r="V3788" s="75" t="s">
        <v>2276</v>
      </c>
      <c r="W3788" s="75" t="s">
        <v>2276</v>
      </c>
      <c r="X3788" s="75" t="s">
        <v>2276</v>
      </c>
      <c r="Y3788" s="75" t="s">
        <v>2276</v>
      </c>
      <c r="Z3788" s="75" t="s">
        <v>2276</v>
      </c>
      <c r="AA3788" s="75" t="s">
        <v>2276</v>
      </c>
      <c r="AB3788" s="75" t="s">
        <v>2276</v>
      </c>
      <c r="AC3788" s="204"/>
      <c r="AD3788" s="204"/>
    </row>
    <row r="3789" spans="1:30" ht="54" customHeight="1">
      <c r="A3789" s="204" t="s">
        <v>9771</v>
      </c>
      <c r="B3789" s="204" t="s">
        <v>9832</v>
      </c>
      <c r="C3789" s="204" t="s">
        <v>24</v>
      </c>
      <c r="D3789" s="204" t="s">
        <v>27</v>
      </c>
      <c r="E3789" s="204" t="s">
        <v>130</v>
      </c>
      <c r="F3789" s="4" t="s">
        <v>160</v>
      </c>
      <c r="G3789" s="4" t="s">
        <v>160</v>
      </c>
      <c r="H3789" s="4" t="s">
        <v>523</v>
      </c>
      <c r="I3789" s="204"/>
      <c r="J3789" s="75" t="s">
        <v>2276</v>
      </c>
      <c r="K3789" s="75" t="s">
        <v>2276</v>
      </c>
      <c r="L3789" s="75" t="s">
        <v>2276</v>
      </c>
      <c r="M3789" s="75" t="s">
        <v>2276</v>
      </c>
      <c r="N3789" s="75" t="s">
        <v>2276</v>
      </c>
      <c r="O3789" s="75" t="s">
        <v>2276</v>
      </c>
      <c r="P3789" s="75" t="s">
        <v>2276</v>
      </c>
      <c r="Q3789" s="75" t="s">
        <v>2276</v>
      </c>
      <c r="R3789" s="75" t="s">
        <v>2276</v>
      </c>
      <c r="S3789" s="75" t="s">
        <v>2276</v>
      </c>
      <c r="T3789" s="75" t="s">
        <v>2276</v>
      </c>
      <c r="U3789" s="75" t="s">
        <v>2276</v>
      </c>
      <c r="V3789" s="75" t="s">
        <v>2276</v>
      </c>
      <c r="W3789" s="75" t="s">
        <v>2276</v>
      </c>
      <c r="X3789" s="75" t="s">
        <v>2276</v>
      </c>
      <c r="Y3789" s="75" t="s">
        <v>2276</v>
      </c>
      <c r="Z3789" s="75" t="s">
        <v>2276</v>
      </c>
      <c r="AA3789" s="75" t="s">
        <v>2276</v>
      </c>
      <c r="AB3789" s="75" t="s">
        <v>2276</v>
      </c>
      <c r="AC3789" s="204"/>
      <c r="AD3789" s="204"/>
    </row>
    <row r="3790" spans="1:30" ht="54" customHeight="1">
      <c r="A3790" s="204" t="s">
        <v>9772</v>
      </c>
      <c r="B3790" s="204" t="s">
        <v>9833</v>
      </c>
      <c r="C3790" s="204" t="s">
        <v>24</v>
      </c>
      <c r="D3790" s="204" t="s">
        <v>27</v>
      </c>
      <c r="E3790" s="204" t="s">
        <v>130</v>
      </c>
      <c r="F3790" s="4" t="s">
        <v>160</v>
      </c>
      <c r="G3790" s="4" t="s">
        <v>160</v>
      </c>
      <c r="H3790" s="4" t="s">
        <v>523</v>
      </c>
      <c r="I3790" s="204"/>
      <c r="J3790" s="75" t="s">
        <v>2276</v>
      </c>
      <c r="K3790" s="75" t="s">
        <v>2276</v>
      </c>
      <c r="L3790" s="75" t="s">
        <v>2276</v>
      </c>
      <c r="M3790" s="75" t="s">
        <v>2276</v>
      </c>
      <c r="N3790" s="75" t="s">
        <v>2276</v>
      </c>
      <c r="O3790" s="75" t="s">
        <v>2276</v>
      </c>
      <c r="P3790" s="75" t="s">
        <v>2276</v>
      </c>
      <c r="Q3790" s="75" t="s">
        <v>2276</v>
      </c>
      <c r="R3790" s="75" t="s">
        <v>2276</v>
      </c>
      <c r="S3790" s="75" t="s">
        <v>2276</v>
      </c>
      <c r="T3790" s="75" t="s">
        <v>2276</v>
      </c>
      <c r="U3790" s="75" t="s">
        <v>2276</v>
      </c>
      <c r="V3790" s="75" t="s">
        <v>2276</v>
      </c>
      <c r="W3790" s="75" t="s">
        <v>2276</v>
      </c>
      <c r="X3790" s="75" t="s">
        <v>2276</v>
      </c>
      <c r="Y3790" s="75" t="s">
        <v>2276</v>
      </c>
      <c r="Z3790" s="75" t="s">
        <v>2276</v>
      </c>
      <c r="AA3790" s="75" t="s">
        <v>2276</v>
      </c>
      <c r="AB3790" s="75" t="s">
        <v>2276</v>
      </c>
      <c r="AC3790" s="204"/>
      <c r="AD3790" s="204"/>
    </row>
    <row r="3791" spans="1:30" ht="54" customHeight="1">
      <c r="A3791" s="204" t="s">
        <v>9773</v>
      </c>
      <c r="B3791" s="204" t="s">
        <v>9834</v>
      </c>
      <c r="C3791" s="204" t="s">
        <v>24</v>
      </c>
      <c r="D3791" s="204" t="s">
        <v>27</v>
      </c>
      <c r="E3791" s="204" t="s">
        <v>130</v>
      </c>
      <c r="F3791" s="4" t="s">
        <v>160</v>
      </c>
      <c r="G3791" s="4" t="s">
        <v>160</v>
      </c>
      <c r="H3791" s="4" t="s">
        <v>523</v>
      </c>
      <c r="I3791" s="204"/>
      <c r="J3791" s="75" t="s">
        <v>2276</v>
      </c>
      <c r="K3791" s="75" t="s">
        <v>2276</v>
      </c>
      <c r="L3791" s="75" t="s">
        <v>2276</v>
      </c>
      <c r="M3791" s="75" t="s">
        <v>2276</v>
      </c>
      <c r="N3791" s="75" t="s">
        <v>2276</v>
      </c>
      <c r="O3791" s="75" t="s">
        <v>2276</v>
      </c>
      <c r="P3791" s="75" t="s">
        <v>2276</v>
      </c>
      <c r="Q3791" s="75" t="s">
        <v>2276</v>
      </c>
      <c r="R3791" s="75" t="s">
        <v>2276</v>
      </c>
      <c r="S3791" s="75" t="s">
        <v>2276</v>
      </c>
      <c r="T3791" s="75" t="s">
        <v>2276</v>
      </c>
      <c r="U3791" s="75" t="s">
        <v>2276</v>
      </c>
      <c r="V3791" s="75" t="s">
        <v>2276</v>
      </c>
      <c r="W3791" s="75" t="s">
        <v>2276</v>
      </c>
      <c r="X3791" s="75" t="s">
        <v>2276</v>
      </c>
      <c r="Y3791" s="75" t="s">
        <v>2276</v>
      </c>
      <c r="Z3791" s="75" t="s">
        <v>2276</v>
      </c>
      <c r="AA3791" s="75" t="s">
        <v>2276</v>
      </c>
      <c r="AB3791" s="75" t="s">
        <v>2276</v>
      </c>
      <c r="AC3791" s="204"/>
      <c r="AD3791" s="204"/>
    </row>
    <row r="3792" spans="1:30" ht="54" customHeight="1">
      <c r="A3792" s="204" t="s">
        <v>9774</v>
      </c>
      <c r="B3792" s="204" t="s">
        <v>9835</v>
      </c>
      <c r="C3792" s="204" t="s">
        <v>24</v>
      </c>
      <c r="D3792" s="204" t="s">
        <v>27</v>
      </c>
      <c r="E3792" s="204" t="s">
        <v>130</v>
      </c>
      <c r="F3792" s="4" t="s">
        <v>160</v>
      </c>
      <c r="G3792" s="4" t="s">
        <v>160</v>
      </c>
      <c r="H3792" s="4" t="s">
        <v>523</v>
      </c>
      <c r="I3792" s="204"/>
      <c r="J3792" s="75" t="s">
        <v>2276</v>
      </c>
      <c r="K3792" s="75" t="s">
        <v>2276</v>
      </c>
      <c r="L3792" s="75" t="s">
        <v>2276</v>
      </c>
      <c r="M3792" s="75" t="s">
        <v>2276</v>
      </c>
      <c r="N3792" s="75" t="s">
        <v>2276</v>
      </c>
      <c r="O3792" s="75" t="s">
        <v>2276</v>
      </c>
      <c r="P3792" s="75" t="s">
        <v>2276</v>
      </c>
      <c r="Q3792" s="75" t="s">
        <v>2276</v>
      </c>
      <c r="R3792" s="75" t="s">
        <v>2276</v>
      </c>
      <c r="S3792" s="75" t="s">
        <v>2276</v>
      </c>
      <c r="T3792" s="75" t="s">
        <v>2276</v>
      </c>
      <c r="U3792" s="75" t="s">
        <v>2276</v>
      </c>
      <c r="V3792" s="75" t="s">
        <v>2276</v>
      </c>
      <c r="W3792" s="75" t="s">
        <v>2276</v>
      </c>
      <c r="X3792" s="75" t="s">
        <v>2276</v>
      </c>
      <c r="Y3792" s="75" t="s">
        <v>2276</v>
      </c>
      <c r="Z3792" s="75" t="s">
        <v>2276</v>
      </c>
      <c r="AA3792" s="75" t="s">
        <v>2276</v>
      </c>
      <c r="AB3792" s="75" t="s">
        <v>2276</v>
      </c>
      <c r="AC3792" s="204"/>
      <c r="AD3792" s="204"/>
    </row>
    <row r="3793" spans="1:30" ht="54" customHeight="1">
      <c r="A3793" s="204" t="s">
        <v>9775</v>
      </c>
      <c r="B3793" s="204" t="s">
        <v>9836</v>
      </c>
      <c r="C3793" s="204" t="s">
        <v>24</v>
      </c>
      <c r="D3793" s="204" t="s">
        <v>27</v>
      </c>
      <c r="E3793" s="204" t="s">
        <v>130</v>
      </c>
      <c r="F3793" s="4" t="s">
        <v>160</v>
      </c>
      <c r="G3793" s="4" t="s">
        <v>160</v>
      </c>
      <c r="H3793" s="4" t="s">
        <v>523</v>
      </c>
      <c r="I3793" s="204"/>
      <c r="J3793" s="75" t="s">
        <v>2276</v>
      </c>
      <c r="K3793" s="75" t="s">
        <v>2276</v>
      </c>
      <c r="L3793" s="75" t="s">
        <v>2276</v>
      </c>
      <c r="M3793" s="75" t="s">
        <v>2276</v>
      </c>
      <c r="N3793" s="75" t="s">
        <v>2276</v>
      </c>
      <c r="O3793" s="75" t="s">
        <v>2276</v>
      </c>
      <c r="P3793" s="75" t="s">
        <v>2276</v>
      </c>
      <c r="Q3793" s="75" t="s">
        <v>2276</v>
      </c>
      <c r="R3793" s="75" t="s">
        <v>2276</v>
      </c>
      <c r="S3793" s="75" t="s">
        <v>2276</v>
      </c>
      <c r="T3793" s="75" t="s">
        <v>2276</v>
      </c>
      <c r="U3793" s="75" t="s">
        <v>2276</v>
      </c>
      <c r="V3793" s="75" t="s">
        <v>2276</v>
      </c>
      <c r="W3793" s="75" t="s">
        <v>2276</v>
      </c>
      <c r="X3793" s="75" t="s">
        <v>2276</v>
      </c>
      <c r="Y3793" s="75" t="s">
        <v>2276</v>
      </c>
      <c r="Z3793" s="75" t="s">
        <v>2276</v>
      </c>
      <c r="AA3793" s="75" t="s">
        <v>2276</v>
      </c>
      <c r="AB3793" s="75" t="s">
        <v>2276</v>
      </c>
      <c r="AC3793" s="204"/>
      <c r="AD3793" s="204"/>
    </row>
    <row r="3794" spans="1:30" ht="54" customHeight="1">
      <c r="A3794" s="204" t="s">
        <v>9776</v>
      </c>
      <c r="B3794" s="204" t="s">
        <v>9837</v>
      </c>
      <c r="C3794" s="204" t="s">
        <v>24</v>
      </c>
      <c r="D3794" s="204" t="s">
        <v>27</v>
      </c>
      <c r="E3794" s="204" t="s">
        <v>130</v>
      </c>
      <c r="F3794" s="4" t="s">
        <v>160</v>
      </c>
      <c r="G3794" s="4" t="s">
        <v>160</v>
      </c>
      <c r="H3794" s="4" t="s">
        <v>523</v>
      </c>
      <c r="I3794" s="204"/>
      <c r="J3794" s="75" t="s">
        <v>2276</v>
      </c>
      <c r="K3794" s="75" t="s">
        <v>2276</v>
      </c>
      <c r="L3794" s="75" t="s">
        <v>2276</v>
      </c>
      <c r="M3794" s="75" t="s">
        <v>2276</v>
      </c>
      <c r="N3794" s="75" t="s">
        <v>2276</v>
      </c>
      <c r="O3794" s="75" t="s">
        <v>2276</v>
      </c>
      <c r="P3794" s="75" t="s">
        <v>2276</v>
      </c>
      <c r="Q3794" s="75" t="s">
        <v>2276</v>
      </c>
      <c r="R3794" s="75" t="s">
        <v>2276</v>
      </c>
      <c r="S3794" s="75" t="s">
        <v>2276</v>
      </c>
      <c r="T3794" s="75" t="s">
        <v>2276</v>
      </c>
      <c r="U3794" s="75" t="s">
        <v>2276</v>
      </c>
      <c r="V3794" s="75" t="s">
        <v>2276</v>
      </c>
      <c r="W3794" s="75" t="s">
        <v>2276</v>
      </c>
      <c r="X3794" s="75" t="s">
        <v>2276</v>
      </c>
      <c r="Y3794" s="75" t="s">
        <v>2276</v>
      </c>
      <c r="Z3794" s="75" t="s">
        <v>2276</v>
      </c>
      <c r="AA3794" s="75" t="s">
        <v>2276</v>
      </c>
      <c r="AB3794" s="75" t="s">
        <v>2276</v>
      </c>
      <c r="AC3794" s="204"/>
      <c r="AD3794" s="204"/>
    </row>
    <row r="3795" spans="1:30" ht="54" customHeight="1">
      <c r="A3795" s="204" t="s">
        <v>9777</v>
      </c>
      <c r="B3795" s="204" t="s">
        <v>9838</v>
      </c>
      <c r="C3795" s="204" t="s">
        <v>24</v>
      </c>
      <c r="D3795" s="204" t="s">
        <v>27</v>
      </c>
      <c r="E3795" s="204" t="s">
        <v>130</v>
      </c>
      <c r="F3795" s="4" t="s">
        <v>160</v>
      </c>
      <c r="G3795" s="4" t="s">
        <v>160</v>
      </c>
      <c r="H3795" s="4" t="s">
        <v>523</v>
      </c>
      <c r="I3795" s="204"/>
      <c r="J3795" s="75" t="s">
        <v>2276</v>
      </c>
      <c r="K3795" s="75" t="s">
        <v>2276</v>
      </c>
      <c r="L3795" s="75" t="s">
        <v>2276</v>
      </c>
      <c r="M3795" s="75" t="s">
        <v>2276</v>
      </c>
      <c r="N3795" s="75" t="s">
        <v>2276</v>
      </c>
      <c r="O3795" s="75" t="s">
        <v>2276</v>
      </c>
      <c r="P3795" s="75" t="s">
        <v>2276</v>
      </c>
      <c r="Q3795" s="75" t="s">
        <v>2276</v>
      </c>
      <c r="R3795" s="75" t="s">
        <v>2276</v>
      </c>
      <c r="S3795" s="75" t="s">
        <v>2276</v>
      </c>
      <c r="T3795" s="75" t="s">
        <v>2276</v>
      </c>
      <c r="U3795" s="75" t="s">
        <v>2276</v>
      </c>
      <c r="V3795" s="75" t="s">
        <v>2276</v>
      </c>
      <c r="W3795" s="75" t="s">
        <v>2276</v>
      </c>
      <c r="X3795" s="75" t="s">
        <v>2276</v>
      </c>
      <c r="Y3795" s="75" t="s">
        <v>2276</v>
      </c>
      <c r="Z3795" s="75" t="s">
        <v>2276</v>
      </c>
      <c r="AA3795" s="75" t="s">
        <v>2276</v>
      </c>
      <c r="AB3795" s="75" t="s">
        <v>2276</v>
      </c>
      <c r="AC3795" s="204"/>
      <c r="AD3795" s="204"/>
    </row>
    <row r="3796" spans="1:30" ht="54" customHeight="1">
      <c r="A3796" s="204" t="s">
        <v>9778</v>
      </c>
      <c r="B3796" s="204" t="s">
        <v>9839</v>
      </c>
      <c r="C3796" s="204" t="s">
        <v>24</v>
      </c>
      <c r="D3796" s="204" t="s">
        <v>27</v>
      </c>
      <c r="E3796" s="204" t="s">
        <v>130</v>
      </c>
      <c r="F3796" s="4" t="s">
        <v>160</v>
      </c>
      <c r="G3796" s="4" t="s">
        <v>160</v>
      </c>
      <c r="H3796" s="4" t="s">
        <v>523</v>
      </c>
      <c r="I3796" s="204"/>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75" t="s">
        <v>2276</v>
      </c>
      <c r="AB3796" s="75" t="s">
        <v>2276</v>
      </c>
      <c r="AC3796" s="204"/>
      <c r="AD3796" s="204"/>
    </row>
    <row r="3797" spans="1:30" ht="54" customHeight="1">
      <c r="A3797" s="204" t="s">
        <v>9779</v>
      </c>
      <c r="B3797" s="204" t="s">
        <v>9840</v>
      </c>
      <c r="C3797" s="204" t="s">
        <v>24</v>
      </c>
      <c r="D3797" s="204" t="s">
        <v>27</v>
      </c>
      <c r="E3797" s="204" t="s">
        <v>130</v>
      </c>
      <c r="F3797" s="4" t="s">
        <v>160</v>
      </c>
      <c r="G3797" s="4" t="s">
        <v>160</v>
      </c>
      <c r="H3797" s="4" t="s">
        <v>523</v>
      </c>
      <c r="I3797" s="204"/>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75" t="s">
        <v>2276</v>
      </c>
      <c r="AB3797" s="75" t="s">
        <v>2276</v>
      </c>
      <c r="AC3797" s="204"/>
      <c r="AD3797" s="204"/>
    </row>
    <row r="3798" spans="1:30" ht="54" customHeight="1">
      <c r="A3798" s="204" t="s">
        <v>9780</v>
      </c>
      <c r="B3798" s="204" t="s">
        <v>9841</v>
      </c>
      <c r="C3798" s="204" t="s">
        <v>24</v>
      </c>
      <c r="D3798" s="204" t="s">
        <v>27</v>
      </c>
      <c r="E3798" s="204" t="s">
        <v>130</v>
      </c>
      <c r="F3798" s="4" t="s">
        <v>160</v>
      </c>
      <c r="G3798" s="4" t="s">
        <v>160</v>
      </c>
      <c r="H3798" s="4" t="s">
        <v>523</v>
      </c>
      <c r="I3798" s="204"/>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75" t="s">
        <v>2276</v>
      </c>
      <c r="AB3798" s="75" t="s">
        <v>2276</v>
      </c>
      <c r="AC3798" s="204"/>
      <c r="AD3798" s="204"/>
    </row>
    <row r="3799" spans="1:30" ht="54" customHeight="1">
      <c r="A3799" s="204" t="s">
        <v>9781</v>
      </c>
      <c r="B3799" s="204" t="s">
        <v>9842</v>
      </c>
      <c r="C3799" s="204" t="s">
        <v>24</v>
      </c>
      <c r="D3799" s="204" t="s">
        <v>27</v>
      </c>
      <c r="E3799" s="204" t="s">
        <v>130</v>
      </c>
      <c r="F3799" s="4" t="s">
        <v>160</v>
      </c>
      <c r="G3799" s="4" t="s">
        <v>160</v>
      </c>
      <c r="H3799" s="4" t="s">
        <v>523</v>
      </c>
      <c r="I3799" s="204"/>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75" t="s">
        <v>2276</v>
      </c>
      <c r="AB3799" s="75" t="s">
        <v>2276</v>
      </c>
      <c r="AC3799" s="204"/>
      <c r="AD3799" s="204"/>
    </row>
    <row r="3800" spans="1:30" ht="54" customHeight="1">
      <c r="A3800" s="11" t="s">
        <v>9782</v>
      </c>
      <c r="B3800" s="11" t="s">
        <v>9843</v>
      </c>
      <c r="C3800" s="204" t="s">
        <v>24</v>
      </c>
      <c r="D3800" s="204" t="s">
        <v>27</v>
      </c>
      <c r="E3800" s="204" t="s">
        <v>130</v>
      </c>
      <c r="F3800" s="4" t="s">
        <v>160</v>
      </c>
      <c r="G3800" s="4" t="s">
        <v>160</v>
      </c>
      <c r="H3800" s="4" t="s">
        <v>523</v>
      </c>
      <c r="I3800" s="204"/>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75" t="s">
        <v>2276</v>
      </c>
      <c r="AB3800" s="75" t="s">
        <v>2276</v>
      </c>
      <c r="AC3800" s="204"/>
      <c r="AD3800" s="204"/>
    </row>
    <row r="3801" spans="1:30" ht="54" customHeight="1">
      <c r="A3801" s="204" t="s">
        <v>9786</v>
      </c>
      <c r="B3801" s="204" t="s">
        <v>9844</v>
      </c>
      <c r="C3801" s="204" t="s">
        <v>24</v>
      </c>
      <c r="D3801" s="204" t="s">
        <v>27</v>
      </c>
      <c r="E3801" s="204" t="s">
        <v>130</v>
      </c>
      <c r="F3801" s="4" t="s">
        <v>160</v>
      </c>
      <c r="G3801" s="4" t="s">
        <v>160</v>
      </c>
      <c r="H3801" s="4" t="s">
        <v>523</v>
      </c>
      <c r="I3801" s="204"/>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75" t="s">
        <v>2276</v>
      </c>
      <c r="AB3801" s="75" t="s">
        <v>2276</v>
      </c>
      <c r="AC3801" s="204"/>
      <c r="AD3801" s="204"/>
    </row>
    <row r="3802" spans="1:30" ht="42.5" customHeight="1">
      <c r="A3802" s="204" t="s">
        <v>9772</v>
      </c>
      <c r="B3802" s="11" t="s">
        <v>9845</v>
      </c>
      <c r="C3802" s="204" t="s">
        <v>24</v>
      </c>
      <c r="D3802" s="204" t="s">
        <v>143</v>
      </c>
      <c r="E3802" s="204" t="s">
        <v>2649</v>
      </c>
      <c r="F3802" s="204" t="s">
        <v>74</v>
      </c>
      <c r="G3802" s="204" t="s">
        <v>74</v>
      </c>
      <c r="H3802" s="4" t="s">
        <v>523</v>
      </c>
      <c r="I3802" s="204"/>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75" t="s">
        <v>2276</v>
      </c>
      <c r="AB3802" s="75" t="s">
        <v>2276</v>
      </c>
      <c r="AC3802" s="204"/>
      <c r="AD3802" s="82" t="s">
        <v>9852</v>
      </c>
    </row>
    <row r="3803" spans="1:30" ht="40" customHeight="1">
      <c r="A3803" s="204" t="s">
        <v>9773</v>
      </c>
      <c r="B3803" s="11" t="s">
        <v>9846</v>
      </c>
      <c r="C3803" s="204" t="s">
        <v>24</v>
      </c>
      <c r="D3803" s="204" t="s">
        <v>143</v>
      </c>
      <c r="E3803" s="204" t="s">
        <v>2649</v>
      </c>
      <c r="F3803" s="204" t="s">
        <v>74</v>
      </c>
      <c r="G3803" s="204" t="s">
        <v>74</v>
      </c>
      <c r="H3803" s="4" t="s">
        <v>523</v>
      </c>
      <c r="I3803" s="204"/>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75" t="s">
        <v>2276</v>
      </c>
      <c r="AB3803" s="75" t="s">
        <v>2276</v>
      </c>
      <c r="AC3803" s="204"/>
      <c r="AD3803" s="82" t="s">
        <v>9852</v>
      </c>
    </row>
    <row r="3804" spans="1:30" ht="37" customHeight="1">
      <c r="A3804" s="204" t="s">
        <v>9774</v>
      </c>
      <c r="B3804" s="11" t="s">
        <v>9847</v>
      </c>
      <c r="C3804" s="204" t="s">
        <v>24</v>
      </c>
      <c r="D3804" s="204" t="s">
        <v>143</v>
      </c>
      <c r="E3804" s="204" t="s">
        <v>2649</v>
      </c>
      <c r="F3804" s="204" t="s">
        <v>74</v>
      </c>
      <c r="G3804" s="204" t="s">
        <v>74</v>
      </c>
      <c r="H3804" s="4" t="s">
        <v>523</v>
      </c>
      <c r="I3804" s="204"/>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75" t="s">
        <v>2276</v>
      </c>
      <c r="AB3804" s="75" t="s">
        <v>2276</v>
      </c>
      <c r="AC3804" s="204"/>
      <c r="AD3804" s="82" t="s">
        <v>9852</v>
      </c>
    </row>
    <row r="3805" spans="1:30" ht="36.5" customHeight="1">
      <c r="A3805" s="204" t="s">
        <v>9777</v>
      </c>
      <c r="B3805" s="11" t="s">
        <v>9848</v>
      </c>
      <c r="C3805" s="204" t="s">
        <v>24</v>
      </c>
      <c r="D3805" s="204" t="s">
        <v>143</v>
      </c>
      <c r="E3805" s="204" t="s">
        <v>2649</v>
      </c>
      <c r="F3805" s="204" t="s">
        <v>74</v>
      </c>
      <c r="G3805" s="204" t="s">
        <v>74</v>
      </c>
      <c r="H3805" s="4" t="s">
        <v>523</v>
      </c>
      <c r="I3805" s="204"/>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75" t="s">
        <v>2276</v>
      </c>
      <c r="AB3805" s="75" t="s">
        <v>2276</v>
      </c>
      <c r="AC3805" s="204"/>
      <c r="AD3805" s="82" t="s">
        <v>9852</v>
      </c>
    </row>
    <row r="3806" spans="1:30" ht="35.5" customHeight="1">
      <c r="A3806" s="204" t="s">
        <v>9780</v>
      </c>
      <c r="B3806" s="11" t="s">
        <v>9849</v>
      </c>
      <c r="C3806" s="204" t="s">
        <v>24</v>
      </c>
      <c r="D3806" s="204" t="s">
        <v>143</v>
      </c>
      <c r="E3806" s="204" t="s">
        <v>2649</v>
      </c>
      <c r="F3806" s="204" t="s">
        <v>74</v>
      </c>
      <c r="G3806" s="204" t="s">
        <v>74</v>
      </c>
      <c r="H3806" s="4" t="s">
        <v>523</v>
      </c>
      <c r="I3806" s="204"/>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75" t="s">
        <v>2276</v>
      </c>
      <c r="AB3806" s="75" t="s">
        <v>2276</v>
      </c>
      <c r="AC3806" s="204"/>
      <c r="AD3806" s="82" t="s">
        <v>9852</v>
      </c>
    </row>
    <row r="3807" spans="1:30" ht="39" customHeight="1">
      <c r="A3807" s="204" t="s">
        <v>9781</v>
      </c>
      <c r="B3807" s="11" t="s">
        <v>9850</v>
      </c>
      <c r="C3807" s="204" t="s">
        <v>24</v>
      </c>
      <c r="D3807" s="204" t="s">
        <v>143</v>
      </c>
      <c r="E3807" s="204" t="s">
        <v>2649</v>
      </c>
      <c r="F3807" s="204" t="s">
        <v>74</v>
      </c>
      <c r="G3807" s="204" t="s">
        <v>74</v>
      </c>
      <c r="H3807" s="4" t="s">
        <v>523</v>
      </c>
      <c r="I3807" s="204"/>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75" t="s">
        <v>2276</v>
      </c>
      <c r="AB3807" s="75" t="s">
        <v>2276</v>
      </c>
      <c r="AC3807" s="204"/>
      <c r="AD3807" s="82" t="s">
        <v>9852</v>
      </c>
    </row>
    <row r="3808" spans="1:30" ht="39" customHeight="1">
      <c r="A3808" s="204" t="s">
        <v>9782</v>
      </c>
      <c r="B3808" s="11" t="s">
        <v>9851</v>
      </c>
      <c r="C3808" s="204" t="s">
        <v>24</v>
      </c>
      <c r="D3808" s="204" t="s">
        <v>143</v>
      </c>
      <c r="E3808" s="204" t="s">
        <v>2649</v>
      </c>
      <c r="F3808" s="204" t="s">
        <v>74</v>
      </c>
      <c r="G3808" s="204" t="s">
        <v>74</v>
      </c>
      <c r="H3808" s="4" t="s">
        <v>523</v>
      </c>
      <c r="I3808" s="204"/>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75" t="s">
        <v>2276</v>
      </c>
      <c r="AB3808" s="75" t="s">
        <v>2276</v>
      </c>
      <c r="AC3808" s="204"/>
      <c r="AD3808" s="82" t="s">
        <v>9852</v>
      </c>
    </row>
    <row r="3809" spans="1:30" ht="50" customHeight="1">
      <c r="A3809" s="11" t="s">
        <v>9854</v>
      </c>
      <c r="B3809" s="11" t="s">
        <v>9857</v>
      </c>
      <c r="C3809" s="204" t="s">
        <v>2458</v>
      </c>
      <c r="D3809" s="204" t="s">
        <v>2276</v>
      </c>
      <c r="E3809" s="204" t="s">
        <v>116</v>
      </c>
      <c r="F3809" s="4" t="s">
        <v>2662</v>
      </c>
      <c r="G3809" s="204" t="s">
        <v>28</v>
      </c>
      <c r="H3809" s="4" t="s">
        <v>523</v>
      </c>
      <c r="I3809" s="204"/>
      <c r="J3809" s="75" t="s">
        <v>2276</v>
      </c>
      <c r="K3809" s="75" t="s">
        <v>2276</v>
      </c>
      <c r="L3809" s="75" t="s">
        <v>2276</v>
      </c>
      <c r="M3809" s="75" t="s">
        <v>2276</v>
      </c>
      <c r="N3809" s="75" t="s">
        <v>2276</v>
      </c>
      <c r="O3809" s="75" t="s">
        <v>2276</v>
      </c>
      <c r="P3809" s="75" t="s">
        <v>2276</v>
      </c>
      <c r="Q3809" s="75" t="s">
        <v>2276</v>
      </c>
      <c r="R3809" s="75" t="s">
        <v>2276</v>
      </c>
      <c r="S3809" s="75" t="s">
        <v>2276</v>
      </c>
      <c r="T3809" s="21">
        <f>300/2.471/8</f>
        <v>15.17604208822339</v>
      </c>
      <c r="U3809" s="75" t="s">
        <v>2276</v>
      </c>
      <c r="V3809" s="21">
        <f>T3809/('Record info'!K1546*'Land use'!P1546/100)</f>
        <v>7.4999999999999982</v>
      </c>
      <c r="W3809" s="75" t="s">
        <v>2276</v>
      </c>
      <c r="X3809" s="21">
        <f>T3809/'Record info'!K1546</f>
        <v>2.7512839325018339</v>
      </c>
      <c r="Y3809" s="75" t="s">
        <v>2276</v>
      </c>
      <c r="Z3809" s="75" t="s">
        <v>2276</v>
      </c>
      <c r="AA3809" s="75" t="s">
        <v>2276</v>
      </c>
      <c r="AB3809" s="75" t="s">
        <v>2276</v>
      </c>
      <c r="AC3809" s="204"/>
      <c r="AD3809" s="204"/>
    </row>
    <row r="3810" spans="1:30" ht="50" customHeight="1">
      <c r="A3810" s="11" t="s">
        <v>9854</v>
      </c>
      <c r="B3810" s="11" t="s">
        <v>9858</v>
      </c>
      <c r="C3810" s="204" t="s">
        <v>24</v>
      </c>
      <c r="D3810" s="204" t="s">
        <v>1245</v>
      </c>
      <c r="E3810" s="204" t="s">
        <v>116</v>
      </c>
      <c r="F3810" s="4" t="s">
        <v>2662</v>
      </c>
      <c r="G3810" s="4" t="s">
        <v>2662</v>
      </c>
      <c r="H3810" s="4" t="s">
        <v>523</v>
      </c>
      <c r="I3810" s="204"/>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75" t="s">
        <v>2276</v>
      </c>
      <c r="AB3810" s="75" t="s">
        <v>2276</v>
      </c>
      <c r="AC3810" s="4" t="s">
        <v>9865</v>
      </c>
      <c r="AD3810" s="204"/>
    </row>
    <row r="3811" spans="1:30" ht="50" customHeight="1">
      <c r="A3811" s="11" t="s">
        <v>9854</v>
      </c>
      <c r="B3811" s="11" t="s">
        <v>9859</v>
      </c>
      <c r="C3811" s="204" t="s">
        <v>24</v>
      </c>
      <c r="D3811" s="204" t="s">
        <v>1242</v>
      </c>
      <c r="E3811" s="204" t="s">
        <v>116</v>
      </c>
      <c r="F3811" s="4" t="s">
        <v>2662</v>
      </c>
      <c r="G3811" s="4" t="s">
        <v>2662</v>
      </c>
      <c r="H3811" s="4" t="s">
        <v>523</v>
      </c>
      <c r="I3811" s="204"/>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75" t="s">
        <v>2276</v>
      </c>
      <c r="AB3811" s="75" t="s">
        <v>2276</v>
      </c>
      <c r="AC3811" s="4" t="s">
        <v>9865</v>
      </c>
      <c r="AD3811" s="204"/>
    </row>
    <row r="3812" spans="1:30" ht="43.5" customHeight="1">
      <c r="A3812" s="11" t="s">
        <v>9854</v>
      </c>
      <c r="B3812" s="11" t="s">
        <v>9860</v>
      </c>
      <c r="C3812" s="204" t="s">
        <v>24</v>
      </c>
      <c r="D3812" s="204" t="s">
        <v>406</v>
      </c>
      <c r="E3812" s="204" t="s">
        <v>116</v>
      </c>
      <c r="F3812" s="4" t="s">
        <v>2662</v>
      </c>
      <c r="G3812" s="4" t="s">
        <v>2662</v>
      </c>
      <c r="H3812" s="4" t="s">
        <v>523</v>
      </c>
      <c r="I3812" s="204"/>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75" t="s">
        <v>2276</v>
      </c>
      <c r="AB3812" s="75" t="s">
        <v>2276</v>
      </c>
      <c r="AC3812" s="4" t="s">
        <v>9865</v>
      </c>
      <c r="AD3812" s="204"/>
    </row>
    <row r="3813" spans="1:30" ht="44.5" customHeight="1">
      <c r="A3813" s="11" t="s">
        <v>9854</v>
      </c>
      <c r="B3813" s="11" t="s">
        <v>9861</v>
      </c>
      <c r="C3813" s="204" t="s">
        <v>24</v>
      </c>
      <c r="D3813" s="204" t="s">
        <v>4162</v>
      </c>
      <c r="E3813" s="204" t="s">
        <v>863</v>
      </c>
      <c r="F3813" s="4" t="s">
        <v>2662</v>
      </c>
      <c r="G3813" s="4" t="s">
        <v>2662</v>
      </c>
      <c r="H3813" s="4" t="s">
        <v>523</v>
      </c>
      <c r="I3813" s="204"/>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75" t="s">
        <v>2276</v>
      </c>
      <c r="AB3813" s="75" t="s">
        <v>2276</v>
      </c>
      <c r="AC3813" s="82" t="s">
        <v>9862</v>
      </c>
      <c r="AD3813" s="204"/>
    </row>
    <row r="3814" spans="1:30" ht="40" customHeight="1">
      <c r="A3814" s="11" t="s">
        <v>9854</v>
      </c>
      <c r="B3814" s="11" t="s">
        <v>9863</v>
      </c>
      <c r="C3814" s="204" t="s">
        <v>2458</v>
      </c>
      <c r="D3814" s="204" t="s">
        <v>4162</v>
      </c>
      <c r="E3814" s="204" t="s">
        <v>863</v>
      </c>
      <c r="F3814" s="4" t="s">
        <v>2662</v>
      </c>
      <c r="G3814" s="4" t="s">
        <v>2662</v>
      </c>
      <c r="H3814" s="4" t="s">
        <v>523</v>
      </c>
      <c r="I3814" s="204"/>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75" t="s">
        <v>2276</v>
      </c>
      <c r="AB3814" s="75" t="s">
        <v>2276</v>
      </c>
      <c r="AC3814" s="204"/>
      <c r="AD3814" s="204"/>
    </row>
    <row r="3815" spans="1:30" ht="39" customHeight="1">
      <c r="A3815" s="11" t="s">
        <v>9854</v>
      </c>
      <c r="B3815" s="11" t="s">
        <v>9864</v>
      </c>
      <c r="C3815" s="204" t="s">
        <v>2458</v>
      </c>
      <c r="D3815" s="204" t="s">
        <v>1242</v>
      </c>
      <c r="E3815" s="204" t="s">
        <v>116</v>
      </c>
      <c r="F3815" s="4" t="s">
        <v>74</v>
      </c>
      <c r="G3815" s="4" t="s">
        <v>74</v>
      </c>
      <c r="H3815" s="4" t="s">
        <v>523</v>
      </c>
      <c r="I3815" s="204"/>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75" t="s">
        <v>2276</v>
      </c>
      <c r="AB3815" s="75" t="s">
        <v>2276</v>
      </c>
      <c r="AC3815" s="4" t="s">
        <v>9866</v>
      </c>
      <c r="AD3815" s="204"/>
    </row>
    <row r="3816" spans="1:30" ht="51" customHeight="1">
      <c r="A3816" s="11" t="s">
        <v>9874</v>
      </c>
      <c r="B3816" s="11" t="s">
        <v>9877</v>
      </c>
      <c r="C3816" s="204" t="s">
        <v>24</v>
      </c>
      <c r="D3816" s="204" t="s">
        <v>143</v>
      </c>
      <c r="E3816" s="204" t="s">
        <v>130</v>
      </c>
      <c r="F3816" s="4" t="s">
        <v>74</v>
      </c>
      <c r="G3816" s="4" t="s">
        <v>74</v>
      </c>
      <c r="H3816" s="4" t="s">
        <v>523</v>
      </c>
      <c r="I3816" s="204"/>
      <c r="J3816" s="21">
        <f>T3816/P3816/'Record info'!K$1547</f>
        <v>0.15297017081669073</v>
      </c>
      <c r="K3816" s="75" t="s">
        <v>2276</v>
      </c>
      <c r="L3816" s="75" t="s">
        <v>2276</v>
      </c>
      <c r="M3816" s="75" t="s">
        <v>2276</v>
      </c>
      <c r="N3816" s="75" t="s">
        <v>2276</v>
      </c>
      <c r="O3816" s="75" t="s">
        <v>2276</v>
      </c>
      <c r="P3816" s="21">
        <f>0.29/0.85</f>
        <v>0.3411764705882353</v>
      </c>
      <c r="Q3816" s="75" t="s">
        <v>2276</v>
      </c>
      <c r="R3816" s="75" t="s">
        <v>2276</v>
      </c>
      <c r="S3816" s="75" t="s">
        <v>2276</v>
      </c>
      <c r="T3816" s="21">
        <f>20/0.35*0.29*(0.45/0.85)/5</f>
        <v>1.7546218487394956</v>
      </c>
      <c r="U3816" s="75" t="s">
        <v>2276</v>
      </c>
      <c r="V3816" s="75" t="s">
        <v>2276</v>
      </c>
      <c r="W3816" s="75" t="s">
        <v>2276</v>
      </c>
      <c r="X3816" s="21">
        <f>T3816/'Record info'!K$1547</f>
        <v>5.2189822984518013E-2</v>
      </c>
      <c r="Y3816" s="75" t="s">
        <v>2276</v>
      </c>
      <c r="Z3816" s="75" t="s">
        <v>2276</v>
      </c>
      <c r="AA3816" s="75" t="s">
        <v>2276</v>
      </c>
      <c r="AB3816" s="75" t="s">
        <v>2276</v>
      </c>
      <c r="AC3816" s="204"/>
      <c r="AD3816" s="204" t="s">
        <v>9883</v>
      </c>
    </row>
    <row r="3817" spans="1:30" ht="59" customHeight="1">
      <c r="A3817" s="11" t="s">
        <v>9874</v>
      </c>
      <c r="B3817" s="11" t="s">
        <v>9878</v>
      </c>
      <c r="C3817" s="204" t="s">
        <v>24</v>
      </c>
      <c r="D3817" s="204" t="s">
        <v>27</v>
      </c>
      <c r="E3817" s="4" t="s">
        <v>397</v>
      </c>
      <c r="F3817" s="4" t="s">
        <v>74</v>
      </c>
      <c r="G3817" s="4" t="s">
        <v>74</v>
      </c>
      <c r="H3817" s="4" t="s">
        <v>523</v>
      </c>
      <c r="I3817" s="204"/>
      <c r="J3817" s="21">
        <f>T3817/P3817/'Record info'!K$1547</f>
        <v>0.21447285048038656</v>
      </c>
      <c r="K3817" s="75" t="s">
        <v>2276</v>
      </c>
      <c r="L3817" s="75" t="s">
        <v>2276</v>
      </c>
      <c r="M3817" s="75" t="s">
        <v>2276</v>
      </c>
      <c r="N3817" s="75" t="s">
        <v>2276</v>
      </c>
      <c r="O3817" s="75" t="s">
        <v>2276</v>
      </c>
      <c r="P3817" s="21">
        <f>AVERAGE(0.29/0.85, 0.09/0.5)</f>
        <v>0.26058823529411768</v>
      </c>
      <c r="Q3817" s="75" t="s">
        <v>2276</v>
      </c>
      <c r="R3817" s="75" t="s">
        <v>2276</v>
      </c>
      <c r="S3817" s="75" t="s">
        <v>2276</v>
      </c>
      <c r="T3817" s="21">
        <f>20/0.35*((0.29*(0.35/0.85))+(0.09*(0.15/0.3)))/5</f>
        <v>1.8789915966386554</v>
      </c>
      <c r="U3817" s="75" t="s">
        <v>2276</v>
      </c>
      <c r="V3817" s="75" t="s">
        <v>2276</v>
      </c>
      <c r="W3817" s="75" t="s">
        <v>2276</v>
      </c>
      <c r="X3817" s="21">
        <f>T3817/'Record info'!K$1547</f>
        <v>5.5889101625183096E-2</v>
      </c>
      <c r="Y3817" s="75" t="s">
        <v>2276</v>
      </c>
      <c r="Z3817" s="75" t="s">
        <v>2276</v>
      </c>
      <c r="AA3817" s="75" t="s">
        <v>2276</v>
      </c>
      <c r="AB3817" s="75" t="s">
        <v>2276</v>
      </c>
      <c r="AC3817" s="4" t="s">
        <v>9879</v>
      </c>
      <c r="AD3817" s="204" t="s">
        <v>9883</v>
      </c>
    </row>
    <row r="3818" spans="1:30" ht="55.5" customHeight="1">
      <c r="A3818" s="11" t="s">
        <v>9874</v>
      </c>
      <c r="B3818" s="11" t="s">
        <v>9880</v>
      </c>
      <c r="C3818" s="204" t="s">
        <v>24</v>
      </c>
      <c r="D3818" s="204" t="s">
        <v>143</v>
      </c>
      <c r="E3818" s="4" t="s">
        <v>2651</v>
      </c>
      <c r="F3818" s="4" t="s">
        <v>74</v>
      </c>
      <c r="G3818" s="4" t="s">
        <v>74</v>
      </c>
      <c r="H3818" s="4" t="s">
        <v>523</v>
      </c>
      <c r="I3818" s="204"/>
      <c r="J3818" s="21">
        <f>T3818/P3818/'Record info'!K$1547</f>
        <v>4.483608454971969E-3</v>
      </c>
      <c r="K3818" s="75" t="s">
        <v>2276</v>
      </c>
      <c r="L3818" s="75" t="s">
        <v>2276</v>
      </c>
      <c r="M3818" s="75" t="s">
        <v>2276</v>
      </c>
      <c r="N3818" s="75" t="s">
        <v>2276</v>
      </c>
      <c r="O3818" s="75" t="s">
        <v>2276</v>
      </c>
      <c r="P3818" s="21">
        <f>0.29/0.85</f>
        <v>0.3411764705882353</v>
      </c>
      <c r="Q3818" s="75" t="s">
        <v>2276</v>
      </c>
      <c r="R3818" s="75" t="s">
        <v>2276</v>
      </c>
      <c r="S3818" s="75" t="s">
        <v>2276</v>
      </c>
      <c r="T3818" s="21">
        <f>20/0.35*0.009*(0.5)/5</f>
        <v>5.1428571428571421E-2</v>
      </c>
      <c r="U3818" s="75" t="s">
        <v>2276</v>
      </c>
      <c r="V3818" s="75" t="s">
        <v>2276</v>
      </c>
      <c r="W3818" s="75" t="s">
        <v>2276</v>
      </c>
      <c r="X3818" s="21">
        <f>T3818/'Record info'!K$1547</f>
        <v>1.5297017081669073E-3</v>
      </c>
      <c r="Y3818" s="75" t="s">
        <v>2276</v>
      </c>
      <c r="Z3818" s="75" t="s">
        <v>2276</v>
      </c>
      <c r="AA3818" s="75" t="s">
        <v>2276</v>
      </c>
      <c r="AB3818" s="75" t="s">
        <v>2276</v>
      </c>
      <c r="AC3818" s="204"/>
      <c r="AD3818" s="204" t="s">
        <v>9883</v>
      </c>
    </row>
    <row r="3819" spans="1:30" ht="52.5" customHeight="1">
      <c r="A3819" s="11"/>
      <c r="B3819" s="11"/>
      <c r="C3819" s="204"/>
      <c r="D3819" s="204"/>
      <c r="E3819" s="204"/>
      <c r="F3819" s="204"/>
      <c r="G3819" s="4"/>
      <c r="H3819" s="4"/>
      <c r="I3819" s="204"/>
      <c r="J3819" s="21"/>
      <c r="K3819" s="75"/>
      <c r="L3819" s="75"/>
      <c r="M3819" s="75"/>
      <c r="N3819" s="75"/>
      <c r="O3819" s="75"/>
      <c r="P3819" s="75"/>
      <c r="Q3819" s="75"/>
      <c r="R3819" s="75"/>
      <c r="S3819" s="75"/>
      <c r="T3819" s="75"/>
      <c r="U3819" s="75"/>
      <c r="V3819" s="75"/>
      <c r="W3819" s="75"/>
      <c r="X3819" s="75"/>
      <c r="Y3819" s="75"/>
      <c r="Z3819" s="75"/>
      <c r="AA3819" s="75"/>
      <c r="AB3819" s="75"/>
      <c r="AC3819" s="4"/>
      <c r="AD3819" s="204"/>
    </row>
  </sheetData>
  <autoFilter ref="A1:A2911"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185" yWindow="305" count="16">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910:Y2910 J2513:X2514 J2528:X2528 J2523:X2523 J2546:X2547 J2555:X2562 J2642:W2644 T2638:T2817 U2804:W2806 J2804:S2806 J2786:S2788 J2768:S2770 J2750:S2752 J2732:S2734 J2714:S2716 J2696:S2698 J2678:S2680 J2660:S2662 U2660:W2662 U2678:W2680 U2696:W2698 U2714:W2716 U2732:W2734 U2750:W2752 U2768:W2770 U2786:W2788 J2878:Y2878 J2895:Y2895 J2905:Y2905 J2469 J2494:J2495 J2491:J2492 Y2472 K2459:R2462 L2463:O2473 Q2463:R2473 P2464:P2473 S2462:W2473 W2459:W2460 X2464:X2473 Y2462:Y2466 Y2468 Y2470 J2473 J2471 X2462 J2500:J2502 S2459:S2460 U2459:U2460 J2922:W2923 J2932:W2933 J2958 J2968:W2968 J2970:W2970 J2983:X2983 K2990:X2990 J2990:J2994 J3038:X3038 J3041:X3047 J3059:J3062 P3059:P3062 J3073:X3073 J3102:X3102 J3110:X3110 J3125:J3128 J2459:J2467 J2439:W2439 J2436:W2436 J2433:W2433 J2430:W2430 J2427:W2427 J2442:W2442 J2447:X2447 K2454:X2455 J2454:J2456 J3140:X3140 J3142:X3142 J3159:X3159 J3173:X3183 J3185:X3185 J3188:X3190 J3216:W3217 J3235:J3245 K3250:T3251 K3252:Y3253 Y3254:AB3255 K3254:S3255 U3254:W3255 U3260:W3261 AB3260:AB3286 K3256:AB3259 K3260:S3261 K3262:X3271 J3282:S3282 K3286:S3286 U3272:U3280 U3282 W3284:X3286 W3282:X3282 W3272:X3280 K3272:S3280 J3284:S3285 J3248:J3280 Y3260:Y3300 U3284:U3297 V3287:X3297 K3287:T3297 J3286:J3297 J3300:X3300 J3302:X3303 Y3302:AB3305 Y3307:AB3308 J3306:AB3306 Y3310:AB3311 Y3313:AB3314 Y3316:AB3317 J3309:AB3309 J3312:AB3312 J3315:AB3315 U3318:AB3319 J3318:S3319 Q3328:AB3328 J3320:O3327 K3328:O3328 P3327:AB3327 P3325:AB3325 Q3320:AB3324 Q3326:AB3326 Q3356:U3356 K3329:AB3355 W3356:AB3356 K3356:O3356 U3367:W3368 K3357:AB3366 Y3367:AB3368 K3367:S3368 K3369:AB3375 T3376 V3376 AC3378:AD3386 X3376:AA3376 AB3376:AB3489 Z3377:AA3377 AC3390:AD3398 W3408:W3416 K3393:T3394 K3376:S3392 U3408:U3416 V3393:V3394 J3328:J3404 K3395:S3404 W3376:W3404 U3376:U3404 J3408:S3416 AC3426:AD3434 AC3438:AD3446 AC3450:AD3458 AC3462:AD3470 K3468:T3469 X3486:X3489 K3419:S3467 V3468:V3469 X3468:X3469 AC3474:AD3482 K3493:T3496 K3470:S3492 V3486:V3491 V3493:V3499 X3493:X3496 W3419:W3499 U3419:U3499 Y3377:Y3539 K3497:S3499 J3419:J3499 K3503:O3508 Q3510:X3531 Q3503:S3508 U3503:X3508 K3510:O3531 K3532:X3540 Z3490:AB3540 U3541:U3554 W3541:Y3541 Y3542:AA3543 V3543:V3549 Z3549:AA3549 V3551:V3630 K3541:S3549 X3549 K3550:M3550 O3550:S3550 T3549 X3551:X3569 K3551:T3555 Y3544:Y3589 T3557:T3630 Z3551:AA3573 X3571:X3630 Z3576:AA3576 AB3541:AB3604 J3503:J3584 Z3578:AA3594 Y3595:AA3604 Y3605:Y3608 Y3613:AB3622 V3635:V3650 X3635:X3638 V3632:V3633 W3542:W3650 Z3625:AB3638 Y3623:Y3650 U3556:U3650 N3556:N3630 K3635:T3638 K3556:M3634 O3556:S3634 U3663:U3681 W3666:W3681 U3651:W3654 U3657:W3660 J3662:S3662 K3663:S3670 U3662:W3662 V3663:W3665 Y3651:AB3670 J3586:J3660 K3639:S3660 V3671:V3681 K3671:T3672 S3674:S3681 T3673 T3676:T3681 Z3639:AA3650 X3671:AB3681 K3673:R3681 K3682:AB3694 W3695:X3695 K3695:S3695 Y3695:Y3698 U3695:U3698 K3696:T3698 V3696:X3698 Z3696:AB3698 J3663:J3698 T3705:AB3710 U3699:W3704 Y3699:AB3704 Y3711:AB3713 U3711:W3713 T3714:AB3718 R3714:R3717 J3699:Q3717 U3736:W3740 T3725:AB3729 T3719:AD3724 Y3736:AB3740 T3730:AD3735 J3718:R3741 K3742:R3742 K3743:M3743 O3743:R3743 T3741:AB3744 K3783:X3801 U3745:U3777 W3745:W3777 K3744:R3777 J3742:J3777 S3699:S3777 U3779 W3779 J3779:S3779 J3781:S3781 Y3745:AB3801 U3781 W3781 K3802:AB3808 W3809:W3819 K3809:S3809 Y3809:AB3809 U3809:U3819 V3810:V3819 Y3816:AB3818 K3810:T3815 X3810:AB3815 J3783:J3815 K3816:O3818 Q3816:S3818 J3819:J1048576 K3819:T3819 X3819:AB3819"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10 O2516:P2516 O2524:O2525 N2839:N2840 N2837 T2843:T2844 X2843:X2844 P2837:P2844 K2456:R2456 P2494:P2495 P2491:P2492 P2463 R2501:R2502 N2500 L2500 P2500:P2502 K2912:K2914 M2914 O2912:O2914 R2956 R2958 Q2980:Q2981 K2980:K2981 M2980:M2981 M3020 K3020 P3021 N3039 P3039 R3074 N3218:N3219 L3218:L3219 X3235:X3242 T3235:T3242 P3235:P3242 P3248:R3249 M3246:M3249 L3248:L3249 K3246:K3249 N3248:N3249 O3243:O3249 P3356 P3503:P3515 Q3509:X3509 J3500:X3502 K3509:O3509 P3517:P3531 N3550 T3699:T3704 T3711:T3713 R3699:R3713 T3736:T3740 N3743 K3820: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45 T2545 S2550 X2563:X2637 T2564:T2637 T2818:T2836 T2491:T2492 T2494:T2495 T2497:T2502 S2456:T2456 S2461 T2459:T2461 T3161:T3172 T3184 T3198:T3201 S3223:S3227 S3243:S3245 S3248:T3249 T3254:T3255 T3260:T3261 T3272:T3280 U3283:X3283 J3281:X3281 J3283:S3283 T3282:T3286 J3298:X3299 J3301:Y3301 J3304:X3305 J3307:X3308 J3316:X3317 J3310:X3311 J3313:X3314 T3318:T3319 T3367:T3368 T3377:T3392 T3408:T3416 T3395:T3404 T3419:T3467 T3470:T3492 P3524:P3525 P3512:P3513 T3497:T3499 P3519:P3520 T3541:T3548 T3550 T3556 T3631:T3634 V3631 V3634 N3631:N3634 U3655:W3656 U3661:W3661 J3661:S3661 T3639:T3670 S3673 T3674:T3675 T3695 T3711:T3713 T3699:T3704 T3736:T3740 U3782:X3782 T3745:T3782 J3778:S3778 U3778:X3778 U3780:X3780 J3780:S3780 J3782:S3782 T3809 P3816:P3818 J3816:J3818 T3816:T3818 S3820: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58 Y2469 Y2467 Y2473 Y2471 Y2925:Y2931 Y2969 Y2986 Y3023 Y3039 Y3067 Y2389:Y2400 Y3133:Y3139 Y2456 Y3141 Y3160 Y3243 P3525 Y3540 Y3590:Y3594 Y3609:Y3612 Y3820:Y1048576"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383:U2388 V2507 X2515 V2515 W2550 X2459:X2461 X2497:X2500 V2501:V2502 U2461 W2461 U2456:W2456 V2935 V3117:V3124 W2449 V2459:V2461 X3141 X3143:X3148 X3161:X3162 V3161:V3172 V3184 V3201 U3203 U3215 U3223:U3227 W3243:W3245 U3243:U3245 V3282 V3272:V3280 V3284:V3286 V3356 X3367:X3368 J3405:U3407 V3378:V3392 W3417:W3418 V3470:V3485 W3405:W3407 X3470:X3485 J3417:U3418 V3395:V3467 X3378:X3467 P3514:P3515 P3521:P3523 X3542 V3541:V3542 V3550 U3555 V3666:V3670 V3695 V3781 X3781 V3745:V3777 X3745:X3777 X3779 V3779 V3809 U3820: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50:A2554 B2503:B2506 B2157:B2162 A2189:A2400 B2145:B2148 B2510:B2514 F2524:F2525 B2531:B2536 B2545:B2547 A2443:A2444 A2727 A2745 A2818:A2838 F2555:F2836 G2528:G2836 A2912:A2924 B2955:B2958 B2953 B2963:B2965 B2968:B2970 B2973:B2974 A2933:A2990 A3020:A3040 B3055:B3066 B3077:B3083 B3091:B3116 B3133:B3140 A2403:A2424 B2454:B2455 B3143:B3148 A3055:A3161 A3188:A3194 B3193:B3194 A3196 A3201:A3203 A3215:A3222 B3246:B3251 B3264:B3271 A3228:A3271 B3309:B3311 B3338:B3346 B3369:B3374 A3298:A3377 B3488:B3489 A3486:A3497 B3539:B3540 A3533:A3542 B3549:B3554 B3581:B3589 A3549:A3589 B3620:B3622 A3613:A3638 B3673:B3675 A3671:A3683 B3693:B3696 B3699:B3701 B3705:B3707 B3711:B3715 B3719:B3721 B3730:B3732 B3725:B3726 A3690:A3740 B3736:B3740 A3744 A3802: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07:B2509 B2515:B2530 B2537:B2544 B2548:B2554 B2727 B2745 B2818:B2838 B2845:B2924 B2933:B2952 B2954 B2959:B2962 B2966:B2967 B2971:B2972 B2975:B2990 B3020:B3041 B3048 B3067:B3076 B3084:B3090 B3117:B3132 B2456:B2502 B2383:B2453 B3141:B3142 B3149:B3161 B3188:B3192 B3195:B3196 B3201:B3203 B3215:B3222 B3228:B3245 B3252:B3263 B3298:B3308 B3312:B3337 B3347:B3368 B3375:B3377 B3486:B3487 B3490:B3499 B3532:B3538 B3541:B3542 B3555:B3580 B3613:B3619 B3623:B3638 B3671:B3672 B3676:B3683 B3697:B3698 B3702:B3704 B3708:B3710 B3716:B3718 B3722:B3724 B3727:B3729 B3733:B3735 B3741:B3744 B3802:B1048576"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55:B2726 A2728:B2744 A2746:B2817 A2839:B2844 A2845:A2911 A2925:B2932 A3041:A3054 B3042:B3047 B3049:B3054 A2445:A2449 A3204:B3211 A3223:B3227 A3272:B3297 A3378:B3485 A3500:B3531 A3590:B3612 A3639:B3670 A3684:B3689 B3690:B3692 A3763:B3780 A3745:B3761 A3782:B3799 A3801:B3801"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62 T2563 AD2555:AD2567 I2313:I2495 I2497: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2991:B3019 A2425:A2442 A3162:B3187 A3197:B3200 A3212:B3214 A3498:A3499 A3543:B3548 A3763:B3763 A3782:B3782 A3801:B3801"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09 X2507:X2509 X2548 X2638:X2836 X2456 X2491:X2492 X2494:X2495 X2463 X2935 X2952:X2955 X2958 X3039 X3048:X3054 X3117:X3124 X3151:X3155 X3160 X3163:X3172 X3184 X3201 W3215 X3254:X3255 X3260:X3261 V3377 X3377 X3490:X3492 V3492 P3524 X3497:X3499 X3543:X3548 X3550 X3570 X3631:X3634 X3639:X3670 X3711:X3713 X3699:X3704 X3736:X3740 X3809 X3816:X3818 X3820:X1048576" xr:uid="{587A3FE1-607A-450B-8FA6-4B088290225A}">
      <formula1>0</formula1>
      <formula2>100</formula2>
    </dataValidation>
    <dataValidation type="decimal" allowBlank="1" showInputMessage="1" showErrorMessage="1" prompt="Float_x000a__x000a_" sqref="T3215" xr:uid="{26B86C97-6FB5-4D63-B9A2-A33FE3DF3273}">
      <formula1>0</formula1>
      <formula2>999999999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85" yWindow="305" count="23">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AB2500 AB2503:AB2506 AB2517 AB2519 AB2563:AB2842 AB2925:AB2931 AB2937:AB2951 AB2986 AB3022:AB3038 AB3040 AB3059:AB3072 AB3091:AB3101 AB3103:AB3109 AB3111:AB3116 AB3125:AB3128 AB3143:AB3148 AB3162:AB3172 AB3184 AB3201:AB3202 AB3238:AB3239 AB3248:AB3249 AB3251:AB3253 AB3287:AB3301 P3528 AB3605:AB3612 AB3623:AB3624 AB3639:AB3650 AB3695 AB3820:AB1048576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H2454:H2455 H2427 H2430 H2433 H2436 H2439 H2442 H2447 H2459:H1048576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G2503:G2504 F2519:G2519 F2512:F2516 G2512:G2517 G2523:G2527 G2520 F2520:F2523 F2526:F2554 F2467:F2509 F2459 F2461 F2837:G2923 G2924:G2936 F2925:F2934 F2975:G2977 F2986 F2995:F2998 F3000:F3003 F3005:F3007 F3010:F3014 F3016:F3017 F3020:G3020 G3021:G3022 F3022:F3023 F3038:F3040 G3024:G3090 G3117:G3128 G3201:G3202 F3048:F3227 F3230:F3231 G3243:G3253 F3238:F3253 F3262:G3263 F3266:G3267 G3270:G3286 F3270:F3317 G3330:G3337 F3329:F3354 G3339:G3366 F3357:F3366 G3370 F3369:G3369 G3376:G3377 F3370:F3488 G3532:G3533 F3497:F3533 F3536:G3537 F3540:G3540 G3541:G3542 G3544:G3546 F3583:F3589 F3595:G3604 F3613:G3613 F3619 F3622 F3625:F3627 F3637 G3683:G3694 G3697:G3698 F3683:F3698 F3741:F3742 G3742:G3801 F3745:F3801 G3810:G3818 F3809:F3818 F3820:F1048576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Z2459:AA2462 W2501:X2502 V2496:X2496 P2511:P2512 J2503:AA2506 J2507:U2509 Y2507:AB2509 W2507:W2509 V2508 J2510:O2512 Q2510:AB2512 X2516:AB2516 J2515:U2515 W2515:W2522 J2516:N2516 Q2516:V2516 Y2513:AB2515 F2517 X2520:X2522 AB2518 G2521:G2522 J2517:V2522 X2517:AA2519 Y2520:AB2523 P2524:Y2525 Z2524:AB2527 J2524:N2527 O2526:Y2527 J2548:W2548 J2529:S2545 T2529:T2544 U2529:W2545 X2529:X2544 J2549:AB2549 Y2528:AB2548 T2550:V2550 J2550:R2550 X2550:AB2550 J2551:AB2554 U2563:W2637 J2563:S2637 J2638:W2641 T2807:T2817 T2771:W2785 T2789:W2803 T2656:W2659 J2645:W2655 T2663:W2677 T2681:W2695 T2699:W2713 T2717:W2731 T2735:W2749 T2753:W2767 Z2563:AA2842 Y2555:Y2838 Z2555:AB2562 Z2491:AA2496 J2493:Y2493 Y2494:Y2502 U2497:W2500 Q2494:S2495 K2494:O2495 I2496:T2496 U2494:U2496 V2494:W2495 Z2500:AA2500 J2497:S2499 K2500:K2502 L2501:O2502 M2500 O2500 Q2500:Q2502 R2500:S2500 S2501:S2502 U2501:U2502 Z2912:AA2919 Z2925:AA2931 Z2937:AA2951 Z2969:AA2969 Z2971:AA2972 Z2982:AA2989 Z3020:AA3020 Z3022:AA3038 Z3040:AA3040 Z3055:AA3072 AA3075:AB3076 Z3091:AA3101 Z3103:AA3109 Z3111:AA3116 Z3117:AB3124 Z3125:AA3128 Z2457:AA2457 Z2401:AA2424 Z3133:AA3140 Z3143:AA3149 Z3151:AA3158 Z3160:AA3160 Z3162:AA3172 Z3184:AA3184 Z3197:AA3211 Z3218:AA3222 Z3228:AA3233 Z3238:AA3239 Z3243:AA3253 Z3260:AA3301 Z3378:AA3489 P3526:P3527 Z3541:AA3541 Z3544:AA3548 Z3550:AA3550 Z3574:AA3575 Z3577:AA3577 Z3605:AA3612 Z3623:AA3624 Z3695:AA3695 Z3820:AA1048576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G2467:G2502 F2510:F2511 G2505:G2511 F2518:G2518 G2459 G2461 F2947:F2951 F2956:F2974 G2947:G2974 F2978:G2985 G2986 F2987:G2990 F2999 F3004:G3004 G2991:G3003 F3008 F3015 G3005:G3019 F3041:F3047 G3129:G3132 F3232:F3233 G3228:G3242 F3254:G3261 F3264:G3265 F3268:G3269 F3325 F3320:F3322 G3287:G3329 G3338 F3355:F3356 G3367:G3368 G3378:G3531 G3534:G3535 G3538:G3539 F3551:F3565 F3571:F3582 F3590:F3594 G3547:G3594 G3605:G3612 F3614:F3618 F3620:F3621 F3630 F3635:F3636 F3638 F3671:F3679 F3681:F3682 G3614:G3682 G3695:G3696 F3699:F3735 G3699:G3741 F3802:F3808 G3802:G3809 G3819:G1048576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D3026:E3037 E3048:E3054 E3059:E3066 E3074 C2459:C3573 D3623 C3575:C1048576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F2465:G2465 E2460:G2460 E2462:G2462 E2464:G2464 F2463:G2463 E2466:G2466 F2936:F2946 E2935:E2946 G2937:G2946 E2991:F2994 E3021:F3021 F3024:F3037 G3023 D2459:D3025 D3038:D3227 D3230:D3234 E3318:F3319 F3326 F3323:F3324 E3327:F3328 D3236:D3355 E3367:F3368 G3371:G3375 E3489:F3489 E3487 F3490:F3496 E3493:E3496 E3490:E3491 E3545 E3543:G3543 F3545:F3550 E3547:E3550 E3566:F3570 C3574 D3357:D3573 D3575:D3578 D3580:D3582 E3605 F3605:F3612 D3585:D3622 E3631:E3633 F3633 E3664:E3666 E3639:E3641 E3644:E3646 E3649:E3651 E3654:E3656 E3659:E3661 F3639:F3670 E3680:F3680 E3741 F3744 E3743:F3743 E3764:E3782 D3624:D1048576 E3819:F3819</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E2459 E2461 E2463 E2465 F2924 E2467:E2934 F2952:F2955 E2947:E2990 F3009 F3018:F3019 E2995:E3020 E3022:E3025 E3038:E3047 E3055:E3058 E3067:E3073 E2413:E2424 E2445:E2446 F3228:F3229 D3228:D3229 F3234:F3237 D3235 E3075:E3317 P3326 E3320:E3326 P3328 P3320:P3324 D3356 E3329:E3366 E3488 E3369:E3486 E3492 F3534:F3535 F3538:F3539 F3541:F3542 E3497:E3542 E3544:F3544 E3546 E3551:E3565 D3574 D3579 G3589 D3583:D3584 E3571:E3585 C3585:F3589 E3606:E3608 E3590:E3604 F3628:F3629 F3623:F3624 F3634 E3613:E3630 F3631:F3632 E3662:E3663 E3635:E3638 E3642:E3643 E3647:E3648 E3652:E3653 E3657:E3658 E3667:E3679 F3736:F3740 E3681:E3740 E3742 E3744:E3763 E3783:E3818 E3820:E1048576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K2317:O2382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J2383:O2422 Y2423:Y2446 X2425:X2446 J2440:W2441 J2437:W2438 J2434:W2435 J2431:W2432 J2428:W2429 J2425:W2426 E2443:E2446 J2443:W2446 X2448:Y2451 U2450:W2451 U2448:W2448 U2449:V2449 J2448:T2451 E2450:E2453 Y2453:Y2455 Y2447:AB2447 Z2425:AA2444 Z2450:AA2451 J2452:Y2452 J2453:X2453 G2383:G2458</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Z2501:AB2502 Z2383:AA2390 AB2491:AB2499 Z2497:AA2499 Y2459:Y2461 Z2463:AA2477 E2383:E2400 J2423:X2424 E2425:E2442 AB2383:AB2446 E2447:E2449 Z2445:AA2446 Z2448:AA2449 D2383:D2458 J2457:Y2457 F2383:F2458 E2454:E2458 Z2452:AA2456 J2458:X2458 AB2448:AB2477 Z2458:AA2458</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U2807:W2836 J2656:S2659 J2807:S2836 J2789:S2803 J2771:S2785 J2753:S2767 J2735:S2749 J2717:S2731 J2699:S2713 J2681:S2695 J2663:S2677 Q2837:X2838 N2841:N2877 J2838:O2838 O2837 J2837:M2837 Q2839:Y2842 Y2843:AB2844 Q2843:S2844 O2839:O2877 U2843:W2844 J2839:M2877 J2879:Y2894 J2896:Y2904 J2906:Y2909 J2911:AB2911 P2845:Y2877 Z2845:AB2910 J2912:J2921 K2915:K2921 L2912:L2921 M2912:M2913 M2915:M2921 N2912:N2921 O2915:O2921 Y2916:Y2917 Y2914 Y2912 P2912:X2921 Z2920:AA2924 X2922:X2934 AB2912:AB2924 Y2919:Y2924 J2924:W2931 F2935 Y2932:AB2935 V2934 J2934:U2935 J2936:AB2936 W2934:W2935 J2937:Y2951 J2952:Q2957 K2958:Q2958 R2952:R2955 R2957:W2957 Y2952:AB2958 X2956:X2957 S2952:W2956 S2958:W2958 J2959:AB2967 X2968:AB2968 AB2969 J2969:X2969 X2970:AB2970 J2971:Y2972 AB2971:AB2985 J2973:AA2981 J2984:X2986 J2982:X2982 Y2982:Y2985 AB2987:AB3021 J2987:Y2989 Y2990:AA2990 K2991:AA2994 J2995:AA3019 L3020:L3037 N3020:Y3020 J3020:J3037 K3021:K3037 M3021:O3021 Q3021:AA3021 Y3024:Y3038 Y3022 M3022:X3037 O3039:O3040 Z3039:AB3039 Q3039:W3039 J3039:M3039 J3040:N3040 P3040:Y3040 Y3041:AB3054 J3048:W3054 AB3055:AB3058 J3055:Y3058 K3059:O3062 Q3059:Y3062 Y3063:Y3066 Y3068:Y3102 S3074:X3074 J3074:Q3074 J3063:X3073 Z3073:Z3090 AA3073:AB3074 AA3077:AB3090 G3091:G3116 J3103:Y3109 J3075:X3102 Z3102:AB3102 J3111:Y3116 J3110:AB3110 X3125:X3139 J3117:U3124 J3129:V3139 K3125:V3128 Y3117:Y3132 Y3140 W3117:W3139 Z3129:AA3132 J3141:W3141 Y3142:Y3159 Z3141:AA3142 AB3129:AB3142 J3143:W3148 AB3149:AB3161 J3149:X3150 Z3150:AA3150 J3151:W3158 Z3159:AA3159 X3156:X3158 J3160:W3160 U3161:U3172 W3161:W3172 Y3161:AA3161 J3161:S3172 U3198:Y3200 Y3162:Y3190 Z3173:AB3183 U3184 W3184 J3184:S3184 J3186:X3187 Z3185:AB3190 J3191:AB3196 T3197:Y3197 AB3197:AB3200 G3133:G3200 J3197:S3201 J3215:S3215 U3201:U3214 V3202:V3215 W3201:W3214 G3203:G3227 AB3203:AD3203 Z3223:AA3227 J3202:T3214 Z3212:AA3217 O3218:W3222 V3223:W3227 O3223:R3227 U3228:W3242 L3220:L3247 M3218:M3245 N3220:N3247 Y3201:Y3242 X3202:X3234 J3218:K3234 O3228:S3234 K3235:K3245 O3235:O3242 Q3235:S3242 T3223:T3234 Z3234:AA3237 AB3204:AB3237 Z3240:AB3242 V3243:V3251 X3243:X3251 Y3244:Y3251 AB3243:AB3247 P3243:R3245 T3243:T3247 J3246:J3247 P3246:S3247 U3246:U3251 W3246:W3251 AB3250</xm:sqref>
        </x14:dataValidation>
        <x14:dataValidation type="list" allowBlank="1" showInputMessage="1" showErrorMessage="1" xr:uid="{19F948F5-D120-4A52-87AF-FA65EE1B55BA}">
          <x14:formula1>
            <xm:f>'IGNORE Lookups'!$E$29:$E$42</xm:f>
          </x14:formula1>
          <xm:sqref>J2474:Y2490 Z2478:AB2490 J2472:K2472 J2470:K2470 J2468:K2468 K2463:K2467 K2469 K2471 K2473 K2491:O2492 Q2491:S2492 U2491:W2492 Y2491:Y2492</xm:sqref>
        </x14:dataValidation>
        <x14:dataValidation type="list" allowBlank="1" showInputMessage="1" showErrorMessage="1" xr:uid="{F5B93A66-9382-4432-AE08-52DC17F411CF}">
          <x14:formula1>
            <xm:f>'IGNORE Lookups'!$H$29:$H$35</xm:f>
          </x14:formula1>
          <xm:sqref>Y2918 Y2915 Y2913</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H2456:H2458</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C2383:C2458</xm:sqref>
        </x14:dataValidation>
        <x14:dataValidation type="list" allowBlank="1" showInputMessage="1" showErrorMessage="1" xr:uid="{F98FE2B9-82CC-4598-B99D-0C1A62D2990B}">
          <x14:formula1>
            <xm:f>'IGNORE Lookups'!$C$23:$C$46</xm:f>
          </x14:formula1>
          <xm:sqref>E3609:E3612 E3634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3964"/>
  <sheetViews>
    <sheetView zoomScale="42" zoomScaleNormal="42" workbookViewId="0">
      <pane ySplit="1" topLeftCell="A3812" activePane="bottomLeft" state="frozen"/>
      <selection pane="bottomLeft" activeCell="H3616" sqref="H3616"/>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3" t="s">
        <v>2264</v>
      </c>
      <c r="B1" s="15" t="s">
        <v>5054</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5078</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5865</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5866</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6983</v>
      </c>
      <c r="AB2145" s="4" t="s">
        <v>6986</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6987</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6983</v>
      </c>
      <c r="AB2147" s="4" t="s">
        <v>6986</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6664</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6664</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6664</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6664</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6664</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6664</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6664</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6664</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6672</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6672</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6673</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6673</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6673</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6680</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6683</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6700</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6701</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6700</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6702</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6703</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6703</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6703</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6703</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6711</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6711</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6711</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6707</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6707</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6707</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6711</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6711</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6711</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6803</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burning'!A2309</f>
        <v>270a</v>
      </c>
      <c r="B2306" s="156" t="str">
        <f>'Reported burning'!B2309</f>
        <v>270a.1</v>
      </c>
      <c r="C2306" s="156" t="str">
        <f>'Reported burning'!C2309</f>
        <v>All</v>
      </c>
      <c r="D2306" s="156" t="str">
        <f>'Reported burning'!D2309</f>
        <v>All</v>
      </c>
      <c r="E2306" s="156" t="str">
        <f>'Reported burning'!E2306</f>
        <v>Cropping, Monoculture, Subsistence-oriented</v>
      </c>
      <c r="F2306" s="156" t="str">
        <f>'Reported burning'!F2309</f>
        <v>ND</v>
      </c>
      <c r="G2306" s="156" t="str">
        <f>'Reported burning'!G2309</f>
        <v>ND</v>
      </c>
      <c r="H2306" s="156" t="str">
        <f>'Reported burning'!H2309</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burning'!A2310</f>
        <v>270a</v>
      </c>
      <c r="B2307" s="156" t="str">
        <f>'Reported burning'!B2310</f>
        <v>270a.2</v>
      </c>
      <c r="C2307" s="156" t="str">
        <f>'Reported burning'!C2310</f>
        <v>All</v>
      </c>
      <c r="D2307" s="156" t="str">
        <f>'Reported burning'!D2310</f>
        <v>All</v>
      </c>
      <c r="E2307" s="156" t="str">
        <f>'Reported burning'!E2307</f>
        <v>Cropping, Agroecology</v>
      </c>
      <c r="F2307" s="156" t="str">
        <f>'Reported burning'!F2310</f>
        <v>ND</v>
      </c>
      <c r="G2307" s="156" t="str">
        <f>'Reported burning'!G2310</f>
        <v>ND</v>
      </c>
      <c r="H2307" s="156" t="str">
        <f>'Reported burning'!H2310</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burning'!A2311</f>
        <v>270a</v>
      </c>
      <c r="B2308" s="156" t="str">
        <f>'Reported burning'!B2311</f>
        <v>270a.3</v>
      </c>
      <c r="C2308" s="156" t="str">
        <f>'Reported burning'!C2311</f>
        <v>Human, deliberate</v>
      </c>
      <c r="D2308" s="156" t="str">
        <f>'Reported burning'!D2311</f>
        <v>ND</v>
      </c>
      <c r="E2308" s="156" t="str">
        <f>'Reported burning'!E2308</f>
        <v>Cropping, Agroecology</v>
      </c>
      <c r="F2308" s="156" t="str">
        <f>'Reported burning'!F2311</f>
        <v>Cropland</v>
      </c>
      <c r="G2308" s="156" t="str">
        <f>'Reported burning'!G2311</f>
        <v>Cropland</v>
      </c>
      <c r="H2308" s="156" t="str">
        <f>'Reported burning'!H2311</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burning'!A2312</f>
        <v>270a</v>
      </c>
      <c r="B2309" s="156" t="str">
        <f>'Reported burning'!B2312</f>
        <v>270a.4</v>
      </c>
      <c r="C2309" s="156" t="str">
        <f>'Reported burning'!C2312</f>
        <v>Human, deliberate</v>
      </c>
      <c r="D2309" s="156" t="str">
        <f>'Reported burning'!D2312</f>
        <v>ND</v>
      </c>
      <c r="E2309" s="156" t="str">
        <f>'Reported burning'!E2309</f>
        <v>All</v>
      </c>
      <c r="F2309" s="156" t="str">
        <f>'Reported burning'!F2312</f>
        <v>Pasture</v>
      </c>
      <c r="G2309" s="156" t="str">
        <f>'Reported burning'!G2312</f>
        <v>Pasture</v>
      </c>
      <c r="H2309" s="156" t="str">
        <f>'Reported burning'!H2312</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6789</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6792</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6792</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6795</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6435</v>
      </c>
      <c r="AB2383" s="4" t="s">
        <v>7867</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6435</v>
      </c>
      <c r="AB2384" s="4" t="s">
        <v>7867</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6435</v>
      </c>
      <c r="AB2385" s="4" t="s">
        <v>7867</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6435</v>
      </c>
      <c r="AB2386" s="4" t="s">
        <v>7867</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6435</v>
      </c>
      <c r="AB2387" s="4" t="s">
        <v>7867</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6435</v>
      </c>
      <c r="AB2388" s="4" t="s">
        <v>7867</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7868</v>
      </c>
      <c r="AB2389" s="4" t="s">
        <v>6438</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7869</v>
      </c>
      <c r="AB2390" s="4" t="s">
        <v>6438</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7870</v>
      </c>
      <c r="AB2391" s="4" t="s">
        <v>6438</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7869</v>
      </c>
      <c r="AB2392" s="4" t="s">
        <v>6438</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7871</v>
      </c>
      <c r="AB2393" s="4" t="s">
        <v>6438</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7869</v>
      </c>
      <c r="AB2394" s="4" t="s">
        <v>6438</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6437</v>
      </c>
      <c r="AB2395" s="4" t="s">
        <v>6438</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6439</v>
      </c>
      <c r="AB2396" s="4" t="s">
        <v>6438</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6440</v>
      </c>
      <c r="AB2397" s="4" t="s">
        <v>6438</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6439</v>
      </c>
      <c r="AB2398" s="4" t="s">
        <v>6438</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6441</v>
      </c>
      <c r="AB2399" s="4" t="s">
        <v>6438</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6439</v>
      </c>
      <c r="AB2400" s="4" t="s">
        <v>6438</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6437</v>
      </c>
      <c r="AB2401" s="4" t="s">
        <v>8381</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6439</v>
      </c>
      <c r="AB2402" s="4" t="s">
        <v>8381</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6437</v>
      </c>
      <c r="AB2403" s="4" t="s">
        <v>8381</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6439</v>
      </c>
      <c r="AB2404" s="4" t="s">
        <v>8381</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6442</v>
      </c>
      <c r="AB2405" s="4" t="s">
        <v>8381</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8382</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6443</v>
      </c>
      <c r="AB2407" s="4" t="s">
        <v>8381</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6444</v>
      </c>
      <c r="AB2408" s="4" t="s">
        <v>8381</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6443</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6444</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6443</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6444</v>
      </c>
      <c r="AB2412" s="4" t="s">
        <v>8381</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6445</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6446</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6443</v>
      </c>
      <c r="AB2415" s="4" t="s">
        <v>8381</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6444</v>
      </c>
      <c r="AB2416" s="4" t="s">
        <v>8381</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6447</v>
      </c>
      <c r="AB2417" s="4" t="s">
        <v>8381</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6448</v>
      </c>
      <c r="AB2418" s="4" t="s">
        <v>8381</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6449</v>
      </c>
      <c r="AB2419" s="4" t="s">
        <v>8381</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6449</v>
      </c>
      <c r="AB2420" s="4" t="s">
        <v>8381</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6449</v>
      </c>
      <c r="AB2421" s="4" t="s">
        <v>8381</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6449</v>
      </c>
      <c r="AB2422" s="4" t="s">
        <v>8381</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6449</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6449</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6450</v>
      </c>
      <c r="AB2425" s="4" t="s">
        <v>8397</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6450</v>
      </c>
      <c r="AB2426" s="4" t="s">
        <v>8397</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6450</v>
      </c>
      <c r="AB2427" s="4" t="s">
        <v>8397</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6450</v>
      </c>
      <c r="AB2428" s="4" t="s">
        <v>8397</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6450</v>
      </c>
      <c r="AB2429" s="4" t="s">
        <v>8397</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6450</v>
      </c>
      <c r="AB2430" s="4" t="s">
        <v>8397</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6450</v>
      </c>
      <c r="AB2431" s="4" t="s">
        <v>8397</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6450</v>
      </c>
      <c r="AB2432" s="4" t="s">
        <v>8397</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6450</v>
      </c>
      <c r="AB2433" s="4" t="s">
        <v>8397</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6450</v>
      </c>
      <c r="AB2434" s="4" t="s">
        <v>8397</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6450</v>
      </c>
      <c r="AB2435" s="4" t="s">
        <v>8397</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6450</v>
      </c>
      <c r="AB2436" s="4" t="s">
        <v>8397</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6450</v>
      </c>
      <c r="AB2437" s="4" t="s">
        <v>8397</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6450</v>
      </c>
      <c r="AB2438" s="4" t="s">
        <v>8397</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6450</v>
      </c>
      <c r="AB2439" s="4" t="s">
        <v>8397</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6450</v>
      </c>
      <c r="AB2440" s="4" t="s">
        <v>8397</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6450</v>
      </c>
      <c r="AB2441" s="4" t="s">
        <v>8397</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6450</v>
      </c>
      <c r="AB2442" s="4" t="s">
        <v>8397</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6451</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6452</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6453</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6453</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8409</v>
      </c>
      <c r="AB2450" s="4" t="s">
        <v>8408</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6456</v>
      </c>
      <c r="AB2451" s="4" t="s">
        <v>8410</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6455</v>
      </c>
      <c r="AB2452" s="4" t="s">
        <v>8411</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6456</v>
      </c>
      <c r="AB2453" s="4" t="s">
        <v>8411</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6455</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6456</v>
      </c>
      <c r="AB2455" s="4"/>
    </row>
    <row r="2456" spans="1:28" ht="44.5" customHeight="1">
      <c r="A2456" s="232" t="str">
        <f>'Reported burning'!A2456</f>
        <v>281a</v>
      </c>
      <c r="B2456" s="232" t="str">
        <f>'Reported burning'!B2456</f>
        <v>281a.1</v>
      </c>
      <c r="C2456" s="232">
        <f>'Reported burning'!C2456</f>
        <v>0</v>
      </c>
      <c r="D2456" s="232">
        <f>'Reported burning'!D2456</f>
        <v>0</v>
      </c>
      <c r="E2456" s="232">
        <f>'Reported burning'!E2456</f>
        <v>0</v>
      </c>
      <c r="F2456" s="232">
        <f>'Reported burning'!F2456</f>
        <v>0</v>
      </c>
      <c r="G2456" s="232">
        <f>'Reported burning'!G2456</f>
        <v>0</v>
      </c>
      <c r="H2456" s="232">
        <f>'Reported burning'!H2456</f>
        <v>0</v>
      </c>
      <c r="I2456" s="78"/>
      <c r="J2456" s="58"/>
      <c r="K2456" s="58"/>
      <c r="L2456" s="58"/>
      <c r="M2456" s="58"/>
      <c r="N2456" s="58"/>
      <c r="O2456" s="58"/>
      <c r="P2456" s="58"/>
      <c r="Q2456" s="58"/>
      <c r="R2456" s="58"/>
      <c r="S2456" s="58"/>
      <c r="T2456" s="227"/>
      <c r="U2456" s="227"/>
      <c r="V2456" s="227"/>
      <c r="W2456" s="58"/>
      <c r="X2456" s="58"/>
      <c r="Y2456" s="58"/>
      <c r="Z2456" s="58"/>
      <c r="AA2456" s="58"/>
      <c r="AB2456" s="58"/>
    </row>
    <row r="2457" spans="1:28" ht="36" customHeight="1">
      <c r="A2457" s="156" t="str">
        <f>'Reported burning'!A2457</f>
        <v>282a</v>
      </c>
      <c r="B2457" s="156" t="str">
        <f>'Reported burning'!B2457</f>
        <v>282a.1</v>
      </c>
      <c r="C2457" s="156" t="str">
        <f>'Reported burning'!C2457</f>
        <v>Human, deliberate</v>
      </c>
      <c r="D2457" s="156" t="str">
        <f>'Reported burning'!D2457</f>
        <v>Crop residue burning</v>
      </c>
      <c r="E2457" s="156" t="str">
        <f>'Reported burning'!E2457</f>
        <v>Cropping, Monoculture, Subsistence-oriented</v>
      </c>
      <c r="F2457" s="156" t="str">
        <f>'Reported burning'!F2457</f>
        <v>Cropland</v>
      </c>
      <c r="G2457" s="156" t="str">
        <f>'Reported burning'!G2457</f>
        <v>ND</v>
      </c>
      <c r="H2457" s="156" t="str">
        <f>'Reported burning'!H2457</f>
        <v>Presence</v>
      </c>
      <c r="I2457" s="5"/>
      <c r="J2457" s="21" t="s">
        <v>2276</v>
      </c>
      <c r="K2457" s="21" t="s">
        <v>2276</v>
      </c>
      <c r="L2457" s="21" t="s">
        <v>2276</v>
      </c>
      <c r="M2457" s="21" t="s">
        <v>2276</v>
      </c>
      <c r="N2457" s="21" t="s">
        <v>2276</v>
      </c>
      <c r="O2457" s="21" t="s">
        <v>2276</v>
      </c>
      <c r="P2457" s="21" t="s">
        <v>2276</v>
      </c>
      <c r="Q2457" s="21" t="s">
        <v>2276</v>
      </c>
      <c r="R2457" s="21" t="s">
        <v>2276</v>
      </c>
      <c r="S2457" s="4" t="s">
        <v>2376</v>
      </c>
      <c r="T2457" s="21" t="s">
        <v>2276</v>
      </c>
      <c r="U2457" s="21" t="s">
        <v>2276</v>
      </c>
      <c r="V2457" s="21" t="s">
        <v>2276</v>
      </c>
      <c r="W2457" s="4" t="s">
        <v>2375</v>
      </c>
      <c r="X2457" s="4"/>
      <c r="Y2457" s="4"/>
      <c r="Z2457" s="204" t="s">
        <v>64</v>
      </c>
      <c r="AA2457" s="4" t="s">
        <v>6457</v>
      </c>
      <c r="AB2457" s="4"/>
    </row>
    <row r="2458" spans="1:28" ht="43.5">
      <c r="A2458" s="156" t="str">
        <f>'Reported burning'!A2458</f>
        <v>283a</v>
      </c>
      <c r="B2458" s="156" t="str">
        <f>'Reported burning'!B2458</f>
        <v>283a.1</v>
      </c>
      <c r="C2458" s="156" t="str">
        <f>'Reported burning'!C2458</f>
        <v>Human, deliberate</v>
      </c>
      <c r="D2458" s="156" t="str">
        <f>'Reported burning'!D2458</f>
        <v>Crop residue burning</v>
      </c>
      <c r="E2458" s="156" t="str">
        <f>'Reported burning'!E2458</f>
        <v>Cropping, Monoculture, Market-oriented</v>
      </c>
      <c r="F2458" s="156" t="str">
        <f>'Reported burning'!F2458</f>
        <v>Cropland</v>
      </c>
      <c r="G2458" s="156" t="str">
        <f>'Reported burning'!G2458</f>
        <v>ND</v>
      </c>
      <c r="H2458" s="156" t="str">
        <f>'Reported burning'!H2458</f>
        <v>Presence</v>
      </c>
      <c r="I2458" s="5"/>
      <c r="J2458" s="21" t="s">
        <v>2276</v>
      </c>
      <c r="K2458" s="21" t="s">
        <v>2276</v>
      </c>
      <c r="L2458" s="21" t="s">
        <v>2276</v>
      </c>
      <c r="M2458" s="21" t="s">
        <v>2276</v>
      </c>
      <c r="N2458" s="21" t="s">
        <v>2276</v>
      </c>
      <c r="O2458" s="21" t="s">
        <v>2276</v>
      </c>
      <c r="P2458" s="21" t="s">
        <v>2276</v>
      </c>
      <c r="Q2458" s="21" t="s">
        <v>2276</v>
      </c>
      <c r="R2458" s="21" t="s">
        <v>2276</v>
      </c>
      <c r="S2458" s="21" t="s">
        <v>2276</v>
      </c>
      <c r="T2458" s="21" t="s">
        <v>2276</v>
      </c>
      <c r="U2458" s="21" t="s">
        <v>2276</v>
      </c>
      <c r="V2458" s="166" t="s">
        <v>2527</v>
      </c>
      <c r="W2458" s="21" t="s">
        <v>2276</v>
      </c>
      <c r="X2458" s="4" t="s">
        <v>399</v>
      </c>
      <c r="Y2458" s="4" t="s">
        <v>34</v>
      </c>
      <c r="Z2458" s="4" t="s">
        <v>2276</v>
      </c>
      <c r="AA2458" s="4" t="s">
        <v>6458</v>
      </c>
      <c r="AB2458" s="4" t="s">
        <v>8414</v>
      </c>
    </row>
    <row r="2459" spans="1:28" ht="37.5" customHeight="1">
      <c r="A2459" s="156" t="str">
        <f>'Reported burning'!A2459</f>
        <v>284a</v>
      </c>
      <c r="B2459" s="156" t="str">
        <f>'Reported burning'!B2459</f>
        <v>284a.1</v>
      </c>
      <c r="C2459" s="156" t="str">
        <f>'Reported burning'!C2459</f>
        <v>Human, deliberate</v>
      </c>
      <c r="D2459" s="156" t="str">
        <f>'Reported burning'!D2459</f>
        <v>Pyrome management</v>
      </c>
      <c r="E2459" s="156" t="str">
        <f>'Reported burning'!E2459</f>
        <v>Biodiversity conservation</v>
      </c>
      <c r="F2459" s="156" t="str">
        <f>'Reported burning'!F2459</f>
        <v>Forest</v>
      </c>
      <c r="G2459" s="156" t="str">
        <f>'Reported burning'!G2459</f>
        <v>Forest</v>
      </c>
      <c r="H2459" s="156" t="str">
        <f>'Reported burning'!H2459</f>
        <v>Presence</v>
      </c>
      <c r="I2459" s="5"/>
      <c r="J2459" s="21" t="s">
        <v>2276</v>
      </c>
      <c r="K2459" s="21" t="s">
        <v>2276</v>
      </c>
      <c r="L2459" s="21" t="s">
        <v>2276</v>
      </c>
      <c r="M2459" s="21" t="s">
        <v>2276</v>
      </c>
      <c r="N2459" s="21" t="s">
        <v>2276</v>
      </c>
      <c r="O2459" s="21" t="s">
        <v>2276</v>
      </c>
      <c r="P2459" s="21" t="s">
        <v>2276</v>
      </c>
      <c r="Q2459" s="21" t="s">
        <v>2276</v>
      </c>
      <c r="R2459" s="21" t="s">
        <v>2276</v>
      </c>
      <c r="S2459" s="21" t="s">
        <v>2276</v>
      </c>
      <c r="T2459" s="21" t="s">
        <v>2276</v>
      </c>
      <c r="U2459" s="21" t="s">
        <v>2276</v>
      </c>
      <c r="V2459" s="21" t="s">
        <v>2276</v>
      </c>
      <c r="W2459" s="4" t="s">
        <v>2276</v>
      </c>
      <c r="X2459" s="4" t="s">
        <v>2276</v>
      </c>
      <c r="Y2459" s="4" t="s">
        <v>2276</v>
      </c>
      <c r="Z2459" s="4" t="s">
        <v>2276</v>
      </c>
      <c r="AA2459" s="4"/>
      <c r="AB2459" s="4" t="s">
        <v>6535</v>
      </c>
    </row>
    <row r="2460" spans="1:28" ht="55" customHeight="1">
      <c r="A2460" s="156" t="str">
        <f>'Reported burning'!A2460</f>
        <v>284a</v>
      </c>
      <c r="B2460" s="156" t="str">
        <f>'Reported burning'!B2460</f>
        <v>284a.2</v>
      </c>
      <c r="C2460" s="156" t="str">
        <f>'Reported burning'!C2460</f>
        <v>Other Natural</v>
      </c>
      <c r="D2460" s="156" t="str">
        <f>'Reported burning'!D2460</f>
        <v>ND</v>
      </c>
      <c r="E2460" s="156" t="str">
        <f>'Reported burning'!E2460</f>
        <v>ND</v>
      </c>
      <c r="F2460" s="156" t="str">
        <f>'Reported burning'!F2460</f>
        <v>ND</v>
      </c>
      <c r="G2460" s="156" t="str">
        <f>'Reported burning'!G2460</f>
        <v>ND</v>
      </c>
      <c r="H2460" s="156" t="str">
        <f>'Reported burning'!H2460</f>
        <v>Presence</v>
      </c>
      <c r="I2460" s="5"/>
      <c r="J2460" s="21" t="s">
        <v>2276</v>
      </c>
      <c r="K2460" s="21" t="s">
        <v>2276</v>
      </c>
      <c r="L2460" s="21" t="s">
        <v>2276</v>
      </c>
      <c r="M2460" s="21" t="s">
        <v>2276</v>
      </c>
      <c r="N2460" s="21" t="s">
        <v>2276</v>
      </c>
      <c r="O2460" s="21" t="s">
        <v>2276</v>
      </c>
      <c r="P2460" s="21" t="s">
        <v>2276</v>
      </c>
      <c r="Q2460" s="21" t="s">
        <v>2276</v>
      </c>
      <c r="R2460" s="21" t="s">
        <v>2276</v>
      </c>
      <c r="S2460" s="21" t="s">
        <v>2276</v>
      </c>
      <c r="T2460" s="21" t="s">
        <v>2276</v>
      </c>
      <c r="U2460" s="21" t="s">
        <v>2276</v>
      </c>
      <c r="V2460" s="21" t="s">
        <v>2276</v>
      </c>
      <c r="W2460" s="4" t="s">
        <v>2276</v>
      </c>
      <c r="X2460" s="4" t="s">
        <v>2276</v>
      </c>
      <c r="Y2460" s="4" t="s">
        <v>2276</v>
      </c>
      <c r="Z2460" s="4" t="s">
        <v>2276</v>
      </c>
      <c r="AA2460" s="4"/>
      <c r="AB2460" s="4" t="s">
        <v>6536</v>
      </c>
    </row>
    <row r="2461" spans="1:28" ht="47.5" customHeight="1">
      <c r="A2461" s="156" t="str">
        <f>'Reported burning'!A2461</f>
        <v>284b</v>
      </c>
      <c r="B2461" s="156" t="str">
        <f>'Reported burning'!B2461</f>
        <v>284b.1</v>
      </c>
      <c r="C2461" s="156" t="str">
        <f>'Reported burning'!C2461</f>
        <v>Human, deliberate</v>
      </c>
      <c r="D2461" s="156" t="str">
        <f>'Reported burning'!D2461</f>
        <v>Pyrome management</v>
      </c>
      <c r="E2461" s="156" t="str">
        <f>'Reported burning'!E2461</f>
        <v>Biodiversity conservation</v>
      </c>
      <c r="F2461" s="156" t="str">
        <f>'Reported burning'!F2461</f>
        <v>Forest</v>
      </c>
      <c r="G2461" s="156" t="str">
        <f>'Reported burning'!G2461</f>
        <v>Forest</v>
      </c>
      <c r="H2461" s="156" t="str">
        <f>'Reported burning'!H2461</f>
        <v>Presence</v>
      </c>
      <c r="I2461" s="5"/>
      <c r="J2461" s="21" t="s">
        <v>2276</v>
      </c>
      <c r="K2461" s="21" t="s">
        <v>2276</v>
      </c>
      <c r="L2461" s="21" t="s">
        <v>2276</v>
      </c>
      <c r="M2461" s="21" t="s">
        <v>2276</v>
      </c>
      <c r="N2461" s="21" t="s">
        <v>2276</v>
      </c>
      <c r="O2461" s="21" t="s">
        <v>2276</v>
      </c>
      <c r="P2461" s="21" t="s">
        <v>2276</v>
      </c>
      <c r="Q2461" s="21" t="s">
        <v>2276</v>
      </c>
      <c r="R2461" s="21" t="s">
        <v>2276</v>
      </c>
      <c r="S2461" s="21" t="s">
        <v>2276</v>
      </c>
      <c r="T2461" s="21" t="s">
        <v>2276</v>
      </c>
      <c r="U2461" s="21" t="s">
        <v>2276</v>
      </c>
      <c r="V2461" s="21" t="s">
        <v>2276</v>
      </c>
      <c r="W2461" s="21" t="s">
        <v>2402</v>
      </c>
      <c r="X2461" s="204" t="str">
        <f>'Reported burning'!Z2461</f>
        <v>December</v>
      </c>
      <c r="Y2461" s="204" t="str">
        <f>'Reported burning'!AA2461</f>
        <v>April</v>
      </c>
      <c r="Z2461" s="204" t="str">
        <f>'Reported burning'!AB2461</f>
        <v>ND</v>
      </c>
      <c r="AA2461" s="4"/>
      <c r="AB2461" s="4" t="s">
        <v>7861</v>
      </c>
    </row>
    <row r="2462" spans="1:28" ht="47.5" customHeight="1">
      <c r="A2462" s="156" t="str">
        <f>'Reported burning'!A2462</f>
        <v>284b</v>
      </c>
      <c r="B2462" s="156" t="str">
        <f>'Reported burning'!B2462</f>
        <v>284b.2</v>
      </c>
      <c r="C2462" s="156" t="str">
        <f>'Reported burning'!C2462</f>
        <v>Other Natural</v>
      </c>
      <c r="D2462" s="156" t="str">
        <f>'Reported burning'!D2462</f>
        <v>ND</v>
      </c>
      <c r="E2462" s="156" t="str">
        <f>'Reported burning'!E2462</f>
        <v>ND</v>
      </c>
      <c r="F2462" s="156" t="str">
        <f>'Reported burning'!F2462</f>
        <v>ND</v>
      </c>
      <c r="G2462" s="156" t="str">
        <f>'Reported burning'!G2462</f>
        <v>ND</v>
      </c>
      <c r="H2462" s="156" t="str">
        <f>'Reported burning'!H2462</f>
        <v>Presence</v>
      </c>
      <c r="I2462" s="5"/>
      <c r="J2462" s="21" t="s">
        <v>2276</v>
      </c>
      <c r="K2462" s="21" t="s">
        <v>2276</v>
      </c>
      <c r="L2462" s="21" t="s">
        <v>2276</v>
      </c>
      <c r="M2462" s="21" t="s">
        <v>2276</v>
      </c>
      <c r="N2462" s="21" t="s">
        <v>2276</v>
      </c>
      <c r="O2462" s="21" t="s">
        <v>2276</v>
      </c>
      <c r="P2462" s="21" t="s">
        <v>2276</v>
      </c>
      <c r="Q2462" s="21" t="s">
        <v>2276</v>
      </c>
      <c r="R2462" s="21" t="s">
        <v>2276</v>
      </c>
      <c r="S2462" s="21" t="s">
        <v>2276</v>
      </c>
      <c r="T2462" s="21" t="s">
        <v>2276</v>
      </c>
      <c r="U2462" s="21" t="s">
        <v>2276</v>
      </c>
      <c r="V2462" s="21" t="s">
        <v>2276</v>
      </c>
      <c r="W2462" s="21" t="s">
        <v>2276</v>
      </c>
      <c r="X2462" s="204" t="str">
        <f>'Reported burning'!Z2462</f>
        <v>December</v>
      </c>
      <c r="Y2462" s="204" t="str">
        <f>'Reported burning'!AA2462</f>
        <v>April</v>
      </c>
      <c r="Z2462" s="204" t="str">
        <f>'Reported burning'!AB2462</f>
        <v>ND</v>
      </c>
      <c r="AA2462" s="4"/>
      <c r="AB2462" s="4" t="s">
        <v>6537</v>
      </c>
    </row>
    <row r="2463" spans="1:28" ht="47.5" customHeight="1">
      <c r="A2463" s="156" t="str">
        <f>'Reported burning'!A2463</f>
        <v>285a</v>
      </c>
      <c r="B2463" s="156" t="str">
        <f>'Reported burning'!B2463</f>
        <v>285a.1</v>
      </c>
      <c r="C2463" s="156" t="str">
        <f>'Reported burning'!C2463</f>
        <v>Human, deliberate</v>
      </c>
      <c r="D2463" s="156" t="str">
        <f>'Reported burning'!D2463</f>
        <v>ND</v>
      </c>
      <c r="E2463" s="156" t="str">
        <f>'Reported burning'!E2463</f>
        <v>Urban planner</v>
      </c>
      <c r="F2463" s="156" t="str">
        <f>'Reported burning'!F2463</f>
        <v>ND</v>
      </c>
      <c r="G2463" s="156" t="str">
        <f>'Reported burning'!G2463</f>
        <v>ND</v>
      </c>
      <c r="H2463" s="156" t="str">
        <f>'Reported burning'!H2463</f>
        <v>Presence</v>
      </c>
      <c r="I2463" s="5"/>
      <c r="J2463" s="21" t="s">
        <v>2276</v>
      </c>
      <c r="K2463" s="21" t="s">
        <v>2276</v>
      </c>
      <c r="L2463" s="21" t="s">
        <v>2276</v>
      </c>
      <c r="M2463" s="21" t="s">
        <v>2276</v>
      </c>
      <c r="N2463" s="21" t="s">
        <v>2276</v>
      </c>
      <c r="O2463" s="21" t="s">
        <v>2276</v>
      </c>
      <c r="P2463" s="21" t="s">
        <v>2276</v>
      </c>
      <c r="Q2463" s="21" t="s">
        <v>2276</v>
      </c>
      <c r="R2463" s="21" t="s">
        <v>2276</v>
      </c>
      <c r="S2463" s="21" t="s">
        <v>2276</v>
      </c>
      <c r="T2463" s="21" t="s">
        <v>2276</v>
      </c>
      <c r="U2463" s="21" t="s">
        <v>2276</v>
      </c>
      <c r="V2463" s="21" t="s">
        <v>2276</v>
      </c>
      <c r="W2463" s="21" t="s">
        <v>2276</v>
      </c>
      <c r="X2463" s="204" t="str">
        <f>'Reported burning'!Z2463</f>
        <v>ND</v>
      </c>
      <c r="Y2463" s="204" t="str">
        <f>'Reported burning'!AA2463</f>
        <v>ND</v>
      </c>
      <c r="Z2463" s="204" t="str">
        <f>'Reported burning'!AB2463</f>
        <v>ND</v>
      </c>
      <c r="AA2463" s="204"/>
      <c r="AB2463" s="204"/>
    </row>
    <row r="2464" spans="1:28" ht="47.5" customHeight="1">
      <c r="A2464" s="156" t="str">
        <f>'Reported burning'!A2464</f>
        <v>285a</v>
      </c>
      <c r="B2464" s="156" t="str">
        <f>'Reported burning'!B2464</f>
        <v>285a.2</v>
      </c>
      <c r="C2464" s="156" t="str">
        <f>'Reported burning'!C2464</f>
        <v>Lightning</v>
      </c>
      <c r="D2464" s="156" t="str">
        <f>'Reported burning'!D2464</f>
        <v>ND</v>
      </c>
      <c r="E2464" s="156" t="str">
        <f>'Reported burning'!E2464</f>
        <v>ND</v>
      </c>
      <c r="F2464" s="156" t="str">
        <f>'Reported burning'!F2464</f>
        <v>ND</v>
      </c>
      <c r="G2464" s="156" t="str">
        <f>'Reported burning'!G2464</f>
        <v>ND</v>
      </c>
      <c r="H2464" s="156" t="str">
        <f>'Reported burning'!H2464</f>
        <v>Presence</v>
      </c>
      <c r="I2464" s="5"/>
      <c r="J2464" s="21" t="s">
        <v>2276</v>
      </c>
      <c r="K2464" s="21" t="s">
        <v>2276</v>
      </c>
      <c r="L2464" s="21" t="s">
        <v>2276</v>
      </c>
      <c r="M2464" s="21" t="s">
        <v>2276</v>
      </c>
      <c r="N2464" s="21" t="s">
        <v>2276</v>
      </c>
      <c r="O2464" s="21" t="s">
        <v>2276</v>
      </c>
      <c r="P2464" s="21" t="s">
        <v>2276</v>
      </c>
      <c r="Q2464" s="21" t="s">
        <v>2276</v>
      </c>
      <c r="R2464" s="21" t="s">
        <v>2276</v>
      </c>
      <c r="S2464" s="21" t="s">
        <v>2276</v>
      </c>
      <c r="T2464" s="21" t="s">
        <v>2276</v>
      </c>
      <c r="U2464" s="21" t="s">
        <v>2276</v>
      </c>
      <c r="V2464" s="21" t="s">
        <v>2276</v>
      </c>
      <c r="W2464" s="21" t="s">
        <v>2276</v>
      </c>
      <c r="X2464" s="204" t="str">
        <f>'Reported burning'!Z2464</f>
        <v>ND</v>
      </c>
      <c r="Y2464" s="204" t="str">
        <f>'Reported burning'!AA2464</f>
        <v>ND</v>
      </c>
      <c r="Z2464" s="204" t="str">
        <f>'Reported burning'!AB2464</f>
        <v>ND</v>
      </c>
      <c r="AA2464" s="204"/>
      <c r="AB2464" s="204"/>
    </row>
    <row r="2465" spans="1:28" ht="47.5" customHeight="1">
      <c r="A2465" s="156" t="str">
        <f>'Reported burning'!A2465</f>
        <v>285b</v>
      </c>
      <c r="B2465" s="156" t="str">
        <f>'Reported burning'!B2465</f>
        <v>285b.1</v>
      </c>
      <c r="C2465" s="156" t="str">
        <f>'Reported burning'!C2465</f>
        <v>Human, deliberate</v>
      </c>
      <c r="D2465" s="156" t="str">
        <f>'Reported burning'!D2465</f>
        <v>ND</v>
      </c>
      <c r="E2465" s="156" t="str">
        <f>'Reported burning'!E2465</f>
        <v>Urban planner</v>
      </c>
      <c r="F2465" s="156" t="str">
        <f>'Reported burning'!F2465</f>
        <v>ND</v>
      </c>
      <c r="G2465" s="156" t="str">
        <f>'Reported burning'!G2465</f>
        <v>ND</v>
      </c>
      <c r="H2465" s="156" t="str">
        <f>'Reported burning'!H2465</f>
        <v>Presence</v>
      </c>
      <c r="I2465" s="5"/>
      <c r="J2465" s="21" t="s">
        <v>2276</v>
      </c>
      <c r="K2465" s="21" t="s">
        <v>2276</v>
      </c>
      <c r="L2465" s="21" t="s">
        <v>2276</v>
      </c>
      <c r="M2465" s="21" t="s">
        <v>2276</v>
      </c>
      <c r="N2465" s="21" t="s">
        <v>2276</v>
      </c>
      <c r="O2465" s="21" t="s">
        <v>2276</v>
      </c>
      <c r="P2465" s="21" t="s">
        <v>2276</v>
      </c>
      <c r="Q2465" s="21" t="s">
        <v>2276</v>
      </c>
      <c r="R2465" s="21" t="s">
        <v>2276</v>
      </c>
      <c r="S2465" s="21" t="s">
        <v>2276</v>
      </c>
      <c r="T2465" s="21" t="s">
        <v>2276</v>
      </c>
      <c r="U2465" s="21" t="s">
        <v>2276</v>
      </c>
      <c r="V2465" s="21" t="s">
        <v>2276</v>
      </c>
      <c r="W2465" s="21" t="s">
        <v>2276</v>
      </c>
      <c r="X2465" s="204" t="str">
        <f>'Reported burning'!Z2465</f>
        <v>ND</v>
      </c>
      <c r="Y2465" s="204" t="str">
        <f>'Reported burning'!AA2465</f>
        <v>ND</v>
      </c>
      <c r="Z2465" s="204" t="str">
        <f>'Reported burning'!AB2465</f>
        <v>ND</v>
      </c>
      <c r="AA2465" s="204"/>
      <c r="AB2465" s="204"/>
    </row>
    <row r="2466" spans="1:28" ht="47.5" customHeight="1">
      <c r="A2466" s="156" t="str">
        <f>'Reported burning'!A2466</f>
        <v>285b</v>
      </c>
      <c r="B2466" s="156" t="str">
        <f>'Reported burning'!B2466</f>
        <v>285b.2</v>
      </c>
      <c r="C2466" s="156" t="str">
        <f>'Reported burning'!C2466</f>
        <v>Lightning</v>
      </c>
      <c r="D2466" s="156" t="str">
        <f>'Reported burning'!D2466</f>
        <v>ND</v>
      </c>
      <c r="E2466" s="156" t="str">
        <f>'Reported burning'!E2466</f>
        <v>ND</v>
      </c>
      <c r="F2466" s="156" t="str">
        <f>'Reported burning'!F2466</f>
        <v>ND</v>
      </c>
      <c r="G2466" s="156" t="str">
        <f>'Reported burning'!G2466</f>
        <v>ND</v>
      </c>
      <c r="H2466" s="156" t="str">
        <f>'Reported burning'!H2466</f>
        <v>Presence</v>
      </c>
      <c r="I2466" s="5"/>
      <c r="J2466" s="21" t="s">
        <v>2276</v>
      </c>
      <c r="K2466" s="21" t="s">
        <v>2276</v>
      </c>
      <c r="L2466" s="21" t="s">
        <v>2276</v>
      </c>
      <c r="M2466" s="21" t="s">
        <v>2276</v>
      </c>
      <c r="N2466" s="21" t="s">
        <v>2276</v>
      </c>
      <c r="O2466" s="21" t="s">
        <v>2276</v>
      </c>
      <c r="P2466" s="21" t="s">
        <v>2276</v>
      </c>
      <c r="Q2466" s="21" t="s">
        <v>2276</v>
      </c>
      <c r="R2466" s="21" t="s">
        <v>2276</v>
      </c>
      <c r="S2466" s="21" t="s">
        <v>2276</v>
      </c>
      <c r="T2466" s="21" t="s">
        <v>2276</v>
      </c>
      <c r="U2466" s="21" t="s">
        <v>2276</v>
      </c>
      <c r="V2466" s="21" t="s">
        <v>2374</v>
      </c>
      <c r="W2466" s="21" t="s">
        <v>2276</v>
      </c>
      <c r="X2466" s="204" t="str">
        <f>'Reported burning'!Z2466</f>
        <v>ND</v>
      </c>
      <c r="Y2466" s="204" t="str">
        <f>'Reported burning'!AA2466</f>
        <v>ND</v>
      </c>
      <c r="Z2466" s="204" t="str">
        <f>'Reported burning'!AB2466</f>
        <v>ND</v>
      </c>
      <c r="AA2466" s="204"/>
      <c r="AB2466" s="204"/>
    </row>
    <row r="2467" spans="1:28" ht="47.5" customHeight="1">
      <c r="A2467" s="156" t="str">
        <f>'Reported burning'!A2467</f>
        <v>287a</v>
      </c>
      <c r="B2467" s="156" t="str">
        <f>'Reported burning'!B2467</f>
        <v>287a.1</v>
      </c>
      <c r="C2467" s="156" t="str">
        <f>'Reported burning'!C2467</f>
        <v>Unknown</v>
      </c>
      <c r="D2467" s="156" t="str">
        <f>'Reported burning'!D2467</f>
        <v>ND</v>
      </c>
      <c r="E2467" s="156" t="str">
        <f>'Reported burning'!E2467</f>
        <v>Forestry, Industrial</v>
      </c>
      <c r="F2467" s="156" t="str">
        <f>'Reported burning'!F2467</f>
        <v>Forest</v>
      </c>
      <c r="G2467" s="156" t="str">
        <f>'Reported burning'!G2467</f>
        <v>Forest</v>
      </c>
      <c r="H2467" s="156" t="str">
        <f>'Reported burning'!H2467</f>
        <v>Presence</v>
      </c>
      <c r="I2467" s="5"/>
      <c r="J2467" s="21" t="s">
        <v>2276</v>
      </c>
      <c r="K2467" s="21" t="s">
        <v>2276</v>
      </c>
      <c r="L2467" s="21" t="s">
        <v>2276</v>
      </c>
      <c r="M2467" s="21" t="s">
        <v>2276</v>
      </c>
      <c r="N2467" s="21" t="s">
        <v>2276</v>
      </c>
      <c r="O2467" s="21" t="s">
        <v>2276</v>
      </c>
      <c r="P2467" s="21" t="s">
        <v>2276</v>
      </c>
      <c r="Q2467" s="21" t="s">
        <v>2276</v>
      </c>
      <c r="R2467" s="21" t="s">
        <v>2276</v>
      </c>
      <c r="S2467" s="21" t="s">
        <v>2276</v>
      </c>
      <c r="T2467" s="21" t="s">
        <v>2276</v>
      </c>
      <c r="U2467" s="21" t="s">
        <v>2276</v>
      </c>
      <c r="V2467" s="21" t="s">
        <v>2276</v>
      </c>
      <c r="W2467" s="21" t="s">
        <v>2276</v>
      </c>
      <c r="X2467" s="204" t="str">
        <f>'Reported burning'!Z2467</f>
        <v>ND</v>
      </c>
      <c r="Y2467" s="204" t="str">
        <f>'Reported burning'!AA2467</f>
        <v>ND</v>
      </c>
      <c r="Z2467" s="204" t="str">
        <f>'Reported burning'!AB2467</f>
        <v>ND</v>
      </c>
      <c r="AA2467" s="204"/>
      <c r="AB2467" s="204"/>
    </row>
    <row r="2468" spans="1:28" ht="47.5" customHeight="1">
      <c r="A2468" s="156" t="str">
        <f>'Reported burning'!A2468</f>
        <v>287a</v>
      </c>
      <c r="B2468" s="156" t="str">
        <f>'Reported burning'!B2468</f>
        <v>287a.2</v>
      </c>
      <c r="C2468" s="156" t="str">
        <f>'Reported burning'!C2468</f>
        <v>Human, deliberate</v>
      </c>
      <c r="D2468" s="156" t="str">
        <f>'Reported burning'!D2468</f>
        <v>Pyrome management</v>
      </c>
      <c r="E2468" s="156" t="str">
        <f>'Reported burning'!E2468</f>
        <v>Forestry, Industrial</v>
      </c>
      <c r="F2468" s="156" t="str">
        <f>'Reported burning'!F2468</f>
        <v>Forest</v>
      </c>
      <c r="G2468" s="156" t="str">
        <f>'Reported burning'!G2468</f>
        <v>Forest</v>
      </c>
      <c r="H2468" s="156" t="str">
        <f>'Reported burning'!H2468</f>
        <v>Presence</v>
      </c>
      <c r="I2468" s="5"/>
      <c r="J2468" s="21" t="s">
        <v>2276</v>
      </c>
      <c r="K2468" s="21" t="s">
        <v>2276</v>
      </c>
      <c r="L2468" s="21" t="s">
        <v>2276</v>
      </c>
      <c r="M2468" s="21" t="s">
        <v>2276</v>
      </c>
      <c r="N2468" s="21" t="s">
        <v>2276</v>
      </c>
      <c r="O2468" s="21" t="s">
        <v>2276</v>
      </c>
      <c r="P2468" s="21" t="s">
        <v>2276</v>
      </c>
      <c r="Q2468" s="21" t="s">
        <v>2276</v>
      </c>
      <c r="R2468" s="21" t="s">
        <v>2276</v>
      </c>
      <c r="S2468" s="21" t="s">
        <v>2276</v>
      </c>
      <c r="T2468" s="21" t="s">
        <v>2276</v>
      </c>
      <c r="U2468" s="21" t="s">
        <v>2276</v>
      </c>
      <c r="V2468" s="21" t="s">
        <v>2276</v>
      </c>
      <c r="W2468" s="21" t="s">
        <v>2276</v>
      </c>
      <c r="X2468" s="204" t="str">
        <f>'Reported burning'!Z2468</f>
        <v>ND</v>
      </c>
      <c r="Y2468" s="204" t="str">
        <f>'Reported burning'!AA2468</f>
        <v>ND</v>
      </c>
      <c r="Z2468" s="204" t="str">
        <f>'Reported burning'!AB2468</f>
        <v>ND</v>
      </c>
      <c r="AA2468" s="204"/>
      <c r="AB2468" s="204"/>
    </row>
    <row r="2469" spans="1:28" ht="47.5" customHeight="1">
      <c r="A2469" s="156" t="str">
        <f>'Reported burning'!A2469</f>
        <v>287b</v>
      </c>
      <c r="B2469" s="156" t="str">
        <f>'Reported burning'!B2469</f>
        <v>287b.1</v>
      </c>
      <c r="C2469" s="156" t="str">
        <f>'Reported burning'!C2469</f>
        <v>Unknown</v>
      </c>
      <c r="D2469" s="156" t="str">
        <f>'Reported burning'!D2469</f>
        <v>ND</v>
      </c>
      <c r="E2469" s="156" t="str">
        <f>'Reported burning'!E2469</f>
        <v>Forestry, Industrial</v>
      </c>
      <c r="F2469" s="156" t="str">
        <f>'Reported burning'!F2469</f>
        <v>Forest</v>
      </c>
      <c r="G2469" s="156" t="str">
        <f>'Reported burning'!G2469</f>
        <v>Forest</v>
      </c>
      <c r="H2469" s="156" t="str">
        <f>'Reported burning'!H2469</f>
        <v>Presence</v>
      </c>
      <c r="I2469" s="5"/>
      <c r="J2469" s="21" t="s">
        <v>2276</v>
      </c>
      <c r="K2469" s="21" t="s">
        <v>2276</v>
      </c>
      <c r="L2469" s="21" t="s">
        <v>2276</v>
      </c>
      <c r="M2469" s="21" t="s">
        <v>2276</v>
      </c>
      <c r="N2469" s="21" t="s">
        <v>2276</v>
      </c>
      <c r="O2469" s="21" t="s">
        <v>2276</v>
      </c>
      <c r="P2469" s="21" t="s">
        <v>2276</v>
      </c>
      <c r="Q2469" s="21" t="s">
        <v>2276</v>
      </c>
      <c r="R2469" s="21" t="s">
        <v>2276</v>
      </c>
      <c r="S2469" s="21" t="s">
        <v>2276</v>
      </c>
      <c r="T2469" s="21" t="s">
        <v>2276</v>
      </c>
      <c r="U2469" s="21" t="s">
        <v>2276</v>
      </c>
      <c r="V2469" s="21" t="s">
        <v>2276</v>
      </c>
      <c r="W2469" s="21" t="s">
        <v>2276</v>
      </c>
      <c r="X2469" s="204" t="str">
        <f>'Reported burning'!Z2469</f>
        <v>ND</v>
      </c>
      <c r="Y2469" s="204" t="str">
        <f>'Reported burning'!AA2469</f>
        <v>ND</v>
      </c>
      <c r="Z2469" s="204" t="str">
        <f>'Reported burning'!AB2469</f>
        <v>ND</v>
      </c>
      <c r="AA2469" s="204"/>
      <c r="AB2469" s="204"/>
    </row>
    <row r="2470" spans="1:28" ht="47.5" customHeight="1">
      <c r="A2470" s="156" t="str">
        <f>'Reported burning'!A2470</f>
        <v>287b</v>
      </c>
      <c r="B2470" s="156" t="str">
        <f>'Reported burning'!B2470</f>
        <v>287b.2</v>
      </c>
      <c r="C2470" s="156" t="str">
        <f>'Reported burning'!C2470</f>
        <v>Human, deliberate</v>
      </c>
      <c r="D2470" s="156" t="str">
        <f>'Reported burning'!D2470</f>
        <v>Pyrome management</v>
      </c>
      <c r="E2470" s="156" t="str">
        <f>'Reported burning'!E2470</f>
        <v>Forestry, Industrial</v>
      </c>
      <c r="F2470" s="156" t="str">
        <f>'Reported burning'!F2470</f>
        <v>Forest</v>
      </c>
      <c r="G2470" s="156" t="str">
        <f>'Reported burning'!G2470</f>
        <v>Forest</v>
      </c>
      <c r="H2470" s="156" t="str">
        <f>'Reported burning'!H2470</f>
        <v>Presence</v>
      </c>
      <c r="I2470" s="5"/>
      <c r="J2470" s="21" t="s">
        <v>2276</v>
      </c>
      <c r="K2470" s="21" t="s">
        <v>2276</v>
      </c>
      <c r="L2470" s="21" t="s">
        <v>2276</v>
      </c>
      <c r="M2470" s="21" t="s">
        <v>2276</v>
      </c>
      <c r="N2470" s="21" t="s">
        <v>2276</v>
      </c>
      <c r="O2470" s="21" t="s">
        <v>2276</v>
      </c>
      <c r="P2470" s="21" t="s">
        <v>2276</v>
      </c>
      <c r="Q2470" s="21" t="s">
        <v>2276</v>
      </c>
      <c r="R2470" s="21" t="s">
        <v>2276</v>
      </c>
      <c r="S2470" s="21" t="s">
        <v>2276</v>
      </c>
      <c r="T2470" s="21" t="s">
        <v>2276</v>
      </c>
      <c r="U2470" s="21" t="s">
        <v>2276</v>
      </c>
      <c r="V2470" s="21" t="s">
        <v>2276</v>
      </c>
      <c r="W2470" s="21" t="s">
        <v>2276</v>
      </c>
      <c r="X2470" s="204" t="str">
        <f>'Reported burning'!Z2470</f>
        <v>ND</v>
      </c>
      <c r="Y2470" s="204" t="str">
        <f>'Reported burning'!AA2470</f>
        <v>ND</v>
      </c>
      <c r="Z2470" s="204" t="str">
        <f>'Reported burning'!AB2470</f>
        <v>ND</v>
      </c>
      <c r="AA2470" s="204"/>
      <c r="AB2470" s="204"/>
    </row>
    <row r="2471" spans="1:28" ht="47.5" customHeight="1">
      <c r="A2471" s="156" t="str">
        <f>'Reported burning'!A2471</f>
        <v>287c</v>
      </c>
      <c r="B2471" s="156" t="str">
        <f>'Reported burning'!B2471</f>
        <v>287c.1</v>
      </c>
      <c r="C2471" s="156" t="str">
        <f>'Reported burning'!C2471</f>
        <v>Unknown</v>
      </c>
      <c r="D2471" s="156" t="str">
        <f>'Reported burning'!D2471</f>
        <v>ND</v>
      </c>
      <c r="E2471" s="156" t="str">
        <f>'Reported burning'!E2471</f>
        <v>Forestry, Industrial</v>
      </c>
      <c r="F2471" s="156" t="str">
        <f>'Reported burning'!F2471</f>
        <v>Forest</v>
      </c>
      <c r="G2471" s="156" t="str">
        <f>'Reported burning'!G2471</f>
        <v>Forest</v>
      </c>
      <c r="H2471" s="156" t="str">
        <f>'Reported burning'!H2471</f>
        <v>Presence</v>
      </c>
      <c r="I2471" s="5"/>
      <c r="J2471" s="21" t="s">
        <v>2276</v>
      </c>
      <c r="K2471" s="21" t="s">
        <v>2276</v>
      </c>
      <c r="L2471" s="21" t="s">
        <v>2276</v>
      </c>
      <c r="M2471" s="21" t="s">
        <v>2276</v>
      </c>
      <c r="N2471" s="21" t="s">
        <v>2276</v>
      </c>
      <c r="O2471" s="21" t="s">
        <v>2276</v>
      </c>
      <c r="P2471" s="21" t="s">
        <v>2276</v>
      </c>
      <c r="Q2471" s="21" t="s">
        <v>2276</v>
      </c>
      <c r="R2471" s="21" t="s">
        <v>2276</v>
      </c>
      <c r="S2471" s="21" t="s">
        <v>2276</v>
      </c>
      <c r="T2471" s="21" t="s">
        <v>2276</v>
      </c>
      <c r="U2471" s="21" t="s">
        <v>2276</v>
      </c>
      <c r="V2471" s="21" t="s">
        <v>2276</v>
      </c>
      <c r="W2471" s="21" t="s">
        <v>2276</v>
      </c>
      <c r="X2471" s="204" t="str">
        <f>'Reported burning'!Z2471</f>
        <v>ND</v>
      </c>
      <c r="Y2471" s="204" t="str">
        <f>'Reported burning'!AA2471</f>
        <v>ND</v>
      </c>
      <c r="Z2471" s="204" t="str">
        <f>'Reported burning'!AB2471</f>
        <v>ND</v>
      </c>
      <c r="AA2471" s="204"/>
      <c r="AB2471" s="204"/>
    </row>
    <row r="2472" spans="1:28" ht="47.5" customHeight="1">
      <c r="A2472" s="156" t="str">
        <f>'Reported burning'!A2472</f>
        <v>287c</v>
      </c>
      <c r="B2472" s="156" t="str">
        <f>'Reported burning'!B2472</f>
        <v>287c.2</v>
      </c>
      <c r="C2472" s="156" t="str">
        <f>'Reported burning'!C2472</f>
        <v>Human, deliberate</v>
      </c>
      <c r="D2472" s="156" t="str">
        <f>'Reported burning'!D2472</f>
        <v>Pyrome management</v>
      </c>
      <c r="E2472" s="156" t="str">
        <f>'Reported burning'!E2472</f>
        <v>Forestry, Industrial</v>
      </c>
      <c r="F2472" s="156" t="str">
        <f>'Reported burning'!F2472</f>
        <v>Forest</v>
      </c>
      <c r="G2472" s="156" t="str">
        <f>'Reported burning'!G2472</f>
        <v>Forest</v>
      </c>
      <c r="H2472" s="156" t="str">
        <f>'Reported burning'!H2472</f>
        <v>Presence</v>
      </c>
      <c r="I2472" s="5"/>
      <c r="J2472" s="21" t="s">
        <v>2276</v>
      </c>
      <c r="K2472" s="21" t="s">
        <v>2276</v>
      </c>
      <c r="L2472" s="21" t="s">
        <v>2276</v>
      </c>
      <c r="M2472" s="21" t="s">
        <v>2276</v>
      </c>
      <c r="N2472" s="21" t="s">
        <v>2276</v>
      </c>
      <c r="O2472" s="21" t="s">
        <v>2276</v>
      </c>
      <c r="P2472" s="21" t="s">
        <v>2276</v>
      </c>
      <c r="Q2472" s="21" t="s">
        <v>2276</v>
      </c>
      <c r="R2472" s="21" t="s">
        <v>2276</v>
      </c>
      <c r="S2472" s="21" t="s">
        <v>2276</v>
      </c>
      <c r="T2472" s="21" t="s">
        <v>2276</v>
      </c>
      <c r="U2472" s="21" t="s">
        <v>2276</v>
      </c>
      <c r="V2472" s="21" t="s">
        <v>2276</v>
      </c>
      <c r="W2472" s="21" t="s">
        <v>2276</v>
      </c>
      <c r="X2472" s="204" t="str">
        <f>'Reported burning'!Z2472</f>
        <v>ND</v>
      </c>
      <c r="Y2472" s="204" t="str">
        <f>'Reported burning'!AA2472</f>
        <v>ND</v>
      </c>
      <c r="Z2472" s="204" t="str">
        <f>'Reported burning'!AB2472</f>
        <v>ND</v>
      </c>
      <c r="AA2472" s="204"/>
      <c r="AB2472" s="204"/>
    </row>
    <row r="2473" spans="1:28" ht="47.5" customHeight="1">
      <c r="A2473" s="156" t="str">
        <f>'Reported burning'!A2473</f>
        <v>287d</v>
      </c>
      <c r="B2473" s="156" t="str">
        <f>'Reported burning'!B2473</f>
        <v>287d.1</v>
      </c>
      <c r="C2473" s="156" t="str">
        <f>'Reported burning'!C2473</f>
        <v>Unknown</v>
      </c>
      <c r="D2473" s="156" t="str">
        <f>'Reported burning'!D2473</f>
        <v>ND</v>
      </c>
      <c r="E2473" s="156" t="str">
        <f>'Reported burning'!E2473</f>
        <v>Forestry, Industrial</v>
      </c>
      <c r="F2473" s="156" t="str">
        <f>'Reported burning'!F2473</f>
        <v>Forest</v>
      </c>
      <c r="G2473" s="156" t="str">
        <f>'Reported burning'!G2473</f>
        <v>Forest</v>
      </c>
      <c r="H2473" s="156" t="str">
        <f>'Reported burning'!H2473</f>
        <v>Presence</v>
      </c>
      <c r="I2473" s="5"/>
      <c r="J2473" s="21" t="s">
        <v>2276</v>
      </c>
      <c r="K2473" s="21" t="s">
        <v>2276</v>
      </c>
      <c r="L2473" s="21" t="s">
        <v>2276</v>
      </c>
      <c r="M2473" s="21" t="s">
        <v>2276</v>
      </c>
      <c r="N2473" s="21" t="s">
        <v>2276</v>
      </c>
      <c r="O2473" s="21" t="s">
        <v>2276</v>
      </c>
      <c r="P2473" s="21" t="s">
        <v>2276</v>
      </c>
      <c r="Q2473" s="21" t="s">
        <v>2276</v>
      </c>
      <c r="R2473" s="21" t="s">
        <v>2276</v>
      </c>
      <c r="S2473" s="21" t="s">
        <v>2276</v>
      </c>
      <c r="T2473" s="21" t="s">
        <v>2276</v>
      </c>
      <c r="U2473" s="21" t="s">
        <v>2276</v>
      </c>
      <c r="V2473" s="21" t="s">
        <v>2276</v>
      </c>
      <c r="W2473" s="21" t="s">
        <v>2276</v>
      </c>
      <c r="X2473" s="204" t="str">
        <f>'Reported burning'!Z2473</f>
        <v>ND</v>
      </c>
      <c r="Y2473" s="204" t="str">
        <f>'Reported burning'!AA2473</f>
        <v>ND</v>
      </c>
      <c r="Z2473" s="204" t="str">
        <f>'Reported burning'!AB2473</f>
        <v>ND</v>
      </c>
      <c r="AA2473" s="204"/>
      <c r="AB2473" s="204"/>
    </row>
    <row r="2474" spans="1:28" ht="47.5" customHeight="1">
      <c r="A2474" s="156" t="str">
        <f>'Reported burning'!A2474</f>
        <v>287d</v>
      </c>
      <c r="B2474" s="156" t="str">
        <f>'Reported burning'!B2474</f>
        <v>287d.2</v>
      </c>
      <c r="C2474" s="156" t="str">
        <f>'Reported burning'!C2474</f>
        <v>Human, deliberate</v>
      </c>
      <c r="D2474" s="156" t="str">
        <f>'Reported burning'!D2474</f>
        <v>Pyrome management</v>
      </c>
      <c r="E2474" s="156" t="str">
        <f>'Reported burning'!E2474</f>
        <v>Forestry, Industrial</v>
      </c>
      <c r="F2474" s="156" t="str">
        <f>'Reported burning'!F2474</f>
        <v>Forest</v>
      </c>
      <c r="G2474" s="156" t="str">
        <f>'Reported burning'!G2474</f>
        <v>Forest</v>
      </c>
      <c r="H2474" s="156" t="str">
        <f>'Reported burning'!H2474</f>
        <v>Presence</v>
      </c>
      <c r="I2474" s="5"/>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04" t="str">
        <f>'Reported burning'!Z2474</f>
        <v>ND</v>
      </c>
      <c r="Y2474" s="204" t="str">
        <f>'Reported burning'!AA2474</f>
        <v>ND</v>
      </c>
      <c r="Z2474" s="204" t="str">
        <f>'Reported burning'!AB2474</f>
        <v>ND</v>
      </c>
      <c r="AA2474" s="204"/>
      <c r="AB2474" s="204"/>
    </row>
    <row r="2475" spans="1:28" ht="47.5" customHeight="1">
      <c r="A2475" s="156" t="str">
        <f>'Reported burning'!A2475</f>
        <v>288a</v>
      </c>
      <c r="B2475" s="156" t="str">
        <f>'Reported burning'!B2475</f>
        <v>288a.1</v>
      </c>
      <c r="C2475" s="156" t="str">
        <f>'Reported burning'!C2475</f>
        <v>Human, deliberate</v>
      </c>
      <c r="D2475" s="156" t="str">
        <f>'Reported burning'!D2475</f>
        <v>Crop residue burning</v>
      </c>
      <c r="E2475" s="156" t="str">
        <f>'Reported burning'!E2475</f>
        <v>Forestry, Industrial</v>
      </c>
      <c r="F2475" s="156" t="str">
        <f>'Reported burning'!F2475</f>
        <v>Forest</v>
      </c>
      <c r="G2475" s="156" t="str">
        <f>'Reported burning'!G2475</f>
        <v>Forest</v>
      </c>
      <c r="H2475" s="156" t="str">
        <f>'Reported burning'!H2475</f>
        <v>Presence</v>
      </c>
      <c r="I2475" s="5"/>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04" t="str">
        <f>'Reported burning'!Z2475</f>
        <v>ND</v>
      </c>
      <c r="Y2475" s="204" t="str">
        <f>'Reported burning'!AA2475</f>
        <v>ND</v>
      </c>
      <c r="Z2475" s="204" t="str">
        <f>'Reported burning'!AB2475</f>
        <v>ND</v>
      </c>
      <c r="AA2475" s="204"/>
      <c r="AB2475" s="204"/>
    </row>
    <row r="2476" spans="1:28" ht="47.5" customHeight="1">
      <c r="A2476" s="156" t="str">
        <f>'Reported burning'!A2476</f>
        <v>288b</v>
      </c>
      <c r="B2476" s="156" t="str">
        <f>'Reported burning'!B2476</f>
        <v>288b.1</v>
      </c>
      <c r="C2476" s="156" t="str">
        <f>'Reported burning'!C2476</f>
        <v>Human, deliberate</v>
      </c>
      <c r="D2476" s="156" t="str">
        <f>'Reported burning'!D2476</f>
        <v>Crop residue burning</v>
      </c>
      <c r="E2476" s="156" t="str">
        <f>'Reported burning'!E2476</f>
        <v>Forestry, Industrial</v>
      </c>
      <c r="F2476" s="156" t="str">
        <f>'Reported burning'!F2476</f>
        <v>Forest</v>
      </c>
      <c r="G2476" s="156" t="str">
        <f>'Reported burning'!G2476</f>
        <v>Forest</v>
      </c>
      <c r="H2476" s="156" t="str">
        <f>'Reported burning'!H2476</f>
        <v>Presence</v>
      </c>
      <c r="I2476" s="5"/>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04" t="str">
        <f>'Reported burning'!Z2476</f>
        <v>ND</v>
      </c>
      <c r="Y2476" s="204" t="str">
        <f>'Reported burning'!AA2476</f>
        <v>ND</v>
      </c>
      <c r="Z2476" s="204" t="str">
        <f>'Reported burning'!AB2476</f>
        <v>ND</v>
      </c>
      <c r="AA2476" s="204"/>
      <c r="AB2476" s="204"/>
    </row>
    <row r="2477" spans="1:28" ht="47.5" customHeight="1">
      <c r="A2477" s="156" t="str">
        <f>'Reported burning'!A2477</f>
        <v>288c</v>
      </c>
      <c r="B2477" s="156" t="str">
        <f>'Reported burning'!B2477</f>
        <v>288c.1</v>
      </c>
      <c r="C2477" s="156" t="str">
        <f>'Reported burning'!C2477</f>
        <v>Human, deliberate</v>
      </c>
      <c r="D2477" s="156" t="str">
        <f>'Reported burning'!D2477</f>
        <v>Crop residue burning</v>
      </c>
      <c r="E2477" s="156" t="str">
        <f>'Reported burning'!E2477</f>
        <v>Forestry, Industrial</v>
      </c>
      <c r="F2477" s="156" t="str">
        <f>'Reported burning'!F2477</f>
        <v>Forest</v>
      </c>
      <c r="G2477" s="156" t="str">
        <f>'Reported burning'!G2477</f>
        <v>Forest</v>
      </c>
      <c r="H2477" s="156" t="str">
        <f>'Reported burning'!H2477</f>
        <v>Presence</v>
      </c>
      <c r="I2477" s="5"/>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21" t="s">
        <v>2276</v>
      </c>
      <c r="AA2477" s="204"/>
      <c r="AB2477" s="204"/>
    </row>
    <row r="2478" spans="1:28" ht="47.5" customHeight="1">
      <c r="A2478" s="156" t="str">
        <f>'Reported burning'!A2478</f>
        <v>288c</v>
      </c>
      <c r="B2478" s="156" t="str">
        <f>'Reported burning'!B2478</f>
        <v>288c.2</v>
      </c>
      <c r="C2478" s="156" t="str">
        <f>'Reported burning'!C2478</f>
        <v>Human, deliberate</v>
      </c>
      <c r="D2478" s="156" t="str">
        <f>'Reported burning'!D2478</f>
        <v>Pyrome management</v>
      </c>
      <c r="E2478" s="156" t="str">
        <f>'Reported burning'!E2478</f>
        <v>Forestry, Industrial</v>
      </c>
      <c r="F2478" s="156" t="str">
        <f>'Reported burning'!F2478</f>
        <v>Forest</v>
      </c>
      <c r="G2478" s="156" t="str">
        <f>'Reported burning'!G2478</f>
        <v>Forest</v>
      </c>
      <c r="H2478" s="156" t="str">
        <f>'Reported burning'!H2478</f>
        <v>Presence</v>
      </c>
      <c r="I2478" s="5"/>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04"/>
      <c r="AB2478" s="204"/>
    </row>
    <row r="2479" spans="1:28" ht="47.5" customHeight="1">
      <c r="A2479" s="156" t="str">
        <f>'Reported burning'!A2479</f>
        <v>288d</v>
      </c>
      <c r="B2479" s="156" t="str">
        <f>'Reported burning'!B2479</f>
        <v>288d.1</v>
      </c>
      <c r="C2479" s="156" t="str">
        <f>'Reported burning'!C2479</f>
        <v>Human, deliberate</v>
      </c>
      <c r="D2479" s="156" t="str">
        <f>'Reported burning'!D2479</f>
        <v>Crop residue burning</v>
      </c>
      <c r="E2479" s="156" t="str">
        <f>'Reported burning'!E2479</f>
        <v>Forestry, Industrial</v>
      </c>
      <c r="F2479" s="156" t="str">
        <f>'Reported burning'!F2479</f>
        <v>Forest</v>
      </c>
      <c r="G2479" s="156" t="str">
        <f>'Reported burning'!G2479</f>
        <v>Forest</v>
      </c>
      <c r="H2479" s="156" t="str">
        <f>'Reported burning'!H2479</f>
        <v>Presence</v>
      </c>
      <c r="I2479" s="5"/>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04"/>
      <c r="AB2479" s="204"/>
    </row>
    <row r="2480" spans="1:28" s="203" customFormat="1" ht="47.5" customHeight="1">
      <c r="A2480" s="156" t="str">
        <f>'Reported burning'!A2480</f>
        <v>288d</v>
      </c>
      <c r="B2480" s="156" t="str">
        <f>'Reported burning'!B2480</f>
        <v>288d.2</v>
      </c>
      <c r="C2480" s="156" t="str">
        <f>'Reported burning'!C2480</f>
        <v>Human, deliberate</v>
      </c>
      <c r="D2480" s="156" t="str">
        <f>'Reported burning'!D2480</f>
        <v>Pyrome management</v>
      </c>
      <c r="E2480" s="156" t="str">
        <f>'Reported burning'!E2480</f>
        <v>Forestry, Industrial</v>
      </c>
      <c r="F2480" s="156" t="str">
        <f>'Reported burning'!F2480</f>
        <v>Forest</v>
      </c>
      <c r="G2480" s="156" t="str">
        <f>'Reported burning'!G2480</f>
        <v>Forest</v>
      </c>
      <c r="H2480" s="156" t="str">
        <f>'Reported burning'!H2480</f>
        <v>Presence</v>
      </c>
      <c r="I2480" s="5"/>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04"/>
      <c r="AB2480" s="204"/>
    </row>
    <row r="2481" spans="1:28" ht="47.5" customHeight="1">
      <c r="A2481" s="156" t="str">
        <f>'Reported burning'!A2481</f>
        <v>288e</v>
      </c>
      <c r="B2481" s="156" t="str">
        <f>'Reported burning'!B2481</f>
        <v>288e.1</v>
      </c>
      <c r="C2481" s="156" t="str">
        <f>'Reported burning'!C2481</f>
        <v>Human, deliberate</v>
      </c>
      <c r="D2481" s="156" t="str">
        <f>'Reported burning'!D2481</f>
        <v>Crop residue burning</v>
      </c>
      <c r="E2481" s="156" t="str">
        <f>'Reported burning'!E2481</f>
        <v>Forestry, Industrial</v>
      </c>
      <c r="F2481" s="156" t="str">
        <f>'Reported burning'!F2481</f>
        <v>Forest</v>
      </c>
      <c r="G2481" s="156" t="str">
        <f>'Reported burning'!G2481</f>
        <v>Forest</v>
      </c>
      <c r="H2481" s="156" t="str">
        <f>'Reported burning'!H2481</f>
        <v>Presence</v>
      </c>
      <c r="I2481" s="5"/>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04"/>
      <c r="AB2481" s="204"/>
    </row>
    <row r="2482" spans="1:28" s="203" customFormat="1" ht="47.5" customHeight="1">
      <c r="A2482" s="156" t="str">
        <f>'Reported burning'!A2482</f>
        <v>288f</v>
      </c>
      <c r="B2482" s="156" t="str">
        <f>'Reported burning'!B2482</f>
        <v>288f.1</v>
      </c>
      <c r="C2482" s="156" t="str">
        <f>'Reported burning'!C2482</f>
        <v>Human, deliberate</v>
      </c>
      <c r="D2482" s="156" t="str">
        <f>'Reported burning'!D2482</f>
        <v>Crop residue burning</v>
      </c>
      <c r="E2482" s="156" t="str">
        <f>'Reported burning'!E2482</f>
        <v>Forestry, Industrial</v>
      </c>
      <c r="F2482" s="156" t="str">
        <f>'Reported burning'!F2482</f>
        <v>Forest</v>
      </c>
      <c r="G2482" s="156" t="str">
        <f>'Reported burning'!G2482</f>
        <v>Forest</v>
      </c>
      <c r="H2482" s="156" t="str">
        <f>'Reported burning'!H2482</f>
        <v>Presence</v>
      </c>
      <c r="I2482" s="5"/>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04"/>
      <c r="AB2482" s="204"/>
    </row>
    <row r="2483" spans="1:28" ht="47.5" customHeight="1">
      <c r="A2483" s="156" t="str">
        <f>'Reported burning'!A2483</f>
        <v>288g</v>
      </c>
      <c r="B2483" s="156" t="str">
        <f>'Reported burning'!B2483</f>
        <v>288g.1</v>
      </c>
      <c r="C2483" s="156" t="str">
        <f>'Reported burning'!C2483</f>
        <v>Human, deliberate</v>
      </c>
      <c r="D2483" s="156" t="str">
        <f>'Reported burning'!D2483</f>
        <v>Crop residue burning</v>
      </c>
      <c r="E2483" s="156" t="str">
        <f>'Reported burning'!E2483</f>
        <v>Forestry, Industrial</v>
      </c>
      <c r="F2483" s="156" t="str">
        <f>'Reported burning'!F2483</f>
        <v>Forest</v>
      </c>
      <c r="G2483" s="156" t="str">
        <f>'Reported burning'!G2483</f>
        <v>Forest</v>
      </c>
      <c r="H2483" s="156" t="str">
        <f>'Reported burning'!H2483</f>
        <v>Presence</v>
      </c>
      <c r="I2483" s="5"/>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04"/>
      <c r="AB2483" s="204"/>
    </row>
    <row r="2484" spans="1:28" ht="47.5" customHeight="1">
      <c r="A2484" s="156" t="str">
        <f>'Reported burning'!A2484</f>
        <v>288g</v>
      </c>
      <c r="B2484" s="156" t="str">
        <f>'Reported burning'!B2484</f>
        <v>288g.2</v>
      </c>
      <c r="C2484" s="156" t="str">
        <f>'Reported burning'!C2484</f>
        <v>Human, deliberate</v>
      </c>
      <c r="D2484" s="156" t="str">
        <f>'Reported burning'!D2484</f>
        <v>Pyrome management</v>
      </c>
      <c r="E2484" s="156" t="str">
        <f>'Reported burning'!E2484</f>
        <v>Forestry, Industrial</v>
      </c>
      <c r="F2484" s="156" t="str">
        <f>'Reported burning'!F2484</f>
        <v>Forest</v>
      </c>
      <c r="G2484" s="156" t="str">
        <f>'Reported burning'!G2484</f>
        <v>Forest</v>
      </c>
      <c r="H2484" s="156" t="str">
        <f>'Reported burning'!H2484</f>
        <v>Presence</v>
      </c>
      <c r="I2484" s="5"/>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04"/>
      <c r="AB2484" s="204"/>
    </row>
    <row r="2485" spans="1:28" ht="47.5" customHeight="1">
      <c r="A2485" s="156" t="str">
        <f>'Reported burning'!A2485</f>
        <v>288h</v>
      </c>
      <c r="B2485" s="156" t="str">
        <f>'Reported burning'!B2485</f>
        <v>288h.1</v>
      </c>
      <c r="C2485" s="156" t="str">
        <f>'Reported burning'!C2485</f>
        <v>Human, deliberate</v>
      </c>
      <c r="D2485" s="156" t="str">
        <f>'Reported burning'!D2485</f>
        <v>Crop residue burning</v>
      </c>
      <c r="E2485" s="156" t="str">
        <f>'Reported burning'!E2485</f>
        <v>Forestry, Industrial</v>
      </c>
      <c r="F2485" s="156" t="str">
        <f>'Reported burning'!F2485</f>
        <v>Forest</v>
      </c>
      <c r="G2485" s="156" t="str">
        <f>'Reported burning'!G2485</f>
        <v>Forest</v>
      </c>
      <c r="H2485" s="156" t="str">
        <f>'Reported burning'!H2485</f>
        <v>Presence</v>
      </c>
      <c r="I2485" s="5"/>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04"/>
      <c r="AB2485" s="204"/>
    </row>
    <row r="2486" spans="1:28" s="203" customFormat="1" ht="47.5" customHeight="1">
      <c r="A2486" s="156" t="str">
        <f>'Reported burning'!A2486</f>
        <v>288i</v>
      </c>
      <c r="B2486" s="156" t="str">
        <f>'Reported burning'!B2486</f>
        <v>288i.1</v>
      </c>
      <c r="C2486" s="156" t="str">
        <f>'Reported burning'!C2486</f>
        <v>Human, deliberate</v>
      </c>
      <c r="D2486" s="156" t="str">
        <f>'Reported burning'!D2486</f>
        <v>Crop residue burning</v>
      </c>
      <c r="E2486" s="156" t="str">
        <f>'Reported burning'!E2486</f>
        <v>Forestry, Industrial</v>
      </c>
      <c r="F2486" s="156" t="str">
        <f>'Reported burning'!F2486</f>
        <v>Forest</v>
      </c>
      <c r="G2486" s="156" t="str">
        <f>'Reported burning'!G2486</f>
        <v>Forest</v>
      </c>
      <c r="H2486" s="156" t="str">
        <f>'Reported burning'!H2486</f>
        <v>Presence</v>
      </c>
      <c r="I2486" s="5"/>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04"/>
      <c r="AB2486" s="204"/>
    </row>
    <row r="2487" spans="1:28" ht="47.5" customHeight="1">
      <c r="A2487" s="156" t="str">
        <f>'Reported burning'!A2487</f>
        <v>288j</v>
      </c>
      <c r="B2487" s="156" t="str">
        <f>'Reported burning'!B2487</f>
        <v>288j.1</v>
      </c>
      <c r="C2487" s="156" t="str">
        <f>'Reported burning'!C2487</f>
        <v>Human, deliberate</v>
      </c>
      <c r="D2487" s="156" t="str">
        <f>'Reported burning'!D2487</f>
        <v>Crop residue burning</v>
      </c>
      <c r="E2487" s="156" t="str">
        <f>'Reported burning'!E2487</f>
        <v>Forestry, Industrial</v>
      </c>
      <c r="F2487" s="156" t="str">
        <f>'Reported burning'!F2487</f>
        <v>Forest</v>
      </c>
      <c r="G2487" s="156" t="str">
        <f>'Reported burning'!G2487</f>
        <v>Forest</v>
      </c>
      <c r="H2487" s="156" t="str">
        <f>'Reported burning'!H2487</f>
        <v>Presence</v>
      </c>
      <c r="I2487" s="5"/>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04"/>
      <c r="AB2487" s="204"/>
    </row>
    <row r="2488" spans="1:28" ht="47.5" customHeight="1">
      <c r="A2488" s="156" t="str">
        <f>'Reported burning'!A2488</f>
        <v>288j</v>
      </c>
      <c r="B2488" s="156" t="str">
        <f>'Reported burning'!B2488</f>
        <v>288j.2</v>
      </c>
      <c r="C2488" s="156" t="str">
        <f>'Reported burning'!C2488</f>
        <v>Human, deliberate</v>
      </c>
      <c r="D2488" s="156" t="str">
        <f>'Reported burning'!D2488</f>
        <v>Pyrome management</v>
      </c>
      <c r="E2488" s="156" t="str">
        <f>'Reported burning'!E2488</f>
        <v>Forestry, Industrial</v>
      </c>
      <c r="F2488" s="156" t="str">
        <f>'Reported burning'!F2488</f>
        <v>Forest</v>
      </c>
      <c r="G2488" s="156" t="str">
        <f>'Reported burning'!G2488</f>
        <v>Forest</v>
      </c>
      <c r="H2488" s="156" t="str">
        <f>'Reported burning'!H2488</f>
        <v>Presence</v>
      </c>
      <c r="I2488" s="5"/>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04"/>
      <c r="AB2488" s="204"/>
    </row>
    <row r="2489" spans="1:28" ht="47.5" customHeight="1">
      <c r="A2489" s="156" t="str">
        <f>'Reported burning'!A2489</f>
        <v>288k</v>
      </c>
      <c r="B2489" s="156" t="str">
        <f>'Reported burning'!B2489</f>
        <v>288k.1</v>
      </c>
      <c r="C2489" s="156" t="str">
        <f>'Reported burning'!C2489</f>
        <v>Human, deliberate</v>
      </c>
      <c r="D2489" s="156" t="str">
        <f>'Reported burning'!D2489</f>
        <v>Crop residue burning</v>
      </c>
      <c r="E2489" s="156" t="str">
        <f>'Reported burning'!E2489</f>
        <v>Forestry, Industrial</v>
      </c>
      <c r="F2489" s="156" t="str">
        <f>'Reported burning'!F2489</f>
        <v>Forest</v>
      </c>
      <c r="G2489" s="156" t="str">
        <f>'Reported burning'!G2489</f>
        <v>Forest</v>
      </c>
      <c r="H2489" s="156" t="str">
        <f>'Reported burning'!H2489</f>
        <v>Presence</v>
      </c>
      <c r="I2489" s="5"/>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04"/>
      <c r="AB2489" s="204"/>
    </row>
    <row r="2490" spans="1:28" s="203" customFormat="1" ht="47.5" customHeight="1">
      <c r="A2490" s="156" t="str">
        <f>'Reported burning'!A2490</f>
        <v>288k</v>
      </c>
      <c r="B2490" s="156" t="str">
        <f>'Reported burning'!B2490</f>
        <v>288k.2</v>
      </c>
      <c r="C2490" s="156" t="str">
        <f>'Reported burning'!C2490</f>
        <v>Human, deliberate</v>
      </c>
      <c r="D2490" s="156" t="str">
        <f>'Reported burning'!D2490</f>
        <v>Pyrome management</v>
      </c>
      <c r="E2490" s="156" t="str">
        <f>'Reported burning'!E2490</f>
        <v>Forestry, Industrial</v>
      </c>
      <c r="F2490" s="156" t="str">
        <f>'Reported burning'!F2490</f>
        <v>Forest</v>
      </c>
      <c r="G2490" s="156" t="str">
        <f>'Reported burning'!G2490</f>
        <v>Forest</v>
      </c>
      <c r="H2490" s="156" t="str">
        <f>'Reported burning'!H2490</f>
        <v>Presence</v>
      </c>
      <c r="I2490" s="5"/>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04"/>
      <c r="AB2490" s="204"/>
    </row>
    <row r="2491" spans="1:28" ht="47.5" customHeight="1">
      <c r="A2491" s="156" t="str">
        <f>'Reported burning'!A2491</f>
        <v>289a</v>
      </c>
      <c r="B2491" s="156" t="str">
        <f>'Reported burning'!B2491</f>
        <v>289a.1</v>
      </c>
      <c r="C2491" s="156" t="str">
        <f>'Reported burning'!C2491</f>
        <v>Human, escaped</v>
      </c>
      <c r="D2491" s="156" t="str">
        <f>'Reported burning'!D2491</f>
        <v>ND</v>
      </c>
      <c r="E2491" s="156" t="str">
        <f>'Reported burning'!E2491</f>
        <v>Tourism manager</v>
      </c>
      <c r="F2491" s="156" t="str">
        <f>'Reported burning'!F2491</f>
        <v>Forest</v>
      </c>
      <c r="G2491" s="156" t="str">
        <f>'Reported burning'!G2491</f>
        <v>Forest</v>
      </c>
      <c r="H2491" s="156" t="str">
        <f>'Reported burning'!H2491</f>
        <v>Presence</v>
      </c>
      <c r="I2491" s="5"/>
      <c r="J2491" s="21" t="s">
        <v>2276</v>
      </c>
      <c r="K2491" s="21" t="s">
        <v>2276</v>
      </c>
      <c r="L2491" s="21" t="s">
        <v>2276</v>
      </c>
      <c r="M2491" s="21" t="s">
        <v>2276</v>
      </c>
      <c r="N2491" s="21" t="s">
        <v>2276</v>
      </c>
      <c r="O2491" s="21" t="s">
        <v>2276</v>
      </c>
      <c r="P2491" s="21" t="s">
        <v>2276</v>
      </c>
      <c r="Q2491" s="21" t="s">
        <v>2276</v>
      </c>
      <c r="R2491" s="21" t="s">
        <v>2276</v>
      </c>
      <c r="S2491" s="21" t="s">
        <v>2276</v>
      </c>
      <c r="T2491" s="21" t="s">
        <v>2276</v>
      </c>
      <c r="U2491" s="21" t="s">
        <v>2276</v>
      </c>
      <c r="V2491" s="21" t="s">
        <v>2276</v>
      </c>
      <c r="W2491" s="21" t="s">
        <v>2276</v>
      </c>
      <c r="X2491" s="204" t="str">
        <f>'Reported burning'!Z2491</f>
        <v>March</v>
      </c>
      <c r="Y2491" s="204" t="str">
        <f>'Reported burning'!AA2491</f>
        <v>October</v>
      </c>
      <c r="Z2491" s="204" t="str">
        <f>'Reported burning'!AB2491</f>
        <v>ND</v>
      </c>
      <c r="AA2491" s="204"/>
      <c r="AB2491" s="204"/>
    </row>
    <row r="2492" spans="1:28" s="203" customFormat="1" ht="47.5" customHeight="1">
      <c r="A2492" s="156" t="str">
        <f>'Reported burning'!A2492</f>
        <v>289a</v>
      </c>
      <c r="B2492" s="156" t="str">
        <f>'Reported burning'!B2492</f>
        <v>289a.2</v>
      </c>
      <c r="C2492" s="156" t="str">
        <f>'Reported burning'!C2492</f>
        <v>Lightning</v>
      </c>
      <c r="D2492" s="156" t="str">
        <f>'Reported burning'!D2492</f>
        <v>ND</v>
      </c>
      <c r="E2492" s="156" t="str">
        <f>'Reported burning'!E2492</f>
        <v>Biodiversity conservation</v>
      </c>
      <c r="F2492" s="156" t="str">
        <f>'Reported burning'!F2492</f>
        <v>Forest</v>
      </c>
      <c r="G2492" s="156" t="str">
        <f>'Reported burning'!G2492</f>
        <v>Forest</v>
      </c>
      <c r="H2492" s="156" t="str">
        <f>'Reported burning'!H2492</f>
        <v>Presence</v>
      </c>
      <c r="I2492" s="5"/>
      <c r="J2492" s="21" t="s">
        <v>2276</v>
      </c>
      <c r="K2492" s="21" t="s">
        <v>2276</v>
      </c>
      <c r="L2492" s="21" t="s">
        <v>2276</v>
      </c>
      <c r="M2492" s="21" t="s">
        <v>2276</v>
      </c>
      <c r="N2492" s="21" t="s">
        <v>2276</v>
      </c>
      <c r="O2492" s="21" t="s">
        <v>2276</v>
      </c>
      <c r="P2492" s="21" t="s">
        <v>2276</v>
      </c>
      <c r="Q2492" s="21" t="s">
        <v>2276</v>
      </c>
      <c r="R2492" s="21" t="s">
        <v>2276</v>
      </c>
      <c r="S2492" s="21" t="s">
        <v>2276</v>
      </c>
      <c r="T2492" s="21" t="s">
        <v>2276</v>
      </c>
      <c r="U2492" s="21" t="s">
        <v>2276</v>
      </c>
      <c r="V2492" s="21" t="s">
        <v>2276</v>
      </c>
      <c r="W2492" s="21" t="s">
        <v>2276</v>
      </c>
      <c r="X2492" s="204" t="str">
        <f>'Reported burning'!Z2492</f>
        <v>March</v>
      </c>
      <c r="Y2492" s="204" t="str">
        <f>'Reported burning'!AA2492</f>
        <v>October</v>
      </c>
      <c r="Z2492" s="204" t="str">
        <f>'Reported burning'!AB2492</f>
        <v>ND</v>
      </c>
      <c r="AA2492" s="204"/>
      <c r="AB2492" s="204"/>
    </row>
    <row r="2493" spans="1:28" ht="47.5" customHeight="1">
      <c r="A2493" s="156" t="str">
        <f>'Reported burning'!A2493</f>
        <v>289a</v>
      </c>
      <c r="B2493" s="156" t="str">
        <f>'Reported burning'!B2493</f>
        <v>289a.3</v>
      </c>
      <c r="C2493" s="156" t="str">
        <f>'Reported burning'!C2493</f>
        <v>All</v>
      </c>
      <c r="D2493" s="156" t="str">
        <f>'Reported burning'!D2493</f>
        <v>ND</v>
      </c>
      <c r="E2493" s="156" t="str">
        <f>'Reported burning'!E2493</f>
        <v>All</v>
      </c>
      <c r="F2493" s="156" t="str">
        <f>'Reported burning'!F2493</f>
        <v>Forest</v>
      </c>
      <c r="G2493" s="156" t="str">
        <f>'Reported burning'!G2493</f>
        <v>Forest</v>
      </c>
      <c r="H2493" s="156" t="str">
        <f>'Reported burning'!H2493</f>
        <v>Presence</v>
      </c>
      <c r="I2493" s="5"/>
      <c r="J2493" s="21" t="s">
        <v>2368</v>
      </c>
      <c r="K2493" s="21" t="s">
        <v>2276</v>
      </c>
      <c r="L2493" s="21" t="s">
        <v>2362</v>
      </c>
      <c r="M2493" s="21" t="s">
        <v>2276</v>
      </c>
      <c r="N2493" s="21" t="s">
        <v>2276</v>
      </c>
      <c r="O2493" s="21" t="s">
        <v>2276</v>
      </c>
      <c r="P2493" s="21" t="s">
        <v>2276</v>
      </c>
      <c r="Q2493" s="21" t="s">
        <v>2276</v>
      </c>
      <c r="R2493" s="21" t="s">
        <v>2375</v>
      </c>
      <c r="S2493" s="21" t="s">
        <v>2276</v>
      </c>
      <c r="T2493" s="21" t="s">
        <v>2276</v>
      </c>
      <c r="U2493" s="21" t="s">
        <v>2276</v>
      </c>
      <c r="V2493" s="21" t="s">
        <v>2276</v>
      </c>
      <c r="W2493" s="21" t="s">
        <v>2276</v>
      </c>
      <c r="X2493" s="204" t="str">
        <f>'Reported burning'!Z2493</f>
        <v>March</v>
      </c>
      <c r="Y2493" s="204" t="str">
        <f>'Reported burning'!AA2493</f>
        <v>October</v>
      </c>
      <c r="Z2493" s="204" t="str">
        <f>'Reported burning'!AB2493</f>
        <v>ND</v>
      </c>
      <c r="AA2493" s="204"/>
      <c r="AB2493" s="4" t="s">
        <v>7858</v>
      </c>
    </row>
    <row r="2494" spans="1:28" ht="47.5" customHeight="1">
      <c r="A2494" s="156" t="str">
        <f>'Reported burning'!A2494</f>
        <v>289b</v>
      </c>
      <c r="B2494" s="156" t="str">
        <f>'Reported burning'!B2494</f>
        <v>289b.1</v>
      </c>
      <c r="C2494" s="156" t="str">
        <f>'Reported burning'!C2494</f>
        <v>Human, escaped</v>
      </c>
      <c r="D2494" s="156" t="str">
        <f>'Reported burning'!D2494</f>
        <v>ND</v>
      </c>
      <c r="E2494" s="156" t="str">
        <f>'Reported burning'!E2494</f>
        <v>Forestry, Industrial</v>
      </c>
      <c r="F2494" s="156" t="str">
        <f>'Reported burning'!F2494</f>
        <v>Forest</v>
      </c>
      <c r="G2494" s="156" t="str">
        <f>'Reported burning'!G2494</f>
        <v>Forest</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21" t="s">
        <v>2276</v>
      </c>
      <c r="T2494" s="21" t="s">
        <v>2276</v>
      </c>
      <c r="U2494" s="21" t="s">
        <v>2276</v>
      </c>
      <c r="V2494" s="21" t="s">
        <v>2276</v>
      </c>
      <c r="W2494" s="21" t="s">
        <v>2276</v>
      </c>
      <c r="X2494" s="204" t="str">
        <f>'Reported burning'!Z2494</f>
        <v>March</v>
      </c>
      <c r="Y2494" s="204" t="str">
        <f>'Reported burning'!AA2494</f>
        <v>October</v>
      </c>
      <c r="Z2494" s="204" t="str">
        <f>'Reported burning'!AB2494</f>
        <v>ND</v>
      </c>
      <c r="AA2494" s="204"/>
      <c r="AB2494" s="4"/>
    </row>
    <row r="2495" spans="1:28" s="203" customFormat="1" ht="47.5" customHeight="1">
      <c r="A2495" s="156" t="str">
        <f>'Reported burning'!A2495</f>
        <v>289b</v>
      </c>
      <c r="B2495" s="156" t="str">
        <f>'Reported burning'!B2495</f>
        <v>289b.2</v>
      </c>
      <c r="C2495" s="156" t="str">
        <f>'Reported burning'!C2495</f>
        <v>Lightning</v>
      </c>
      <c r="D2495" s="156" t="str">
        <f>'Reported burning'!D2495</f>
        <v>ND</v>
      </c>
      <c r="E2495" s="156" t="str">
        <f>'Reported burning'!E2495</f>
        <v>Forestry, Industrial</v>
      </c>
      <c r="F2495" s="156" t="str">
        <f>'Reported burning'!F2495</f>
        <v>Forest</v>
      </c>
      <c r="G2495" s="156" t="str">
        <f>'Reported burning'!G2495</f>
        <v>Forest</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21" t="s">
        <v>2276</v>
      </c>
      <c r="W2495" s="21" t="s">
        <v>2276</v>
      </c>
      <c r="X2495" s="204" t="str">
        <f>'Reported burning'!Z2495</f>
        <v>March</v>
      </c>
      <c r="Y2495" s="204" t="str">
        <f>'Reported burning'!AA2495</f>
        <v>October</v>
      </c>
      <c r="Z2495" s="204" t="str">
        <f>'Reported burning'!AB2495</f>
        <v>ND</v>
      </c>
      <c r="AA2495" s="204"/>
      <c r="AB2495" s="4"/>
    </row>
    <row r="2496" spans="1:28" ht="47.5" customHeight="1">
      <c r="A2496" s="156" t="str">
        <f>'Reported burning'!A2496</f>
        <v>289b</v>
      </c>
      <c r="B2496" s="156" t="str">
        <f>'Reported burning'!B2496</f>
        <v>289b.3</v>
      </c>
      <c r="C2496" s="156" t="str">
        <f>'Reported burning'!C2496</f>
        <v>All</v>
      </c>
      <c r="D2496" s="156" t="str">
        <f>'Reported burning'!D2496</f>
        <v>ND</v>
      </c>
      <c r="E2496" s="156" t="str">
        <f>'Reported burning'!E2496</f>
        <v>All</v>
      </c>
      <c r="F2496" s="156" t="str">
        <f>'Reported burning'!F2496</f>
        <v>Forest</v>
      </c>
      <c r="G2496" s="156" t="str">
        <f>'Reported burning'!G2496</f>
        <v>Forest</v>
      </c>
      <c r="H2496" s="156" t="str">
        <f>'Reported burning'!H2496</f>
        <v>Presence</v>
      </c>
      <c r="I2496" s="5"/>
      <c r="J2496" s="21" t="s">
        <v>2369</v>
      </c>
      <c r="K2496" s="21" t="s">
        <v>2276</v>
      </c>
      <c r="L2496" s="21" t="s">
        <v>2362</v>
      </c>
      <c r="M2496" s="21" t="s">
        <v>2276</v>
      </c>
      <c r="N2496" s="21" t="s">
        <v>2276</v>
      </c>
      <c r="O2496" s="21" t="s">
        <v>2276</v>
      </c>
      <c r="P2496" s="21" t="s">
        <v>2276</v>
      </c>
      <c r="Q2496" s="21" t="s">
        <v>2276</v>
      </c>
      <c r="R2496" s="21" t="s">
        <v>2375</v>
      </c>
      <c r="S2496" s="21" t="s">
        <v>2276</v>
      </c>
      <c r="T2496" s="21" t="s">
        <v>2276</v>
      </c>
      <c r="U2496" s="21" t="s">
        <v>2276</v>
      </c>
      <c r="V2496" s="21" t="s">
        <v>2276</v>
      </c>
      <c r="W2496" s="21" t="s">
        <v>2276</v>
      </c>
      <c r="X2496" s="204" t="str">
        <f>'Reported burning'!Z2496</f>
        <v>March</v>
      </c>
      <c r="Y2496" s="204" t="str">
        <f>'Reported burning'!AA2496</f>
        <v>October</v>
      </c>
      <c r="Z2496" s="204" t="str">
        <f>'Reported burning'!AB2496</f>
        <v>ND</v>
      </c>
      <c r="AA2496" s="204"/>
      <c r="AB2496" s="4" t="s">
        <v>7858</v>
      </c>
    </row>
    <row r="2497" spans="1:28" ht="47.5" customHeight="1">
      <c r="A2497" s="156" t="str">
        <f>'Reported burning'!A2497</f>
        <v>290a</v>
      </c>
      <c r="B2497" s="156" t="str">
        <f>'Reported burning'!B2497</f>
        <v>290a.1</v>
      </c>
      <c r="C2497" s="156" t="str">
        <f>'Reported burning'!C2497</f>
        <v>All</v>
      </c>
      <c r="D2497" s="156" t="str">
        <f>'Reported burning'!D2497</f>
        <v>ND</v>
      </c>
      <c r="E2497" s="156" t="str">
        <f>'Reported burning'!E2497</f>
        <v>Forestry, Industrial</v>
      </c>
      <c r="F2497" s="156" t="str">
        <f>'Reported burning'!F2497</f>
        <v>Forest</v>
      </c>
      <c r="G2497" s="156" t="str">
        <f>'Reported burning'!G2497</f>
        <v>Forest</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21" t="s">
        <v>2276</v>
      </c>
      <c r="X2497" s="204" t="str">
        <f>'Reported burning'!Z2497</f>
        <v>ND</v>
      </c>
      <c r="Y2497" s="204" t="str">
        <f>'Reported burning'!AA2497</f>
        <v>ND</v>
      </c>
      <c r="Z2497" s="204" t="str">
        <f>'Reported burning'!AB2497</f>
        <v>ND</v>
      </c>
      <c r="AA2497" s="204"/>
      <c r="AB2497" s="204"/>
    </row>
    <row r="2498" spans="1:28" s="203" customFormat="1" ht="47.5" customHeight="1">
      <c r="A2498" s="156" t="str">
        <f>'Reported burning'!A2498</f>
        <v>290a</v>
      </c>
      <c r="B2498" s="156" t="str">
        <f>'Reported burning'!B2498</f>
        <v>290a.2</v>
      </c>
      <c r="C2498" s="156" t="str">
        <f>'Reported burning'!C2498</f>
        <v>All</v>
      </c>
      <c r="D2498" s="156" t="str">
        <f>'Reported burning'!D2498</f>
        <v>ND</v>
      </c>
      <c r="E2498" s="156" t="str">
        <f>'Reported burning'!E2498</f>
        <v>Forestry, Industrial</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2276</v>
      </c>
      <c r="X2498" s="204" t="str">
        <f>'Reported burning'!Z2498</f>
        <v>ND</v>
      </c>
      <c r="Y2498" s="204" t="str">
        <f>'Reported burning'!AA2498</f>
        <v>ND</v>
      </c>
      <c r="Z2498" s="204" t="str">
        <f>'Reported burning'!AB2498</f>
        <v>ND</v>
      </c>
      <c r="AA2498" s="204"/>
      <c r="AB2498" s="204"/>
    </row>
    <row r="2499" spans="1:28" ht="47.5" customHeight="1">
      <c r="A2499" s="156" t="str">
        <f>'Reported burning'!A2499</f>
        <v>290a</v>
      </c>
      <c r="B2499" s="156" t="str">
        <f>'Reported burning'!B2499</f>
        <v>290a.3</v>
      </c>
      <c r="C2499" s="156" t="str">
        <f>'Reported burning'!C2499</f>
        <v>All</v>
      </c>
      <c r="D2499" s="156" t="str">
        <f>'Reported burning'!D2499</f>
        <v>ND</v>
      </c>
      <c r="E2499" s="156" t="str">
        <f>'Reported burning'!E2499</f>
        <v>Forestry, Industrial</v>
      </c>
      <c r="F2499" s="156" t="str">
        <f>'Reported burning'!F2499</f>
        <v>Forest</v>
      </c>
      <c r="G2499" s="156" t="str">
        <f>'Reported burning'!G2499</f>
        <v>Forest</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ND</v>
      </c>
      <c r="Y2499" s="204" t="str">
        <f>'Reported burning'!AA2499</f>
        <v>ND</v>
      </c>
      <c r="Z2499" s="204" t="str">
        <f>'Reported burning'!AB2499</f>
        <v>ND</v>
      </c>
      <c r="AA2499" s="204"/>
      <c r="AB2499" s="204"/>
    </row>
    <row r="2500" spans="1:28" ht="47.5" customHeight="1">
      <c r="A2500" s="156" t="str">
        <f>'Reported burning'!A2500</f>
        <v>291a</v>
      </c>
      <c r="B2500" s="156" t="str">
        <f>'Reported burning'!B2500</f>
        <v>291a.1</v>
      </c>
      <c r="C2500" s="156" t="str">
        <f>'Reported burning'!C2500</f>
        <v>Human, deliberate</v>
      </c>
      <c r="D2500" s="156" t="str">
        <f>'Reported burning'!D2500</f>
        <v>Pyrome management</v>
      </c>
      <c r="E2500" s="156" t="str">
        <f>'Reported burning'!E2500</f>
        <v>Forestry, Industrial</v>
      </c>
      <c r="F2500" s="156" t="str">
        <f>'Reported burning'!F2500</f>
        <v>Forest</v>
      </c>
      <c r="G2500" s="156" t="str">
        <f>'Reported burning'!G2500</f>
        <v>Forest</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June</v>
      </c>
      <c r="Y2500" s="204" t="str">
        <f>'Reported burning'!AA2500</f>
        <v>August</v>
      </c>
      <c r="Z2500" s="204" t="str">
        <f>'Reported burning'!AB2500</f>
        <v>Seasonal, Consistent</v>
      </c>
      <c r="AA2500" s="204"/>
      <c r="AB2500" s="204"/>
    </row>
    <row r="2501" spans="1:28" ht="47.5" customHeight="1">
      <c r="A2501" s="156" t="str">
        <f>'Reported burning'!A2501</f>
        <v>292a</v>
      </c>
      <c r="B2501" s="156" t="str">
        <f>'Reported burning'!B2501</f>
        <v>292a.1</v>
      </c>
      <c r="C2501" s="156" t="str">
        <f>'Reported burning'!C2501</f>
        <v>Human, deliberate</v>
      </c>
      <c r="D2501" s="156" t="str">
        <f>'Reported burning'!D2501</f>
        <v>Pyrome management</v>
      </c>
      <c r="E2501" s="156" t="str">
        <f>'Reported burning'!E2501</f>
        <v>Forestry, Industrial</v>
      </c>
      <c r="F2501" s="156" t="str">
        <f>'Reported burning'!F2501</f>
        <v>Forest</v>
      </c>
      <c r="G2501" s="156" t="str">
        <f>'Reported burning'!G2501</f>
        <v>Forest</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292a</v>
      </c>
      <c r="B2502" s="156" t="str">
        <f>'Reported burning'!B2502</f>
        <v>292a.2</v>
      </c>
      <c r="C2502" s="156" t="str">
        <f>'Reported burning'!C2502</f>
        <v>Lightning</v>
      </c>
      <c r="D2502" s="156" t="str">
        <f>'Reported burning'!D2502</f>
        <v>ND</v>
      </c>
      <c r="E2502" s="156" t="str">
        <f>'Reported burning'!E2502</f>
        <v>Forestry, Industrial</v>
      </c>
      <c r="F2502" s="156" t="str">
        <f>'Reported burning'!F2502</f>
        <v>Forest</v>
      </c>
      <c r="G2502" s="156" t="str">
        <f>'Reported burning'!G2502</f>
        <v>Forest</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294a</v>
      </c>
      <c r="B2503" s="156" t="str">
        <f>'Reported burning'!B2503</f>
        <v>294a.1</v>
      </c>
      <c r="C2503" s="156" t="str">
        <f>'Reported burning'!C2503</f>
        <v>Human, deliberate</v>
      </c>
      <c r="D2503" s="156" t="str">
        <f>'Reported burning'!D2503</f>
        <v>Pasture renewal</v>
      </c>
      <c r="E2503" s="156" t="str">
        <f>'Reported burning'!E2503</f>
        <v>Cattle, Extensive</v>
      </c>
      <c r="F2503" s="156" t="str">
        <f>'Reported burning'!F2503</f>
        <v>Pasture</v>
      </c>
      <c r="G2503" s="156" t="str">
        <f>'Reported burning'!G2503</f>
        <v>Pasture</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2389</v>
      </c>
      <c r="U2503" s="21" t="s">
        <v>2276</v>
      </c>
      <c r="V2503" s="21" t="s">
        <v>2276</v>
      </c>
      <c r="W2503" s="21" t="s">
        <v>2402</v>
      </c>
      <c r="X2503" s="204" t="s">
        <v>405</v>
      </c>
      <c r="Y2503" s="204" t="s">
        <v>425</v>
      </c>
      <c r="Z2503" s="4" t="s">
        <v>64</v>
      </c>
      <c r="AA2503" s="204"/>
      <c r="AB2503" s="4" t="s">
        <v>7004</v>
      </c>
    </row>
    <row r="2504" spans="1:28" ht="47.5" customHeight="1">
      <c r="A2504" s="156" t="str">
        <f>'Reported burning'!A2504</f>
        <v>294a</v>
      </c>
      <c r="B2504" s="156" t="str">
        <f>'Reported burning'!B2504</f>
        <v>294a.2</v>
      </c>
      <c r="C2504" s="156" t="str">
        <f>'Reported burning'!C2504</f>
        <v>Human, deliberate</v>
      </c>
      <c r="D2504" s="156" t="str">
        <f>'Reported burning'!D2504</f>
        <v>Pasture renewal</v>
      </c>
      <c r="E2504" s="156" t="str">
        <f>'Reported burning'!E2504</f>
        <v>Cattle, Intensive</v>
      </c>
      <c r="F2504" s="156" t="str">
        <f>'Reported burning'!F2504</f>
        <v>Pasture</v>
      </c>
      <c r="G2504" s="156" t="str">
        <f>'Reported burning'!G2504</f>
        <v>Pasture</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2527</v>
      </c>
      <c r="U2504" s="21" t="s">
        <v>2276</v>
      </c>
      <c r="V2504" s="21" t="s">
        <v>2276</v>
      </c>
      <c r="W2504" s="21" t="s">
        <v>2276</v>
      </c>
      <c r="X2504" s="204" t="s">
        <v>405</v>
      </c>
      <c r="Y2504" s="204" t="s">
        <v>425</v>
      </c>
      <c r="Z2504" s="4" t="s">
        <v>64</v>
      </c>
      <c r="AA2504" s="204"/>
      <c r="AB2504" s="4"/>
    </row>
    <row r="2505" spans="1:28" ht="123.5" customHeight="1">
      <c r="A2505" s="156" t="str">
        <f>'Reported burning'!A2505</f>
        <v>294a</v>
      </c>
      <c r="B2505" s="156" t="str">
        <f>'Reported burning'!B2505</f>
        <v>294a.3</v>
      </c>
      <c r="C2505" s="156" t="str">
        <f>'Reported burning'!C2505</f>
        <v>Human, escaped</v>
      </c>
      <c r="D2505" s="156" t="str">
        <f>'Reported burning'!D2505</f>
        <v>Pasture renewal</v>
      </c>
      <c r="E2505" s="156" t="str">
        <f>'Reported burning'!E2505</f>
        <v>Cattle, Extensive</v>
      </c>
      <c r="F2505" s="156" t="str">
        <f>'Reported burning'!F2505</f>
        <v>Pasture</v>
      </c>
      <c r="G2505" s="156" t="str">
        <f>'Reported burning'!G2505</f>
        <v>Secondary vegetation</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2527</v>
      </c>
      <c r="U2505" s="21" t="s">
        <v>2276</v>
      </c>
      <c r="V2505" s="21" t="s">
        <v>2276</v>
      </c>
      <c r="W2505" s="21" t="s">
        <v>2403</v>
      </c>
      <c r="X2505" s="204" t="s">
        <v>405</v>
      </c>
      <c r="Y2505" s="204" t="s">
        <v>425</v>
      </c>
      <c r="Z2505" s="4" t="s">
        <v>64</v>
      </c>
      <c r="AA2505" s="4" t="s">
        <v>7006</v>
      </c>
      <c r="AB2505" s="4" t="s">
        <v>7005</v>
      </c>
    </row>
    <row r="2506" spans="1:28" ht="33" customHeight="1">
      <c r="A2506" s="156" t="str">
        <f>'Reported burning'!A2506</f>
        <v>294a</v>
      </c>
      <c r="B2506" s="156" t="str">
        <f>'Reported burning'!B2506</f>
        <v>294a.4</v>
      </c>
      <c r="C2506" s="156" t="str">
        <f>'Reported burning'!C2506</f>
        <v>Human, escaped</v>
      </c>
      <c r="D2506" s="156" t="str">
        <f>'Reported burning'!D2506</f>
        <v>Pasture renewal</v>
      </c>
      <c r="E2506" s="156" t="str">
        <f>'Reported burning'!E2506</f>
        <v>Cattle, Intensive</v>
      </c>
      <c r="F2506" s="156" t="str">
        <f>'Reported burning'!F2506</f>
        <v>Pasture</v>
      </c>
      <c r="G2506" s="156" t="str">
        <f>'Reported burning'!G2506</f>
        <v>Secondary vegetation</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2527</v>
      </c>
      <c r="U2506" s="21" t="s">
        <v>2276</v>
      </c>
      <c r="V2506" s="21" t="s">
        <v>2276</v>
      </c>
      <c r="W2506" s="21" t="s">
        <v>2276</v>
      </c>
      <c r="X2506" s="204" t="s">
        <v>405</v>
      </c>
      <c r="Y2506" s="204" t="s">
        <v>425</v>
      </c>
      <c r="Z2506" s="4" t="s">
        <v>64</v>
      </c>
      <c r="AA2506" s="204"/>
      <c r="AB2506" s="204"/>
    </row>
    <row r="2507" spans="1:28" ht="78.5" customHeight="1">
      <c r="A2507" s="156" t="str">
        <f>'Reported burning'!A2507</f>
        <v>295a</v>
      </c>
      <c r="B2507" s="156" t="str">
        <f>'Reported burning'!B2507</f>
        <v>295a.1</v>
      </c>
      <c r="C2507" s="156" t="str">
        <f>'Reported burning'!C2507</f>
        <v>Human, deliberate</v>
      </c>
      <c r="D2507" s="156" t="str">
        <f>'Reported burning'!D2507</f>
        <v>Land clearance</v>
      </c>
      <c r="E2507" s="156" t="str">
        <f>'Reported burning'!E2507</f>
        <v>Cropping, Intensive</v>
      </c>
      <c r="F2507" s="156" t="str">
        <f>'Reported burning'!F2507</f>
        <v>Shrubland (Mixed forest &amp; grassland)</v>
      </c>
      <c r="G2507" s="156" t="str">
        <f>'Reported burning'!G2507</f>
        <v>Shrubland (Mixed forest &amp; grassland)</v>
      </c>
      <c r="H2507" s="156" t="str">
        <f>'Reported burning'!H2507</f>
        <v>Presence</v>
      </c>
      <c r="I2507" s="5"/>
      <c r="J2507" s="21"/>
      <c r="K2507" s="103"/>
      <c r="L2507" s="177"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1" t="s">
        <v>2276</v>
      </c>
      <c r="Y2507" s="21" t="s">
        <v>2276</v>
      </c>
      <c r="Z2507" s="21" t="s">
        <v>2276</v>
      </c>
      <c r="AA2507" s="204"/>
      <c r="AB2507" s="204"/>
    </row>
    <row r="2508" spans="1:28" ht="46.5" customHeight="1">
      <c r="A2508" s="156" t="str">
        <f>'Reported burning'!A2508</f>
        <v>295a</v>
      </c>
      <c r="B2508" s="156" t="str">
        <f>'Reported burning'!B2508</f>
        <v>295a.2</v>
      </c>
      <c r="C2508" s="156" t="str">
        <f>'Reported burning'!C2508</f>
        <v>Human, deliberate</v>
      </c>
      <c r="D2508" s="156" t="str">
        <f>'Reported burning'!D2508</f>
        <v>Pasture renewal</v>
      </c>
      <c r="E2508" s="156" t="str">
        <f>'Reported burning'!E2508</f>
        <v>Cattle, Extensive</v>
      </c>
      <c r="F2508" s="156" t="str">
        <f>'Reported burning'!F2508</f>
        <v>Pasture</v>
      </c>
      <c r="G2508" s="156" t="str">
        <f>'Reported burning'!G2508</f>
        <v>Pasture</v>
      </c>
      <c r="H2508" s="156" t="str">
        <f>'Reported burning'!H2508</f>
        <v>Presence</v>
      </c>
      <c r="I2508" s="5"/>
      <c r="J2508" s="21"/>
      <c r="K2508" s="103"/>
      <c r="L2508" s="177" t="s">
        <v>2276</v>
      </c>
      <c r="M2508" s="21" t="s">
        <v>2276</v>
      </c>
      <c r="N2508" s="21" t="s">
        <v>2276</v>
      </c>
      <c r="O2508" s="21" t="s">
        <v>2276</v>
      </c>
      <c r="P2508" s="21" t="s">
        <v>2276</v>
      </c>
      <c r="Q2508" s="21" t="s">
        <v>2276</v>
      </c>
      <c r="R2508" s="21" t="s">
        <v>2276</v>
      </c>
      <c r="S2508" s="21" t="s">
        <v>2276</v>
      </c>
      <c r="T2508" s="14" t="s">
        <v>2376</v>
      </c>
      <c r="U2508" s="21" t="s">
        <v>2276</v>
      </c>
      <c r="V2508" s="21" t="s">
        <v>2276</v>
      </c>
      <c r="W2508" s="21" t="s">
        <v>2276</v>
      </c>
      <c r="X2508" s="21" t="s">
        <v>2276</v>
      </c>
      <c r="Y2508" s="21" t="s">
        <v>2276</v>
      </c>
      <c r="Z2508" s="21" t="s">
        <v>2276</v>
      </c>
      <c r="AA2508" s="204"/>
      <c r="AB2508" s="204"/>
    </row>
    <row r="2509" spans="1:28" ht="40" customHeight="1">
      <c r="A2509" s="156" t="str">
        <f>'Reported burning'!A2509</f>
        <v>295a</v>
      </c>
      <c r="B2509" s="156" t="str">
        <f>'Reported burning'!B2509</f>
        <v>295a.2</v>
      </c>
      <c r="C2509" s="156" t="str">
        <f>'Reported burning'!C2509</f>
        <v>Human, escaped</v>
      </c>
      <c r="D2509" s="156" t="str">
        <f>'Reported burning'!D2509</f>
        <v>Pasture renewal</v>
      </c>
      <c r="E2509" s="156" t="str">
        <f>'Reported burning'!E2509</f>
        <v>Cattle, Intensive</v>
      </c>
      <c r="F2509" s="156" t="str">
        <f>'Reported burning'!F2509</f>
        <v>Pasture</v>
      </c>
      <c r="G2509" s="156" t="str">
        <f>'Reported burning'!G2509</f>
        <v>Forest</v>
      </c>
      <c r="H2509" s="156" t="str">
        <f>'Reported burning'!H2509</f>
        <v>Presence</v>
      </c>
      <c r="I2509" s="5"/>
      <c r="J2509" s="21"/>
      <c r="K2509" s="103"/>
      <c r="L2509" s="177"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1" t="s">
        <v>2276</v>
      </c>
      <c r="Y2509" s="21" t="s">
        <v>2276</v>
      </c>
      <c r="Z2509" s="21" t="s">
        <v>2276</v>
      </c>
      <c r="AA2509" s="204"/>
      <c r="AB2509" s="204"/>
    </row>
    <row r="2510" spans="1:28" ht="40" customHeight="1">
      <c r="A2510" s="156" t="str">
        <f>'Reported burning'!A2510</f>
        <v>296a</v>
      </c>
      <c r="B2510" s="156" t="str">
        <f>'Reported burning'!B2510</f>
        <v>296a.1</v>
      </c>
      <c r="C2510" s="156" t="str">
        <f>'Reported burning'!C2510</f>
        <v>Human, deliberate</v>
      </c>
      <c r="D2510" s="156" t="str">
        <f>'Reported burning'!D2510</f>
        <v>Forest clearance</v>
      </c>
      <c r="E2510" s="156" t="str">
        <f>'Reported burning'!E2510</f>
        <v>Cattle, Extensive</v>
      </c>
      <c r="F2510" s="156" t="str">
        <f>'Reported burning'!F2510</f>
        <v>Forest</v>
      </c>
      <c r="G2510" s="156" t="str">
        <f>'Reported burning'!G2510</f>
        <v>Forest</v>
      </c>
      <c r="H2510" s="156" t="str">
        <f>'Reported burning'!H2510</f>
        <v>Presence</v>
      </c>
      <c r="I2510" s="5"/>
      <c r="J2510" s="21"/>
      <c r="K2510" s="103"/>
      <c r="L2510" s="177" t="s">
        <v>2276</v>
      </c>
      <c r="M2510" s="21" t="s">
        <v>2381</v>
      </c>
      <c r="N2510" s="21" t="s">
        <v>2276</v>
      </c>
      <c r="O2510" s="21" t="s">
        <v>2276</v>
      </c>
      <c r="P2510" s="21" t="s">
        <v>2276</v>
      </c>
      <c r="Q2510" s="21" t="s">
        <v>2276</v>
      </c>
      <c r="R2510" s="21" t="s">
        <v>2276</v>
      </c>
      <c r="S2510" s="21" t="s">
        <v>2276</v>
      </c>
      <c r="T2510" s="21" t="s">
        <v>2276</v>
      </c>
      <c r="U2510" s="21" t="s">
        <v>2276</v>
      </c>
      <c r="V2510" s="21" t="s">
        <v>2276</v>
      </c>
      <c r="W2510" s="21" t="s">
        <v>2276</v>
      </c>
      <c r="X2510" s="21" t="s">
        <v>2276</v>
      </c>
      <c r="Y2510" s="21" t="s">
        <v>2276</v>
      </c>
      <c r="Z2510" s="21" t="s">
        <v>2276</v>
      </c>
      <c r="AA2510" s="4" t="s">
        <v>7022</v>
      </c>
      <c r="AB2510" s="4" t="s">
        <v>7027</v>
      </c>
    </row>
    <row r="2511" spans="1:28" ht="40" customHeight="1">
      <c r="A2511" s="156" t="str">
        <f>'Reported burning'!A2511</f>
        <v>296a</v>
      </c>
      <c r="B2511" s="156" t="str">
        <f>'Reported burning'!B2511</f>
        <v>296a.2</v>
      </c>
      <c r="C2511" s="156" t="str">
        <f>'Reported burning'!C2511</f>
        <v>Human, deliberate</v>
      </c>
      <c r="D2511" s="156" t="str">
        <f>'Reported burning'!D2511</f>
        <v>Forest clearance</v>
      </c>
      <c r="E2511" s="156" t="str">
        <f>'Reported burning'!E2511</f>
        <v>Cropping, Intensive</v>
      </c>
      <c r="F2511" s="156" t="str">
        <f>'Reported burning'!F2511</f>
        <v>Forest</v>
      </c>
      <c r="G2511" s="156" t="str">
        <f>'Reported burning'!G2511</f>
        <v>Forest</v>
      </c>
      <c r="H2511" s="156" t="str">
        <f>'Reported burning'!H2511</f>
        <v>Presence</v>
      </c>
      <c r="I2511" s="5"/>
      <c r="J2511" s="21"/>
      <c r="K2511" s="103"/>
      <c r="L2511" s="177" t="s">
        <v>2276</v>
      </c>
      <c r="M2511" s="177" t="s">
        <v>2276</v>
      </c>
      <c r="N2511" s="21" t="s">
        <v>2276</v>
      </c>
      <c r="O2511" s="21" t="s">
        <v>2276</v>
      </c>
      <c r="P2511" s="21" t="s">
        <v>2377</v>
      </c>
      <c r="Q2511" s="21" t="s">
        <v>2276</v>
      </c>
      <c r="R2511" s="21" t="s">
        <v>2376</v>
      </c>
      <c r="S2511" s="21" t="s">
        <v>2276</v>
      </c>
      <c r="T2511" s="21" t="s">
        <v>2276</v>
      </c>
      <c r="U2511" s="21" t="s">
        <v>2276</v>
      </c>
      <c r="V2511" s="21" t="s">
        <v>2276</v>
      </c>
      <c r="W2511" s="21" t="s">
        <v>2276</v>
      </c>
      <c r="X2511" s="21" t="s">
        <v>2276</v>
      </c>
      <c r="Y2511" s="21" t="s">
        <v>2276</v>
      </c>
      <c r="Z2511" s="21" t="s">
        <v>2276</v>
      </c>
      <c r="AA2511" s="4" t="s">
        <v>7022</v>
      </c>
      <c r="AB2511" s="4" t="s">
        <v>7021</v>
      </c>
    </row>
    <row r="2512" spans="1:28" ht="61" customHeight="1">
      <c r="A2512" s="156" t="str">
        <f>'Reported burning'!A2512</f>
        <v>297a</v>
      </c>
      <c r="B2512" s="156" t="str">
        <f>'Reported burning'!B2512</f>
        <v>297a.1</v>
      </c>
      <c r="C2512" s="156" t="str">
        <f>'Reported burning'!C2512</f>
        <v>Human, deliberate</v>
      </c>
      <c r="D2512" s="156" t="str">
        <f>'Reported burning'!D2512</f>
        <v>Conservation</v>
      </c>
      <c r="E2512" s="156" t="str">
        <f>'Reported burning'!E2512</f>
        <v>Biodiversity conservation</v>
      </c>
      <c r="F2512" s="156" t="str">
        <f>'Reported burning'!F2512</f>
        <v>Grassland</v>
      </c>
      <c r="G2512" s="156" t="str">
        <f>'Reported burning'!G2512</f>
        <v>Grassland</v>
      </c>
      <c r="H2512" s="156" t="str">
        <f>'Reported burning'!H2512</f>
        <v>Presence</v>
      </c>
      <c r="I2512" s="5"/>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c r="AB2512" s="204"/>
    </row>
    <row r="2513" spans="1:28" ht="61" customHeight="1">
      <c r="A2513" s="156" t="str">
        <f>'Reported burning'!A2513</f>
        <v>297a</v>
      </c>
      <c r="B2513" s="156" t="str">
        <f>'Reported burning'!B2513</f>
        <v>297a.2</v>
      </c>
      <c r="C2513" s="156" t="str">
        <f>'Reported burning'!C2513</f>
        <v>Human, deliberate</v>
      </c>
      <c r="D2513" s="156" t="str">
        <f>'Reported burning'!D2513</f>
        <v>Conservation</v>
      </c>
      <c r="E2513" s="156" t="str">
        <f>'Reported burning'!E2513</f>
        <v>Cattle, Intensive</v>
      </c>
      <c r="F2513" s="156" t="str">
        <f>'Reported burning'!F2513</f>
        <v>Grassland</v>
      </c>
      <c r="G2513" s="156" t="str">
        <f>'Reported burning'!G2513</f>
        <v>Grassland</v>
      </c>
      <c r="H2513" s="156" t="str">
        <f>'Reported burning'!H2513</f>
        <v>Absence</v>
      </c>
      <c r="I2513" s="5"/>
      <c r="J2513" s="21">
        <v>0</v>
      </c>
      <c r="K2513" s="21">
        <v>0</v>
      </c>
      <c r="L2513" s="21">
        <v>0</v>
      </c>
      <c r="M2513" s="21">
        <v>0</v>
      </c>
      <c r="N2513" s="21">
        <v>0</v>
      </c>
      <c r="O2513" s="21">
        <v>0</v>
      </c>
      <c r="P2513" s="21">
        <v>0</v>
      </c>
      <c r="Q2513" s="21">
        <v>0</v>
      </c>
      <c r="R2513" s="21">
        <v>0</v>
      </c>
      <c r="S2513" s="21">
        <v>0</v>
      </c>
      <c r="T2513" s="21">
        <v>0</v>
      </c>
      <c r="U2513" s="21">
        <v>0</v>
      </c>
      <c r="V2513" s="21">
        <v>0</v>
      </c>
      <c r="W2513" s="204" t="s">
        <v>2276</v>
      </c>
      <c r="X2513" s="204" t="s">
        <v>2276</v>
      </c>
      <c r="Y2513" s="204" t="s">
        <v>2276</v>
      </c>
      <c r="Z2513" s="204" t="s">
        <v>2276</v>
      </c>
      <c r="AA2513" s="4" t="s">
        <v>7032</v>
      </c>
      <c r="AB2513" s="204"/>
    </row>
    <row r="2514" spans="1:28" ht="30.5" customHeight="1">
      <c r="A2514" s="156" t="str">
        <f>'Reported burning'!A2514</f>
        <v>297a</v>
      </c>
      <c r="B2514" s="156" t="str">
        <f>'Reported burning'!B2514</f>
        <v>297a.3</v>
      </c>
      <c r="C2514" s="156" t="str">
        <f>'Reported burning'!C2514</f>
        <v>Human, deliberate</v>
      </c>
      <c r="D2514" s="156" t="str">
        <f>'Reported burning'!D2514</f>
        <v>Pasture renewal</v>
      </c>
      <c r="E2514" s="156" t="str">
        <f>'Reported burning'!E2514</f>
        <v>Cattle, Intensive</v>
      </c>
      <c r="F2514" s="156" t="str">
        <f>'Reported burning'!F2514</f>
        <v>Grassland</v>
      </c>
      <c r="G2514" s="156" t="str">
        <f>'Reported burning'!G2514</f>
        <v>Grassland</v>
      </c>
      <c r="H2514" s="156" t="str">
        <f>'Reported burning'!H2514</f>
        <v>Absence</v>
      </c>
      <c r="I2514" s="5"/>
      <c r="J2514" s="21">
        <v>0</v>
      </c>
      <c r="K2514" s="21">
        <v>0</v>
      </c>
      <c r="L2514" s="21">
        <v>0</v>
      </c>
      <c r="M2514" s="21">
        <v>0</v>
      </c>
      <c r="N2514" s="21">
        <v>0</v>
      </c>
      <c r="O2514" s="21">
        <v>0</v>
      </c>
      <c r="P2514" s="21">
        <v>0</v>
      </c>
      <c r="Q2514" s="21">
        <v>0</v>
      </c>
      <c r="R2514" s="21">
        <v>0</v>
      </c>
      <c r="S2514" s="21">
        <v>0</v>
      </c>
      <c r="T2514" s="21">
        <v>0</v>
      </c>
      <c r="U2514" s="21">
        <v>0</v>
      </c>
      <c r="V2514" s="21">
        <v>0</v>
      </c>
      <c r="W2514" s="204" t="s">
        <v>2276</v>
      </c>
      <c r="X2514" s="204" t="s">
        <v>2276</v>
      </c>
      <c r="Y2514" s="204" t="s">
        <v>2276</v>
      </c>
      <c r="Z2514" s="204" t="s">
        <v>2276</v>
      </c>
      <c r="AA2514" s="4" t="s">
        <v>7032</v>
      </c>
      <c r="AB2514" s="204"/>
    </row>
    <row r="2515" spans="1:28" ht="78.5" customHeight="1">
      <c r="A2515" s="152" t="str">
        <f>'Reported burning'!A2515</f>
        <v>298a</v>
      </c>
      <c r="B2515" s="152" t="str">
        <f>'Reported burning'!B2515</f>
        <v>298a.1</v>
      </c>
      <c r="C2515" s="152" t="str">
        <f>'Reported burning'!C2515</f>
        <v>Human, deliberate</v>
      </c>
      <c r="D2515" s="152" t="str">
        <f>'Reported burning'!D2515</f>
        <v>Pasture renewal</v>
      </c>
      <c r="E2515" s="152" t="str">
        <f>'Reported burning'!E2515</f>
        <v>Cattle, Extensive</v>
      </c>
      <c r="F2515" s="152" t="str">
        <f>'Reported burning'!F2515</f>
        <v>Grassland</v>
      </c>
      <c r="G2515" s="152" t="str">
        <f>'Reported burning'!G2515</f>
        <v>Grassland</v>
      </c>
      <c r="H2515" s="152" t="str">
        <f>'Reported burning'!H2515</f>
        <v>Presence</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04" t="s">
        <v>2276</v>
      </c>
      <c r="W2515" s="204" t="s">
        <v>2276</v>
      </c>
      <c r="X2515" s="204" t="s">
        <v>404</v>
      </c>
      <c r="Y2515" s="204" t="s">
        <v>405</v>
      </c>
      <c r="Z2515" s="204" t="s">
        <v>2276</v>
      </c>
      <c r="AA2515" s="204" t="s">
        <v>7037</v>
      </c>
      <c r="AB2515" s="4" t="s">
        <v>7038</v>
      </c>
    </row>
    <row r="2516" spans="1:28" ht="78.5" customHeight="1">
      <c r="A2516" s="152" t="str">
        <f>'Reported burning'!A2516</f>
        <v>299a</v>
      </c>
      <c r="B2516" s="152" t="str">
        <f>'Reported burning'!B2516</f>
        <v>299a.1</v>
      </c>
      <c r="C2516" s="152" t="str">
        <f>'Reported burning'!C2516</f>
        <v>Human, deliberate</v>
      </c>
      <c r="D2516" s="152" t="str">
        <f>'Reported burning'!D2516</f>
        <v>Rangeland management</v>
      </c>
      <c r="E2516" s="152" t="str">
        <f>'Reported burning'!E2516</f>
        <v>Cattle, Extensive</v>
      </c>
      <c r="F2516" s="152" t="str">
        <f>'Reported burning'!F2516</f>
        <v>Shrubland (Mixed forest &amp; grassland)</v>
      </c>
      <c r="G2516" s="152" t="str">
        <f>'Reported burning'!G2516</f>
        <v>Shrubland (Mixed forest &amp; grassland)</v>
      </c>
      <c r="H2516" s="152" t="str">
        <f>'Reported burning'!H2516</f>
        <v>Presence</v>
      </c>
      <c r="I2516" s="204"/>
      <c r="J2516" s="204" t="s">
        <v>2276</v>
      </c>
      <c r="K2516" s="204" t="s">
        <v>2276</v>
      </c>
      <c r="L2516" s="204" t="s">
        <v>2276</v>
      </c>
      <c r="M2516" s="204" t="s">
        <v>2276</v>
      </c>
      <c r="N2516" s="204" t="s">
        <v>2276</v>
      </c>
      <c r="O2516" s="204" t="s">
        <v>2276</v>
      </c>
      <c r="P2516" s="204" t="s">
        <v>2276</v>
      </c>
      <c r="Q2516" s="204" t="s">
        <v>2276</v>
      </c>
      <c r="R2516" s="204" t="s">
        <v>2276</v>
      </c>
      <c r="S2516" s="204" t="s">
        <v>2276</v>
      </c>
      <c r="T2516" s="204" t="s">
        <v>2276</v>
      </c>
      <c r="U2516" s="204" t="s">
        <v>2276</v>
      </c>
      <c r="V2516" s="204" t="s">
        <v>2276</v>
      </c>
      <c r="W2516" s="21" t="s">
        <v>2401</v>
      </c>
      <c r="X2516" s="204" t="s">
        <v>2276</v>
      </c>
      <c r="Y2516" s="204" t="s">
        <v>2276</v>
      </c>
      <c r="Z2516" s="204" t="s">
        <v>2276</v>
      </c>
      <c r="AA2516" s="204"/>
      <c r="AB2516" s="4" t="s">
        <v>7044</v>
      </c>
    </row>
    <row r="2517" spans="1:28" ht="31" customHeight="1">
      <c r="A2517" s="152" t="str">
        <f>'Reported burning'!A2517</f>
        <v>300a</v>
      </c>
      <c r="B2517" s="152" t="str">
        <f>'Reported burning'!B2517</f>
        <v>300a.1</v>
      </c>
      <c r="C2517" s="152" t="str">
        <f>'Reported burning'!C2517</f>
        <v>All</v>
      </c>
      <c r="D2517" s="152" t="str">
        <f>'Reported burning'!D2517</f>
        <v>All</v>
      </c>
      <c r="E2517" s="152" t="str">
        <f>'Reported burning'!E2517</f>
        <v>All</v>
      </c>
      <c r="F2517" s="152" t="str">
        <f>'Reported burning'!F2517</f>
        <v>ND</v>
      </c>
      <c r="G2517" s="152" t="str">
        <f>'Reported burning'!G2517</f>
        <v>Shrubland (Mixed forest &amp; grassland)</v>
      </c>
      <c r="H2517" s="152" t="str">
        <f>'Reported burning'!H2517</f>
        <v>Presence</v>
      </c>
      <c r="I2517" s="20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2390</v>
      </c>
      <c r="W2517" s="21" t="s">
        <v>2375</v>
      </c>
      <c r="X2517" s="204" t="s">
        <v>38</v>
      </c>
      <c r="Y2517" s="204" t="s">
        <v>425</v>
      </c>
      <c r="Z2517" s="204" t="s">
        <v>76</v>
      </c>
      <c r="AA2517" s="4" t="s">
        <v>7053</v>
      </c>
      <c r="AB2517" s="19" t="s">
        <v>7056</v>
      </c>
    </row>
    <row r="2518" spans="1:28" ht="118" customHeight="1">
      <c r="A2518" s="152" t="str">
        <f>'Reported burning'!A2518</f>
        <v>300b</v>
      </c>
      <c r="B2518" s="152" t="str">
        <f>'Reported burning'!B2518</f>
        <v>300a.2</v>
      </c>
      <c r="C2518" s="152" t="str">
        <f>'Reported burning'!C2518</f>
        <v>Human, deliberate</v>
      </c>
      <c r="D2518" s="152" t="str">
        <f>'Reported burning'!D2518</f>
        <v>Pasture renewal</v>
      </c>
      <c r="E2518" s="152" t="str">
        <f>'Reported burning'!E2518</f>
        <v>Cattle, Extensive</v>
      </c>
      <c r="F2518" s="152" t="str">
        <f>'Reported burning'!F2518</f>
        <v>Pasture</v>
      </c>
      <c r="G2518" s="152" t="str">
        <f>'Reported burning'!G2518</f>
        <v>Pasture</v>
      </c>
      <c r="H2518" s="152" t="str">
        <f>'Reported burning'!H2518</f>
        <v>Presence</v>
      </c>
      <c r="I2518" s="20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2401</v>
      </c>
      <c r="X2518" s="204" t="s">
        <v>38</v>
      </c>
      <c r="Y2518" s="204" t="s">
        <v>425</v>
      </c>
      <c r="Z2518" s="204" t="s">
        <v>2276</v>
      </c>
      <c r="AA2518" s="4" t="s">
        <v>7054</v>
      </c>
      <c r="AB2518" s="4" t="s">
        <v>7057</v>
      </c>
    </row>
    <row r="2519" spans="1:28" ht="83" customHeight="1">
      <c r="A2519" s="152" t="str">
        <f>'Reported burning'!A2519</f>
        <v>300b</v>
      </c>
      <c r="B2519" s="152" t="str">
        <f>'Reported burning'!B2519</f>
        <v>300a.3</v>
      </c>
      <c r="C2519" s="152" t="str">
        <f>'Reported burning'!C2519</f>
        <v>Human, deliberate</v>
      </c>
      <c r="D2519" s="152" t="str">
        <f>'Reported burning'!D2519</f>
        <v>Pyrome management</v>
      </c>
      <c r="E2519" s="152" t="str">
        <f>'Reported burning'!E2519</f>
        <v>Cattle, Extensive</v>
      </c>
      <c r="F2519" s="152" t="str">
        <f>'Reported burning'!F2519</f>
        <v>Shrubland (Mixed forest &amp; grassland)</v>
      </c>
      <c r="G2519" s="152" t="str">
        <f>'Reported burning'!G2519</f>
        <v>Shrubland (Mixed forest &amp; grassland)</v>
      </c>
      <c r="H2519" s="152" t="str">
        <f>'Reported burning'!H2519</f>
        <v>Presence</v>
      </c>
      <c r="I2519" s="20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04" t="s">
        <v>38</v>
      </c>
      <c r="Y2519" s="204" t="s">
        <v>86</v>
      </c>
      <c r="Z2519" s="204" t="s">
        <v>2655</v>
      </c>
      <c r="AA2519" s="4" t="s">
        <v>7055</v>
      </c>
      <c r="AB2519" s="204"/>
    </row>
    <row r="2520" spans="1:28" ht="51" customHeight="1">
      <c r="A2520" s="156" t="str">
        <f>'Reported burning'!A2520</f>
        <v>301a</v>
      </c>
      <c r="B2520" s="156" t="str">
        <f>'Reported burning'!B2520</f>
        <v>301a.1</v>
      </c>
      <c r="C2520" s="156" t="str">
        <f>'Reported burning'!C2520</f>
        <v>Human, deliberate</v>
      </c>
      <c r="D2520" s="156" t="str">
        <f>'Reported burning'!D2520</f>
        <v>Pasture renewal</v>
      </c>
      <c r="E2520" s="156" t="str">
        <f>'Reported burning'!E2520</f>
        <v>Cattle, Extensive</v>
      </c>
      <c r="F2520" s="156" t="str">
        <f>'Reported burning'!F2520</f>
        <v>Grassland</v>
      </c>
      <c r="G2520" s="156" t="str">
        <f>'Reported burning'!G2520</f>
        <v>Grassland</v>
      </c>
      <c r="H2520" s="156" t="str">
        <f>'Reported burning'!H2520</f>
        <v>Presence</v>
      </c>
      <c r="I2520" s="5"/>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4"/>
      <c r="AB2520" s="204"/>
    </row>
    <row r="2521" spans="1:28" ht="51" customHeight="1">
      <c r="A2521" s="156" t="str">
        <f>'Reported burning'!A2521</f>
        <v>301a</v>
      </c>
      <c r="B2521" s="156" t="str">
        <f>'Reported burning'!B2521</f>
        <v>301a.2</v>
      </c>
      <c r="C2521" s="156" t="str">
        <f>'Reported burning'!C2521</f>
        <v>Human, escaped</v>
      </c>
      <c r="D2521" s="156" t="str">
        <f>'Reported burning'!D2521</f>
        <v>Pasture renewal</v>
      </c>
      <c r="E2521" s="156" t="str">
        <f>'Reported burning'!E2521</f>
        <v>Cattle, Extensive</v>
      </c>
      <c r="F2521" s="156" t="str">
        <f>'Reported burning'!F2521</f>
        <v>Grassland</v>
      </c>
      <c r="G2521" s="156" t="str">
        <f>'Reported burning'!G2521</f>
        <v>ND</v>
      </c>
      <c r="H2521" s="156" t="str">
        <f>'Reported burning'!H2521</f>
        <v>Presence</v>
      </c>
      <c r="I2521" s="5"/>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c r="AB2521" s="204"/>
    </row>
    <row r="2522" spans="1:28" ht="59" customHeight="1">
      <c r="A2522" s="156" t="str">
        <f>'Reported burning'!A2522</f>
        <v>301a</v>
      </c>
      <c r="B2522" s="156" t="str">
        <f>'Reported burning'!B2522</f>
        <v>301a.3</v>
      </c>
      <c r="C2522" s="156" t="str">
        <f>'Reported burning'!C2522</f>
        <v>Human, deliberate</v>
      </c>
      <c r="D2522" s="156" t="str">
        <f>'Reported burning'!D2522</f>
        <v>Crop field preparation</v>
      </c>
      <c r="E2522" s="156" t="str">
        <f>'Reported burning'!E2522</f>
        <v>Cropping, Swidden</v>
      </c>
      <c r="F2522" s="156" t="str">
        <f>'Reported burning'!F2522</f>
        <v>Secondary vegetation</v>
      </c>
      <c r="G2522" s="156" t="str">
        <f>'Reported burning'!G2522</f>
        <v>ND</v>
      </c>
      <c r="H2522" s="156" t="str">
        <f>'Reported burning'!H2522</f>
        <v>Presence</v>
      </c>
      <c r="I2522" s="5"/>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c r="AB2522" s="204"/>
    </row>
    <row r="2523" spans="1:28" ht="59" customHeight="1">
      <c r="A2523" s="156" t="str">
        <f>'Reported burning'!A2523</f>
        <v>301a</v>
      </c>
      <c r="B2523" s="156" t="str">
        <f>'Reported burning'!B2523</f>
        <v>301a.4</v>
      </c>
      <c r="C2523" s="156" t="str">
        <f>'Reported burning'!C2523</f>
        <v>Human, deliberate</v>
      </c>
      <c r="D2523" s="156" t="str">
        <f>'Reported burning'!D2523</f>
        <v>Land clearance</v>
      </c>
      <c r="E2523" s="156" t="str">
        <f>'Reported burning'!E2523</f>
        <v>Cropping, Intensive</v>
      </c>
      <c r="F2523" s="156" t="str">
        <f>'Reported burning'!F2523</f>
        <v>Shrubland (Mixed forest &amp; grassland)</v>
      </c>
      <c r="G2523" s="156" t="str">
        <f>'Reported burning'!G2523</f>
        <v>Shrubland (Mixed forest &amp; grassland)</v>
      </c>
      <c r="H2523" s="156" t="str">
        <f>'Reported burning'!H2523</f>
        <v>Absence</v>
      </c>
      <c r="I2523" s="5"/>
      <c r="J2523" s="21">
        <v>0</v>
      </c>
      <c r="K2523" s="21">
        <v>0</v>
      </c>
      <c r="L2523" s="21">
        <v>0</v>
      </c>
      <c r="M2523" s="21">
        <v>0</v>
      </c>
      <c r="N2523" s="21">
        <v>0</v>
      </c>
      <c r="O2523" s="21">
        <v>0</v>
      </c>
      <c r="P2523" s="21">
        <v>0</v>
      </c>
      <c r="Q2523" s="21">
        <v>0</v>
      </c>
      <c r="R2523" s="21">
        <v>0</v>
      </c>
      <c r="S2523" s="21">
        <v>0</v>
      </c>
      <c r="T2523" s="21">
        <v>0</v>
      </c>
      <c r="U2523" s="21">
        <v>0</v>
      </c>
      <c r="V2523" s="21">
        <v>0</v>
      </c>
      <c r="W2523" s="204" t="s">
        <v>2276</v>
      </c>
      <c r="X2523" s="204" t="s">
        <v>2276</v>
      </c>
      <c r="Y2523" s="204" t="s">
        <v>2276</v>
      </c>
      <c r="Z2523" s="204" t="s">
        <v>2276</v>
      </c>
      <c r="AA2523" s="4" t="s">
        <v>7072</v>
      </c>
      <c r="AB2523" s="204"/>
    </row>
    <row r="2524" spans="1:28" ht="59" customHeight="1">
      <c r="A2524" s="152" t="str">
        <f>'Reported burning'!A2524</f>
        <v>301a</v>
      </c>
      <c r="B2524" s="152" t="str">
        <f>'Reported burning'!B2524</f>
        <v>301a.5</v>
      </c>
      <c r="C2524" s="152" t="str">
        <f>'Reported burning'!C2524</f>
        <v>Human, deliberate</v>
      </c>
      <c r="D2524" s="152" t="str">
        <f>'Reported burning'!D2524</f>
        <v>Arson</v>
      </c>
      <c r="E2524" s="152" t="str">
        <f>'Reported burning'!E2524</f>
        <v>Cropping, Swidden</v>
      </c>
      <c r="F2524" s="152" t="str">
        <f>'Reported burning'!F2524</f>
        <v>ND</v>
      </c>
      <c r="G2524" s="152" t="str">
        <f>'Reported burning'!G2524</f>
        <v>Shrubland (Mixed forest &amp; grassland)</v>
      </c>
      <c r="H2524" s="152" t="str">
        <f>'Reported burning'!H2524</f>
        <v>Presence</v>
      </c>
      <c r="I2524" s="204"/>
      <c r="J2524" s="204" t="s">
        <v>2276</v>
      </c>
      <c r="K2524" s="204" t="s">
        <v>2276</v>
      </c>
      <c r="L2524" s="204" t="s">
        <v>2276</v>
      </c>
      <c r="M2524" s="204" t="s">
        <v>2276</v>
      </c>
      <c r="N2524" s="204" t="s">
        <v>2276</v>
      </c>
      <c r="O2524" s="204" t="s">
        <v>2276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4" t="s">
        <v>7075</v>
      </c>
      <c r="AB2524" s="204"/>
    </row>
    <row r="2525" spans="1:28" ht="59" customHeight="1">
      <c r="A2525" s="152" t="str">
        <f>'Reported burning'!A2525</f>
        <v>301a</v>
      </c>
      <c r="B2525" s="152" t="str">
        <f>'Reported burning'!B2525</f>
        <v>301a.6</v>
      </c>
      <c r="C2525" s="152" t="str">
        <f>'Reported burning'!C2525</f>
        <v>Human, deliberate</v>
      </c>
      <c r="D2525" s="152" t="str">
        <f>'Reported burning'!D2525</f>
        <v>Arson</v>
      </c>
      <c r="E2525" s="152" t="str">
        <f>'Reported burning'!E2525</f>
        <v>Cattle, Extensive</v>
      </c>
      <c r="F2525" s="152" t="str">
        <f>'Reported burning'!F2525</f>
        <v>ND</v>
      </c>
      <c r="G2525" s="152" t="str">
        <f>'Reported burning'!G2525</f>
        <v>Shrubland (Mixed forest &amp; grassland)</v>
      </c>
      <c r="H2525" s="152" t="str">
        <f>'Reported burning'!H2525</f>
        <v>Presence</v>
      </c>
      <c r="I2525" s="204"/>
      <c r="J2525" s="204" t="s">
        <v>2276</v>
      </c>
      <c r="K2525" s="204" t="s">
        <v>2276</v>
      </c>
      <c r="L2525" s="204" t="s">
        <v>2276</v>
      </c>
      <c r="M2525" s="204" t="s">
        <v>2276</v>
      </c>
      <c r="N2525" s="204" t="s">
        <v>2276</v>
      </c>
      <c r="O2525" s="204" t="s">
        <v>2276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4" t="s">
        <v>7075</v>
      </c>
      <c r="AB2525" s="204"/>
    </row>
    <row r="2526" spans="1:28" ht="59" customHeight="1">
      <c r="A2526" s="156" t="str">
        <f>'Reported burning'!A2526</f>
        <v>302a</v>
      </c>
      <c r="B2526" s="156" t="str">
        <f>'Reported burning'!B2526</f>
        <v>302a.1</v>
      </c>
      <c r="C2526" s="156" t="str">
        <f>'Reported burning'!C2526</f>
        <v>Human, deliberate</v>
      </c>
      <c r="D2526" s="156" t="str">
        <f>'Reported burning'!D2526</f>
        <v>Pyrome management</v>
      </c>
      <c r="E2526" s="156" t="str">
        <f>'Reported burning'!E2526</f>
        <v>Fire suppression agent</v>
      </c>
      <c r="F2526" s="156" t="str">
        <f>'Reported burning'!F2526</f>
        <v>Shrubland (Mixed forest &amp; grassland)</v>
      </c>
      <c r="G2526" s="156" t="str">
        <f>'Reported burning'!G2526</f>
        <v>Shrubland (Mixed forest &amp; grassland)</v>
      </c>
      <c r="H2526" s="156" t="str">
        <f>'Reported burning'!H2526</f>
        <v>Presence</v>
      </c>
      <c r="I2526" s="5"/>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35</v>
      </c>
      <c r="Y2526" s="204" t="s">
        <v>35</v>
      </c>
      <c r="Z2526" s="204" t="s">
        <v>2276</v>
      </c>
      <c r="AA2526" s="204"/>
      <c r="AB2526" s="204"/>
    </row>
    <row r="2527" spans="1:28" ht="56.5" customHeight="1">
      <c r="A2527" s="156" t="str">
        <f>'Reported burning'!A2527</f>
        <v>302a</v>
      </c>
      <c r="B2527" s="156" t="str">
        <f>'Reported burning'!B2527</f>
        <v>302a.2</v>
      </c>
      <c r="C2527" s="156" t="str">
        <f>'Reported burning'!C2527</f>
        <v>Human, deliberate</v>
      </c>
      <c r="D2527" s="156" t="str">
        <f>'Reported burning'!D2527</f>
        <v>Conservation</v>
      </c>
      <c r="E2527" s="156" t="str">
        <f>'Reported burning'!E2527</f>
        <v>Fire suppression agent</v>
      </c>
      <c r="F2527" s="156" t="str">
        <f>'Reported burning'!F2527</f>
        <v>Shrubland (Mixed forest &amp; grassland)</v>
      </c>
      <c r="G2527" s="156" t="str">
        <f>'Reported burning'!G2527</f>
        <v>Shrubland (Mixed forest &amp; grassland)</v>
      </c>
      <c r="H2527" s="156" t="str">
        <f>'Reported burning'!H2527</f>
        <v>Presence</v>
      </c>
      <c r="I2527" s="5"/>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35</v>
      </c>
      <c r="Y2527" s="204" t="s">
        <v>35</v>
      </c>
      <c r="Z2527" s="204" t="s">
        <v>2276</v>
      </c>
      <c r="AA2527" s="204"/>
      <c r="AB2527" s="204"/>
    </row>
    <row r="2528" spans="1:28" ht="28" customHeight="1">
      <c r="A2528" s="156" t="str">
        <f>'Reported burning'!A2528</f>
        <v>302a</v>
      </c>
      <c r="B2528" s="156" t="str">
        <f>'Reported burning'!B2528</f>
        <v>302a.3</v>
      </c>
      <c r="C2528" s="156" t="str">
        <f>'Reported burning'!C2528</f>
        <v>Human, deliberate</v>
      </c>
      <c r="D2528" s="156" t="str">
        <f>'Reported burning'!D2528</f>
        <v>Rangeland management</v>
      </c>
      <c r="E2528" s="156" t="str">
        <f>'Reported burning'!E2528</f>
        <v>Cattle, Extensive</v>
      </c>
      <c r="F2528" s="156" t="str">
        <f>'Reported burning'!F2528</f>
        <v>Shrubland (Mixed forest &amp; grassland)</v>
      </c>
      <c r="G2528" s="152" t="str">
        <f>'Reported burning'!G2528</f>
        <v>ND</v>
      </c>
      <c r="H2528" s="156" t="str">
        <f>'Reported burning'!H2528</f>
        <v>Absence</v>
      </c>
      <c r="I2528" s="5"/>
      <c r="J2528" s="204" t="s">
        <v>2276</v>
      </c>
      <c r="K2528" s="204" t="s">
        <v>2276</v>
      </c>
      <c r="L2528" s="204" t="s">
        <v>2276</v>
      </c>
      <c r="M2528" s="204" t="s">
        <v>2276</v>
      </c>
      <c r="N2528" s="204" t="s">
        <v>2276</v>
      </c>
      <c r="O2528" s="204" t="s">
        <v>2276</v>
      </c>
      <c r="P2528" s="204" t="s">
        <v>2276</v>
      </c>
      <c r="Q2528" s="204" t="s">
        <v>2276</v>
      </c>
      <c r="R2528" s="204" t="s">
        <v>2276</v>
      </c>
      <c r="S2528" s="204" t="s">
        <v>2276</v>
      </c>
      <c r="T2528" s="204" t="s">
        <v>2276</v>
      </c>
      <c r="U2528" s="204" t="s">
        <v>2276</v>
      </c>
      <c r="V2528" s="204" t="s">
        <v>2276</v>
      </c>
      <c r="W2528" s="204" t="s">
        <v>2276</v>
      </c>
      <c r="X2528" s="204" t="s">
        <v>2276</v>
      </c>
      <c r="Y2528" s="204" t="s">
        <v>2276</v>
      </c>
      <c r="Z2528" s="204" t="s">
        <v>2276</v>
      </c>
      <c r="AA2528" s="4" t="s">
        <v>7088</v>
      </c>
      <c r="AB2528" s="204"/>
    </row>
    <row r="2529" spans="1:28" ht="28" customHeight="1">
      <c r="A2529" s="156" t="str">
        <f>'Reported burning'!A2529</f>
        <v>302a</v>
      </c>
      <c r="B2529" s="156" t="str">
        <f>'Reported burning'!B2529</f>
        <v>302a.4</v>
      </c>
      <c r="C2529" s="156" t="str">
        <f>'Reported burning'!C2529</f>
        <v>Human, deliberate</v>
      </c>
      <c r="D2529" s="156" t="str">
        <f>'Reported burning'!D2529</f>
        <v>Rangeland management</v>
      </c>
      <c r="E2529" s="156" t="str">
        <f>'Reported burning'!E2529</f>
        <v>Cattle, Extensive</v>
      </c>
      <c r="F2529" s="156" t="str">
        <f>'Reported burning'!F2529</f>
        <v>Shrubland (Mixed forest &amp; grassland)</v>
      </c>
      <c r="G2529" s="152" t="str">
        <f>'Reported burning'!G2529</f>
        <v>ND</v>
      </c>
      <c r="H2529" s="156" t="str">
        <f>'Reported burning'!H2529</f>
        <v>Presence</v>
      </c>
      <c r="I2529" s="5"/>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c r="AB2529" s="204"/>
    </row>
    <row r="2530" spans="1:28" ht="36" customHeight="1">
      <c r="A2530" s="156" t="str">
        <f>'Reported burning'!A2530</f>
        <v>303a</v>
      </c>
      <c r="B2530" s="156" t="str">
        <f>'Reported burning'!B2530</f>
        <v>303a.1</v>
      </c>
      <c r="C2530" s="156" t="str">
        <f>'Reported burning'!C2530</f>
        <v>Human, deliberate</v>
      </c>
      <c r="D2530" s="156" t="str">
        <f>'Reported burning'!D2530</f>
        <v>Rangeland management</v>
      </c>
      <c r="E2530" s="156" t="str">
        <f>'Reported burning'!E2530</f>
        <v>Cattle, Extensive</v>
      </c>
      <c r="F2530" s="156" t="str">
        <f>'Reported burning'!F2530</f>
        <v>Shrubland (Mixed forest &amp; grassland)</v>
      </c>
      <c r="G2530" s="156" t="str">
        <f>'Reported burning'!G2530</f>
        <v>ND</v>
      </c>
      <c r="H2530" s="156" t="str">
        <f>'Reported burning'!H2530</f>
        <v>Presence</v>
      </c>
      <c r="I2530" s="5"/>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c r="AB2530" s="204"/>
    </row>
    <row r="2531" spans="1:28" ht="28" customHeight="1">
      <c r="A2531" s="156" t="str">
        <f>'Reported burning'!A2531</f>
        <v>303g</v>
      </c>
      <c r="B2531" s="156" t="str">
        <f>'Reported burning'!B2531</f>
        <v>303g.1</v>
      </c>
      <c r="C2531" s="156" t="str">
        <f>'Reported burning'!C2531</f>
        <v>Human, deliberate</v>
      </c>
      <c r="D2531" s="156" t="str">
        <f>'Reported burning'!D2531</f>
        <v>Rangeland management</v>
      </c>
      <c r="E2531" s="156" t="str">
        <f>'Reported burning'!E2531</f>
        <v>Cattle, Extensive</v>
      </c>
      <c r="F2531" s="156" t="str">
        <f>'Reported burning'!F2531</f>
        <v>Shrubland (Mixed forest &amp; grassland)</v>
      </c>
      <c r="G2531" s="156" t="str">
        <f>'Reported burning'!G2531</f>
        <v>ND</v>
      </c>
      <c r="H2531" s="156" t="str">
        <f>'Reported burning'!H2531</f>
        <v>Presence</v>
      </c>
      <c r="I2531" s="5"/>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c r="AB2531" s="204"/>
    </row>
    <row r="2532" spans="1:28" ht="36" customHeight="1">
      <c r="A2532" s="156" t="str">
        <f>'Reported burning'!A2532</f>
        <v>303h</v>
      </c>
      <c r="B2532" s="156" t="str">
        <f>'Reported burning'!B2532</f>
        <v>303h.1</v>
      </c>
      <c r="C2532" s="156" t="str">
        <f>'Reported burning'!C2532</f>
        <v>Human, deliberate</v>
      </c>
      <c r="D2532" s="156" t="str">
        <f>'Reported burning'!D2532</f>
        <v>Rangeland management</v>
      </c>
      <c r="E2532" s="156" t="str">
        <f>'Reported burning'!E2532</f>
        <v>Cattle, Extensive</v>
      </c>
      <c r="F2532" s="156" t="str">
        <f>'Reported burning'!F2532</f>
        <v>Shrubland (Mixed forest &amp; grassland)</v>
      </c>
      <c r="G2532" s="156" t="str">
        <f>'Reported burning'!G2532</f>
        <v>ND</v>
      </c>
      <c r="H2532" s="156" t="str">
        <f>'Reported burning'!H2532</f>
        <v>Presence</v>
      </c>
      <c r="I2532" s="5"/>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c r="AB2532" s="204"/>
    </row>
    <row r="2533" spans="1:28" ht="36.5" customHeight="1">
      <c r="A2533" s="156" t="str">
        <f>'Reported burning'!A2533</f>
        <v>303i</v>
      </c>
      <c r="B2533" s="156" t="str">
        <f>'Reported burning'!B2533</f>
        <v>303i.1</v>
      </c>
      <c r="C2533" s="156" t="str">
        <f>'Reported burning'!C2533</f>
        <v>Human, deliberate</v>
      </c>
      <c r="D2533" s="156" t="str">
        <f>'Reported burning'!D2533</f>
        <v>Rangeland management</v>
      </c>
      <c r="E2533" s="156" t="str">
        <f>'Reported burning'!E2533</f>
        <v>Cattle, Extensive</v>
      </c>
      <c r="F2533" s="156" t="str">
        <f>'Reported burning'!F2533</f>
        <v>Shrubland (Mixed forest &amp; grassland)</v>
      </c>
      <c r="G2533" s="156" t="str">
        <f>'Reported burning'!G2533</f>
        <v>ND</v>
      </c>
      <c r="H2533" s="156" t="str">
        <f>'Reported burning'!H2533</f>
        <v>Presence</v>
      </c>
      <c r="I2533" s="5"/>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c r="AB2533" s="204"/>
    </row>
    <row r="2534" spans="1:28" ht="36.5" customHeight="1">
      <c r="A2534" s="156" t="str">
        <f>'Reported burning'!A2534</f>
        <v>303j</v>
      </c>
      <c r="B2534" s="156" t="str">
        <f>'Reported burning'!B2534</f>
        <v>303j.1</v>
      </c>
      <c r="C2534" s="156" t="str">
        <f>'Reported burning'!C2534</f>
        <v>Human, deliberate</v>
      </c>
      <c r="D2534" s="156" t="str">
        <f>'Reported burning'!D2534</f>
        <v>Rangeland management</v>
      </c>
      <c r="E2534" s="156" t="str">
        <f>'Reported burning'!E2534</f>
        <v>Cattle, Extensive</v>
      </c>
      <c r="F2534" s="156" t="str">
        <f>'Reported burning'!F2534</f>
        <v>Shrubland (Mixed forest &amp; grassland)</v>
      </c>
      <c r="G2534" s="156" t="str">
        <f>'Reported burning'!G2534</f>
        <v>ND</v>
      </c>
      <c r="H2534" s="156" t="str">
        <f>'Reported burning'!H2534</f>
        <v>Presence</v>
      </c>
      <c r="I2534" s="5"/>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c r="AB2534" s="204"/>
    </row>
    <row r="2535" spans="1:28" ht="36.5" customHeight="1">
      <c r="A2535" s="156" t="str">
        <f>'Reported burning'!A2535</f>
        <v>303k</v>
      </c>
      <c r="B2535" s="156" t="str">
        <f>'Reported burning'!B2535</f>
        <v>303k.1</v>
      </c>
      <c r="C2535" s="156" t="str">
        <f>'Reported burning'!C2535</f>
        <v>Human, deliberate</v>
      </c>
      <c r="D2535" s="156" t="str">
        <f>'Reported burning'!D2535</f>
        <v>Rangeland management</v>
      </c>
      <c r="E2535" s="156" t="str">
        <f>'Reported burning'!E2535</f>
        <v>Cattle, Extensive</v>
      </c>
      <c r="F2535" s="156" t="str">
        <f>'Reported burning'!F2535</f>
        <v>Shrubland (Mixed forest &amp; grassland)</v>
      </c>
      <c r="G2535" s="156" t="str">
        <f>'Reported burning'!G2535</f>
        <v>ND</v>
      </c>
      <c r="H2535" s="156" t="str">
        <f>'Reported burning'!H2535</f>
        <v>Presence</v>
      </c>
      <c r="I2535" s="5"/>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c r="AB2535" s="204"/>
    </row>
    <row r="2536" spans="1:28" ht="36.5" customHeight="1">
      <c r="A2536" s="156" t="str">
        <f>'Reported burning'!A2536</f>
        <v>303l</v>
      </c>
      <c r="B2536" s="156" t="str">
        <f>'Reported burning'!B2536</f>
        <v>303l.1</v>
      </c>
      <c r="C2536" s="156" t="str">
        <f>'Reported burning'!C2536</f>
        <v>Human, deliberate</v>
      </c>
      <c r="D2536" s="156" t="str">
        <f>'Reported burning'!D2536</f>
        <v>Rangeland management</v>
      </c>
      <c r="E2536" s="156" t="str">
        <f>'Reported burning'!E2536</f>
        <v>Cattle, Extensive</v>
      </c>
      <c r="F2536" s="156" t="str">
        <f>'Reported burning'!F2536</f>
        <v>Shrubland (Mixed forest &amp; grassland)</v>
      </c>
      <c r="G2536" s="156" t="str">
        <f>'Reported burning'!G2536</f>
        <v>ND</v>
      </c>
      <c r="H2536" s="156" t="str">
        <f>'Reported burning'!H2536</f>
        <v>Presence</v>
      </c>
      <c r="I2536" s="5"/>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c r="AB2536" s="204"/>
    </row>
    <row r="2537" spans="1:28" ht="36.5" customHeight="1">
      <c r="A2537" s="156" t="str">
        <f>'Reported burning'!A2537</f>
        <v>303aj</v>
      </c>
      <c r="B2537" s="156" t="str">
        <f>'Reported burning'!B2537</f>
        <v>303aj.1</v>
      </c>
      <c r="C2537" s="156" t="str">
        <f>'Reported burning'!C2537</f>
        <v>Human, deliberate</v>
      </c>
      <c r="D2537" s="156" t="str">
        <f>'Reported burning'!D2537</f>
        <v>Rangeland management</v>
      </c>
      <c r="E2537" s="156" t="str">
        <f>'Reported burning'!E2537</f>
        <v>Cattle, Extensive</v>
      </c>
      <c r="F2537" s="156" t="str">
        <f>'Reported burning'!F2537</f>
        <v>Shrubland (Mixed forest &amp; grassland)</v>
      </c>
      <c r="G2537" s="156" t="str">
        <f>'Reported burning'!G2537</f>
        <v>ND</v>
      </c>
      <c r="H2537" s="156" t="str">
        <f>'Reported burning'!H2537</f>
        <v>Presence</v>
      </c>
      <c r="I2537" s="5"/>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1" t="s">
        <v>2401</v>
      </c>
      <c r="X2537" s="204" t="s">
        <v>34</v>
      </c>
      <c r="Y2537" s="204" t="s">
        <v>405</v>
      </c>
      <c r="Z2537" s="204" t="s">
        <v>2276</v>
      </c>
      <c r="AA2537" s="11" t="s">
        <v>7222</v>
      </c>
      <c r="AB2537" s="204"/>
    </row>
    <row r="2538" spans="1:28" ht="36.5" customHeight="1">
      <c r="A2538" s="156" t="str">
        <f>'Reported burning'!A2538</f>
        <v>303aj</v>
      </c>
      <c r="B2538" s="156" t="str">
        <f>'Reported burning'!B2538</f>
        <v>303aj.2</v>
      </c>
      <c r="C2538" s="156" t="str">
        <f>'Reported burning'!C2538</f>
        <v>Human, escaped</v>
      </c>
      <c r="D2538" s="156" t="str">
        <f>'Reported burning'!D2538</f>
        <v>Rangeland management</v>
      </c>
      <c r="E2538" s="156" t="str">
        <f>'Reported burning'!E2538</f>
        <v>Cattle, Extensive</v>
      </c>
      <c r="F2538" s="156" t="str">
        <f>'Reported burning'!F2538</f>
        <v>Shrubland (Mixed forest &amp; grassland)</v>
      </c>
      <c r="G2538" s="156" t="str">
        <f>'Reported burning'!G2538</f>
        <v>ND</v>
      </c>
      <c r="H2538" s="156" t="str">
        <f>'Reported burning'!H2538</f>
        <v>Presence</v>
      </c>
      <c r="I2538" s="5"/>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11" t="s">
        <v>7225</v>
      </c>
      <c r="AB2538" s="204"/>
    </row>
    <row r="2539" spans="1:28" ht="36.5" customHeight="1">
      <c r="A2539" s="156" t="str">
        <f>'Reported burning'!A2539</f>
        <v>303ak</v>
      </c>
      <c r="B2539" s="156" t="str">
        <f>'Reported burning'!B2539</f>
        <v>303ak.1</v>
      </c>
      <c r="C2539" s="156" t="str">
        <f>'Reported burning'!C2539</f>
        <v>Human, deliberate</v>
      </c>
      <c r="D2539" s="156" t="str">
        <f>'Reported burning'!D2539</f>
        <v>Rangeland management</v>
      </c>
      <c r="E2539" s="156" t="str">
        <f>'Reported burning'!E2539</f>
        <v>Cattle, Extensive</v>
      </c>
      <c r="F2539" s="156" t="str">
        <f>'Reported burning'!F2539</f>
        <v>Shrubland (Mixed forest &amp; grassland)</v>
      </c>
      <c r="G2539" s="156" t="str">
        <f>'Reported burning'!G2539</f>
        <v>ND</v>
      </c>
      <c r="H2539" s="156" t="str">
        <f>'Reported burning'!H2539</f>
        <v>Presence</v>
      </c>
      <c r="I2539" s="5"/>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1" t="s">
        <v>2401</v>
      </c>
      <c r="X2539" s="204" t="s">
        <v>34</v>
      </c>
      <c r="Y2539" s="204" t="s">
        <v>405</v>
      </c>
      <c r="Z2539" s="204" t="s">
        <v>2276</v>
      </c>
      <c r="AA2539" s="11" t="s">
        <v>7222</v>
      </c>
      <c r="AB2539" s="204"/>
    </row>
    <row r="2540" spans="1:28" s="203" customFormat="1" ht="36.5" customHeight="1">
      <c r="A2540" s="152" t="str">
        <f>'Reported burning'!A2540</f>
        <v>303al</v>
      </c>
      <c r="B2540" s="152" t="str">
        <f>'Reported burning'!B2540</f>
        <v>303al.1</v>
      </c>
      <c r="C2540" s="152" t="str">
        <f>'Reported burning'!C2540</f>
        <v>Human, deliberate</v>
      </c>
      <c r="D2540" s="152" t="str">
        <f>'Reported burning'!D2540</f>
        <v>Rangeland management</v>
      </c>
      <c r="E2540" s="152" t="str">
        <f>'Reported burning'!E2540</f>
        <v>Cattle, Extensive</v>
      </c>
      <c r="F2540" s="152" t="str">
        <f>'Reported burning'!F2540</f>
        <v>Shrubland (Mixed forest &amp; grassland)</v>
      </c>
      <c r="G2540" s="152" t="str">
        <f>'Reported burning'!G2540</f>
        <v>ND</v>
      </c>
      <c r="H2540" s="152" t="str">
        <f>'Reported burning'!H2540</f>
        <v>Presence</v>
      </c>
      <c r="I2540" s="5"/>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1" t="s">
        <v>2401</v>
      </c>
      <c r="X2540" s="204" t="s">
        <v>34</v>
      </c>
      <c r="Y2540" s="204" t="s">
        <v>405</v>
      </c>
      <c r="Z2540" s="204" t="s">
        <v>2276</v>
      </c>
      <c r="AA2540" s="11" t="s">
        <v>7222</v>
      </c>
      <c r="AB2540" s="204"/>
    </row>
    <row r="2541" spans="1:28" ht="36.5" customHeight="1">
      <c r="A2541" s="156" t="str">
        <f>'Reported burning'!A2541</f>
        <v>303am</v>
      </c>
      <c r="B2541" s="156" t="str">
        <f>'Reported burning'!B2541</f>
        <v>303am.1</v>
      </c>
      <c r="C2541" s="156" t="str">
        <f>'Reported burning'!C2541</f>
        <v>Human, deliberate</v>
      </c>
      <c r="D2541" s="156" t="str">
        <f>'Reported burning'!D2541</f>
        <v>Rangeland management</v>
      </c>
      <c r="E2541" s="156" t="str">
        <f>'Reported burning'!E2541</f>
        <v>Cattle, Extensive</v>
      </c>
      <c r="F2541" s="156" t="str">
        <f>'Reported burning'!F2541</f>
        <v>Shrubland (Mixed forest &amp; grassland)</v>
      </c>
      <c r="G2541" s="156" t="str">
        <f>'Reported burning'!G2541</f>
        <v>ND</v>
      </c>
      <c r="H2541" s="156" t="str">
        <f>'Reported burning'!H2541</f>
        <v>Presence</v>
      </c>
      <c r="I2541" s="5"/>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11"/>
      <c r="AB2541" s="204"/>
    </row>
    <row r="2542" spans="1:28" ht="37.5" customHeight="1">
      <c r="A2542" s="156" t="str">
        <f>'Reported burning'!A2542</f>
        <v>303am</v>
      </c>
      <c r="B2542" s="156" t="str">
        <f>'Reported burning'!B2542</f>
        <v>303am.2</v>
      </c>
      <c r="C2542" s="156" t="str">
        <f>'Reported burning'!C2542</f>
        <v>Human, deliberate</v>
      </c>
      <c r="D2542" s="156" t="str">
        <f>'Reported burning'!D2542</f>
        <v>Rangeland management</v>
      </c>
      <c r="E2542" s="156" t="str">
        <f>'Reported burning'!E2542</f>
        <v>Pastoralism, Migratory</v>
      </c>
      <c r="F2542" s="156" t="str">
        <f>'Reported burning'!F2542</f>
        <v>Shrubland (Mixed forest &amp; grassland)</v>
      </c>
      <c r="G2542" s="156" t="str">
        <f>'Reported burning'!G2542</f>
        <v>ND</v>
      </c>
      <c r="H2542" s="156" t="str">
        <f>'Reported burning'!H2542</f>
        <v>Presence</v>
      </c>
      <c r="I2542" s="5"/>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c r="AB2542" s="204"/>
    </row>
    <row r="2543" spans="1:28" ht="44.5" customHeight="1">
      <c r="A2543" s="156" t="str">
        <f>'Reported burning'!A2543</f>
        <v>303an</v>
      </c>
      <c r="B2543" s="156" t="str">
        <f>'Reported burning'!B2543</f>
        <v>303an.1</v>
      </c>
      <c r="C2543" s="156" t="str">
        <f>'Reported burning'!C2543</f>
        <v>Human, deliberate</v>
      </c>
      <c r="D2543" s="156" t="str">
        <f>'Reported burning'!D2543</f>
        <v>Rangeland management</v>
      </c>
      <c r="E2543" s="156" t="str">
        <f>'Reported burning'!E2543</f>
        <v>Cattle, Extensive</v>
      </c>
      <c r="F2543" s="156" t="str">
        <f>'Reported burning'!F2543</f>
        <v>Shrubland (Mixed forest &amp; grassland)</v>
      </c>
      <c r="G2543" s="156" t="str">
        <f>'Reported burning'!G2543</f>
        <v>ND</v>
      </c>
      <c r="H2543" s="156" t="str">
        <f>'Reported burning'!H2543</f>
        <v>Presence</v>
      </c>
      <c r="I2543" s="5"/>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c r="AB2543" s="204"/>
    </row>
    <row r="2544" spans="1:28" ht="44.5" customHeight="1">
      <c r="A2544" s="156" t="str">
        <f>'Reported burning'!A2544</f>
        <v>303an</v>
      </c>
      <c r="B2544" s="156" t="str">
        <f>'Reported burning'!B2544</f>
        <v>303an.2</v>
      </c>
      <c r="C2544" s="156" t="str">
        <f>'Reported burning'!C2544</f>
        <v>Human, deliberate</v>
      </c>
      <c r="D2544" s="156" t="str">
        <f>'Reported burning'!D2544</f>
        <v>Rangeland management</v>
      </c>
      <c r="E2544" s="156" t="str">
        <f>'Reported burning'!E2544</f>
        <v>Pastoralism, Migratory</v>
      </c>
      <c r="F2544" s="156" t="str">
        <f>'Reported burning'!F2544</f>
        <v>Shrubland (Mixed forest &amp; grassland)</v>
      </c>
      <c r="G2544" s="156" t="str">
        <f>'Reported burning'!G2544</f>
        <v>ND</v>
      </c>
      <c r="H2544" s="156" t="str">
        <f>'Reported burning'!H2544</f>
        <v>Presence</v>
      </c>
      <c r="I2544" s="5"/>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c r="AB2544" s="204"/>
    </row>
    <row r="2545" spans="1:28" ht="44.5" customHeight="1">
      <c r="A2545" s="156" t="str">
        <f>'Reported burning'!A2545</f>
        <v>304a</v>
      </c>
      <c r="B2545" s="156" t="str">
        <f>'Reported burning'!B2545</f>
        <v>304a.1</v>
      </c>
      <c r="C2545" s="156" t="str">
        <f>'Reported burning'!C2545</f>
        <v>Human, deliberate</v>
      </c>
      <c r="D2545" s="156" t="str">
        <f>'Reported burning'!D2545</f>
        <v>Pyrome management</v>
      </c>
      <c r="E2545" s="156" t="str">
        <f>'Reported burning'!E2545</f>
        <v>Fire suppression agent</v>
      </c>
      <c r="F2545" s="156" t="str">
        <f>'Reported burning'!F2545</f>
        <v>Shrubland (Mixed forest &amp; grassland)</v>
      </c>
      <c r="G2545" s="156" t="str">
        <f>'Reported burning'!G2545</f>
        <v>ND</v>
      </c>
      <c r="H2545" s="156" t="str">
        <f>'Reported burning'!H2545</f>
        <v>Presence</v>
      </c>
      <c r="I2545" s="5"/>
      <c r="J2545" s="14" t="s">
        <v>2365</v>
      </c>
      <c r="K2545" s="204" t="s">
        <v>2276</v>
      </c>
      <c r="L2545" s="204" t="s">
        <v>2276</v>
      </c>
      <c r="M2545" s="21" t="s">
        <v>2379</v>
      </c>
      <c r="N2545" s="204" t="s">
        <v>2276</v>
      </c>
      <c r="O2545" s="21" t="s">
        <v>2377</v>
      </c>
      <c r="P2545" s="21" t="s">
        <v>2377</v>
      </c>
      <c r="Q2545" s="21" t="s">
        <v>2376</v>
      </c>
      <c r="R2545" s="21" t="s">
        <v>2376</v>
      </c>
      <c r="S2545" s="204" t="s">
        <v>2276</v>
      </c>
      <c r="T2545" s="204" t="s">
        <v>2276</v>
      </c>
      <c r="U2545" s="204" t="s">
        <v>2276</v>
      </c>
      <c r="V2545" s="204" t="s">
        <v>2276</v>
      </c>
      <c r="W2545" s="204" t="s">
        <v>2276</v>
      </c>
      <c r="X2545" s="204" t="s">
        <v>2276</v>
      </c>
      <c r="Y2545" s="204" t="s">
        <v>2276</v>
      </c>
      <c r="Z2545" s="204" t="s">
        <v>2276</v>
      </c>
      <c r="AA2545" s="204"/>
      <c r="AB2545" s="204"/>
    </row>
    <row r="2546" spans="1:28" ht="44.5" customHeight="1">
      <c r="A2546" s="156" t="str">
        <f>'Reported burning'!A2546</f>
        <v>304b</v>
      </c>
      <c r="B2546" s="156" t="str">
        <f>'Reported burning'!B2546</f>
        <v>304b.1</v>
      </c>
      <c r="C2546" s="156" t="str">
        <f>'Reported burning'!C2546</f>
        <v>Human, deliberate</v>
      </c>
      <c r="D2546" s="156" t="str">
        <f>'Reported burning'!D2546</f>
        <v>Pyrome management</v>
      </c>
      <c r="E2546" s="156" t="str">
        <f>'Reported burning'!E2546</f>
        <v>Fire suppression agent</v>
      </c>
      <c r="F2546" s="156" t="str">
        <f>'Reported burning'!F2546</f>
        <v>Shrubland (Mixed forest &amp; grassland)</v>
      </c>
      <c r="G2546" s="156" t="str">
        <f>'Reported burning'!G2546</f>
        <v>ND</v>
      </c>
      <c r="H2546" s="156" t="str">
        <f>'Reported burning'!H2546</f>
        <v>Absence</v>
      </c>
      <c r="I2546" s="5"/>
      <c r="J2546" s="21">
        <v>0</v>
      </c>
      <c r="K2546" s="21">
        <v>0</v>
      </c>
      <c r="L2546" s="21">
        <v>0</v>
      </c>
      <c r="M2546" s="21">
        <v>0</v>
      </c>
      <c r="N2546" s="21">
        <v>0</v>
      </c>
      <c r="O2546" s="21">
        <v>0</v>
      </c>
      <c r="P2546" s="21">
        <v>0</v>
      </c>
      <c r="Q2546" s="21">
        <v>0</v>
      </c>
      <c r="R2546" s="21">
        <v>0</v>
      </c>
      <c r="S2546" s="21">
        <v>0</v>
      </c>
      <c r="T2546" s="21">
        <v>0</v>
      </c>
      <c r="U2546" s="21">
        <v>0</v>
      </c>
      <c r="V2546" s="21">
        <v>0</v>
      </c>
      <c r="W2546" s="204" t="s">
        <v>2276</v>
      </c>
      <c r="X2546" s="204" t="s">
        <v>2276</v>
      </c>
      <c r="Y2546" s="204" t="s">
        <v>2276</v>
      </c>
      <c r="Z2546" s="204" t="s">
        <v>2276</v>
      </c>
      <c r="AA2546" s="204"/>
      <c r="AB2546" s="204"/>
    </row>
    <row r="2547" spans="1:28" ht="33" customHeight="1">
      <c r="A2547" s="156" t="str">
        <f>'Reported burning'!A2547</f>
        <v>304b</v>
      </c>
      <c r="B2547" s="156" t="str">
        <f>'Reported burning'!B2547</f>
        <v>304b.2</v>
      </c>
      <c r="C2547" s="156" t="str">
        <f>'Reported burning'!C2547</f>
        <v>Human, deliberate</v>
      </c>
      <c r="D2547" s="156" t="str">
        <f>'Reported burning'!D2547</f>
        <v>Pyrome management</v>
      </c>
      <c r="E2547" s="156" t="str">
        <f>'Reported burning'!E2547</f>
        <v>Fire suppression agent</v>
      </c>
      <c r="F2547" s="156" t="str">
        <f>'Reported burning'!F2547</f>
        <v>Shrubland (Mixed forest &amp; grassland)</v>
      </c>
      <c r="G2547" s="156" t="str">
        <f>'Reported burning'!G2547</f>
        <v>ND</v>
      </c>
      <c r="H2547" s="156" t="str">
        <f>'Reported burning'!H2547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04" t="s">
        <v>2276</v>
      </c>
      <c r="X2547" s="204" t="s">
        <v>2276</v>
      </c>
      <c r="Y2547" s="204" t="s">
        <v>2276</v>
      </c>
      <c r="Z2547" s="204" t="s">
        <v>2276</v>
      </c>
      <c r="AA2547" s="204"/>
      <c r="AB2547" s="204"/>
    </row>
    <row r="2548" spans="1:28" ht="33" customHeight="1">
      <c r="A2548" s="156" t="str">
        <f>'Reported burning'!A2548</f>
        <v>304c</v>
      </c>
      <c r="B2548" s="156" t="str">
        <f>'Reported burning'!B2548</f>
        <v>304c.1</v>
      </c>
      <c r="C2548" s="156" t="str">
        <f>'Reported burning'!C2548</f>
        <v>Human, deliberate</v>
      </c>
      <c r="D2548" s="156" t="str">
        <f>'Reported burning'!D2548</f>
        <v>Pyrome management</v>
      </c>
      <c r="E2548" s="156" t="str">
        <f>'Reported burning'!E2548</f>
        <v>Fire suppression agent</v>
      </c>
      <c r="F2548" s="156" t="str">
        <f>'Reported burning'!F2548</f>
        <v>Shrubland (Mixed forest &amp; grassland)</v>
      </c>
      <c r="G2548" s="156" t="str">
        <f>'Reported burning'!G2548</f>
        <v>ND</v>
      </c>
      <c r="H2548" s="156" t="str">
        <f>'Reported burning'!H2548</f>
        <v>Presence</v>
      </c>
      <c r="I2548" s="5"/>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c r="AB2548" s="204"/>
    </row>
    <row r="2549" spans="1:28" ht="33" customHeight="1">
      <c r="A2549" s="156" t="str">
        <f>'Reported burning'!A2549</f>
        <v>304d</v>
      </c>
      <c r="B2549" s="156" t="str">
        <f>'Reported burning'!B2549</f>
        <v>304d.1</v>
      </c>
      <c r="C2549" s="156" t="str">
        <f>'Reported burning'!C2549</f>
        <v>Human, deliberate</v>
      </c>
      <c r="D2549" s="156" t="str">
        <f>'Reported burning'!D2549</f>
        <v>Pyrome management</v>
      </c>
      <c r="E2549" s="156" t="str">
        <f>'Reported burning'!E2549</f>
        <v>Fire suppression agent</v>
      </c>
      <c r="F2549" s="156" t="str">
        <f>'Reported burning'!F2549</f>
        <v>Shrubland (Mixed forest &amp; grassland)</v>
      </c>
      <c r="G2549" s="156" t="str">
        <f>'Reported burning'!G2549</f>
        <v>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29" customHeight="1">
      <c r="A2550" s="156" t="str">
        <f>'Reported burning'!A2550</f>
        <v>304d</v>
      </c>
      <c r="B2550" s="156" t="str">
        <f>'Reported burning'!B2550</f>
        <v>304d.2</v>
      </c>
      <c r="C2550" s="156" t="str">
        <f>'Reported burning'!C2550</f>
        <v>Human, deliberate</v>
      </c>
      <c r="D2550" s="156" t="str">
        <f>'Reported burning'!D2550</f>
        <v>Rangeland management</v>
      </c>
      <c r="E2550" s="156" t="str">
        <f>'Reported burning'!E2550</f>
        <v>Cattle, Extensive</v>
      </c>
      <c r="F2550" s="156" t="str">
        <f>'Reported burning'!F2550</f>
        <v>Shrubland (Mixed forest &amp; grassland)</v>
      </c>
      <c r="G2550" s="156" t="str">
        <f>'Reported burning'!G2550</f>
        <v>ND</v>
      </c>
      <c r="H2550" s="156" t="str">
        <f>'Reported burning'!H2550</f>
        <v>Presence</v>
      </c>
      <c r="I2550" s="5"/>
      <c r="J2550" s="204" t="s">
        <v>2276</v>
      </c>
      <c r="K2550" s="204" t="s">
        <v>2276</v>
      </c>
      <c r="L2550" s="204" t="s">
        <v>2276</v>
      </c>
      <c r="M2550" s="204" t="s">
        <v>2276</v>
      </c>
      <c r="N2550" s="204" t="s">
        <v>2276</v>
      </c>
      <c r="O2550" s="204" t="s">
        <v>2276</v>
      </c>
      <c r="P2550" s="204" t="s">
        <v>2276</v>
      </c>
      <c r="Q2550" s="204" t="s">
        <v>2276</v>
      </c>
      <c r="R2550" s="204" t="s">
        <v>2276</v>
      </c>
      <c r="S2550" s="14" t="s">
        <v>2374</v>
      </c>
      <c r="T2550" s="204" t="s">
        <v>2276</v>
      </c>
      <c r="U2550" s="204" t="s">
        <v>2276</v>
      </c>
      <c r="V2550" s="204" t="s">
        <v>2276</v>
      </c>
      <c r="W2550" s="204" t="s">
        <v>2276</v>
      </c>
      <c r="X2550" s="204" t="s">
        <v>2276</v>
      </c>
      <c r="Y2550" s="204" t="s">
        <v>2276</v>
      </c>
      <c r="Z2550" s="204" t="s">
        <v>2276</v>
      </c>
      <c r="AA2550" s="204"/>
      <c r="AB2550" s="204"/>
    </row>
    <row r="2551" spans="1:28" ht="29" customHeight="1">
      <c r="A2551" s="156" t="str">
        <f>'Reported burning'!A2551</f>
        <v>304d</v>
      </c>
      <c r="B2551" s="156" t="str">
        <f>'Reported burning'!B2551</f>
        <v>304d.3</v>
      </c>
      <c r="C2551" s="156" t="str">
        <f>'Reported burning'!C2551</f>
        <v>Human, escaped</v>
      </c>
      <c r="D2551" s="156" t="str">
        <f>'Reported burning'!D2551</f>
        <v>Rangeland management</v>
      </c>
      <c r="E2551" s="156" t="str">
        <f>'Reported burning'!E2551</f>
        <v>Cattle, Extensive</v>
      </c>
      <c r="F2551" s="156" t="str">
        <f>'Reported burning'!F2551</f>
        <v>Shrubland (Mixed forest &amp; grassland)</v>
      </c>
      <c r="G2551" s="156" t="str">
        <f>'Reported burning'!G2551</f>
        <v>ND</v>
      </c>
      <c r="H2551" s="156" t="str">
        <f>'Reported burning'!H2551</f>
        <v>Presence</v>
      </c>
      <c r="I2551" s="5"/>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c r="AB2551" s="204"/>
    </row>
    <row r="2552" spans="1:28" ht="29" customHeight="1">
      <c r="A2552" s="156" t="str">
        <f>'Reported burning'!A2552</f>
        <v>304e</v>
      </c>
      <c r="B2552" s="156" t="str">
        <f>'Reported burning'!B2552</f>
        <v>304e.1</v>
      </c>
      <c r="C2552" s="156" t="str">
        <f>'Reported burning'!C2552</f>
        <v>Human, deliberate</v>
      </c>
      <c r="D2552" s="156" t="str">
        <f>'Reported burning'!D2552</f>
        <v>Rangeland management</v>
      </c>
      <c r="E2552" s="156" t="str">
        <f>'Reported burning'!E2552</f>
        <v>Cattle, Extensive</v>
      </c>
      <c r="F2552" s="156" t="str">
        <f>'Reported burning'!F2552</f>
        <v>Shrubland (Mixed forest &amp; grassland)</v>
      </c>
      <c r="G2552" s="156" t="str">
        <f>'Reported burning'!G2552</f>
        <v>ND</v>
      </c>
      <c r="H2552" s="156" t="str">
        <f>'Reported burning'!H2552</f>
        <v>Presence</v>
      </c>
      <c r="I2552" s="5">
        <f>'Reported burning'!I2552</f>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c r="AB2552" s="204"/>
    </row>
    <row r="2553" spans="1:28" ht="29" customHeight="1">
      <c r="A2553" s="156" t="str">
        <f>'Reported burning'!A2553</f>
        <v>304e</v>
      </c>
      <c r="B2553" s="156" t="str">
        <f>'Reported burning'!B2553</f>
        <v>304e.2</v>
      </c>
      <c r="C2553" s="156" t="str">
        <f>'Reported burning'!C2553</f>
        <v>Human, deliberate</v>
      </c>
      <c r="D2553" s="156" t="str">
        <f>'Reported burning'!D2553</f>
        <v>Rangeland management</v>
      </c>
      <c r="E2553" s="156" t="str">
        <f>'Reported burning'!E2553</f>
        <v>Cattle, Extensive</v>
      </c>
      <c r="F2553" s="156" t="str">
        <f>'Reported burning'!F2553</f>
        <v>Shrubland (Mixed forest &amp; grassland)</v>
      </c>
      <c r="G2553" s="156" t="str">
        <f>'Reported burning'!G2553</f>
        <v>ND</v>
      </c>
      <c r="H2553" s="156" t="str">
        <f>'Reported burning'!H2553</f>
        <v>Presence</v>
      </c>
      <c r="I2553" s="5">
        <f>'Reported burning'!I2553</f>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c r="AB2553" s="204"/>
    </row>
    <row r="2554" spans="1:28" ht="33.5" customHeight="1">
      <c r="A2554" s="156" t="str">
        <f>'Reported burning'!A2554</f>
        <v>304e</v>
      </c>
      <c r="B2554" s="156" t="str">
        <f>'Reported burning'!B2554</f>
        <v>304e.3</v>
      </c>
      <c r="C2554" s="156" t="str">
        <f>'Reported burning'!C2554</f>
        <v>Human, deliberate</v>
      </c>
      <c r="D2554" s="156" t="str">
        <f>'Reported burning'!D2554</f>
        <v>Pyrome management</v>
      </c>
      <c r="E2554" s="156" t="str">
        <f>'Reported burning'!E2554</f>
        <v>Fire suppression agent</v>
      </c>
      <c r="F2554" s="156" t="str">
        <f>'Reported burning'!F2554</f>
        <v>Shrubland (Mixed forest &amp; grassland)</v>
      </c>
      <c r="G2554" s="156" t="str">
        <f>'Reported burning'!G2554</f>
        <v>ND</v>
      </c>
      <c r="H2554" s="156" t="str">
        <f>'Reported burning'!H2554</f>
        <v>Presence</v>
      </c>
      <c r="I2554" s="5"/>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c r="AB2554" s="204"/>
    </row>
    <row r="2555" spans="1:28" ht="33.5" customHeight="1">
      <c r="A2555" s="156" t="str">
        <f>'Reported burning'!A2555</f>
        <v>305a</v>
      </c>
      <c r="B2555" s="156" t="str">
        <f>'Reported burning'!B2555</f>
        <v>305a.1</v>
      </c>
      <c r="C2555" s="156" t="str">
        <f>'Reported burning'!C2555</f>
        <v>Human, deliberate</v>
      </c>
      <c r="D2555" s="156" t="str">
        <f>'Reported burning'!D2555</f>
        <v>Pyrome management</v>
      </c>
      <c r="E2555" s="156" t="str">
        <f>'Reported burning'!E2555</f>
        <v>Fire suppression agent</v>
      </c>
      <c r="F2555" s="156" t="str">
        <f>'Reported burning'!F2555</f>
        <v>ND</v>
      </c>
      <c r="G2555" s="156" t="str">
        <f>'Reported burning'!G2555</f>
        <v>ND</v>
      </c>
      <c r="H2555" s="156" t="str">
        <f>'Reported burning'!H2555</f>
        <v>Absence</v>
      </c>
      <c r="I2555" s="5"/>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2276</v>
      </c>
      <c r="AA2555" s="204"/>
      <c r="AB2555" s="204"/>
    </row>
    <row r="2556" spans="1:28" ht="33.5" customHeight="1">
      <c r="A2556" s="156" t="str">
        <f>'Reported burning'!A2556</f>
        <v>305b</v>
      </c>
      <c r="B2556" s="156" t="str">
        <f>'Reported burning'!B2556</f>
        <v>305b.1</v>
      </c>
      <c r="C2556" s="156" t="str">
        <f>'Reported burning'!C2556</f>
        <v>Human, deliberate</v>
      </c>
      <c r="D2556" s="156" t="str">
        <f>'Reported burning'!D2556</f>
        <v>Pyrome management</v>
      </c>
      <c r="E2556" s="156" t="str">
        <f>'Reported burning'!E2556</f>
        <v>Fire suppression agent</v>
      </c>
      <c r="F2556" s="156" t="str">
        <f>'Reported burning'!F2556</f>
        <v>ND</v>
      </c>
      <c r="G2556" s="156" t="str">
        <f>'Reported burning'!G2556</f>
        <v>ND</v>
      </c>
      <c r="H2556" s="156" t="str">
        <f>'Reported burning'!H2556</f>
        <v>Absence</v>
      </c>
      <c r="I2556" s="5"/>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2276</v>
      </c>
      <c r="AA2556" s="204"/>
      <c r="AB2556" s="204"/>
    </row>
    <row r="2557" spans="1:28" ht="33.5" customHeight="1">
      <c r="A2557" s="156" t="str">
        <f>'Reported burning'!A2557</f>
        <v>305c</v>
      </c>
      <c r="B2557" s="156" t="str">
        <f>'Reported burning'!B2557</f>
        <v>305c.1</v>
      </c>
      <c r="C2557" s="156" t="str">
        <f>'Reported burning'!C2557</f>
        <v>Human, deliberate</v>
      </c>
      <c r="D2557" s="156" t="str">
        <f>'Reported burning'!D2557</f>
        <v>Pyrome management</v>
      </c>
      <c r="E2557" s="156" t="str">
        <f>'Reported burning'!E2557</f>
        <v>Fire suppression agent</v>
      </c>
      <c r="F2557" s="156" t="str">
        <f>'Reported burning'!F2557</f>
        <v>ND</v>
      </c>
      <c r="G2557" s="156" t="str">
        <f>'Reported burning'!G2557</f>
        <v>ND</v>
      </c>
      <c r="H2557" s="156" t="str">
        <f>'Reported burning'!H2557</f>
        <v>Absence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c r="AB2557" s="204"/>
    </row>
    <row r="2558" spans="1:28" ht="33.5" customHeight="1">
      <c r="A2558" s="156" t="str">
        <f>'Reported burning'!A2558</f>
        <v>305d</v>
      </c>
      <c r="B2558" s="156" t="str">
        <f>'Reported burning'!B2558</f>
        <v>305d.1</v>
      </c>
      <c r="C2558" s="156" t="str">
        <f>'Reported burning'!C2558</f>
        <v>Human, deliberate</v>
      </c>
      <c r="D2558" s="156" t="str">
        <f>'Reported burning'!D2558</f>
        <v>Pyrome management</v>
      </c>
      <c r="E2558" s="156" t="str">
        <f>'Reported burning'!E2558</f>
        <v>Fire suppression agent</v>
      </c>
      <c r="F2558" s="156" t="str">
        <f>'Reported burning'!F2558</f>
        <v>ND</v>
      </c>
      <c r="G2558" s="156" t="str">
        <f>'Reported burning'!G2558</f>
        <v>ND</v>
      </c>
      <c r="H2558" s="156" t="str">
        <f>'Reported burning'!H2558</f>
        <v>Absence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33.5" customHeight="1">
      <c r="A2559" s="156" t="str">
        <f>'Reported burning'!A2559</f>
        <v>305e</v>
      </c>
      <c r="B2559" s="156" t="str">
        <f>'Reported burning'!B2559</f>
        <v>305e.1</v>
      </c>
      <c r="C2559" s="156" t="str">
        <f>'Reported burning'!C2559</f>
        <v>Human, deliberate</v>
      </c>
      <c r="D2559" s="156" t="str">
        <f>'Reported burning'!D2559</f>
        <v>Pyrome management</v>
      </c>
      <c r="E2559" s="156" t="str">
        <f>'Reported burning'!E2559</f>
        <v>Fire suppression agent</v>
      </c>
      <c r="F2559" s="156" t="str">
        <f>'Reported burning'!F2559</f>
        <v>ND</v>
      </c>
      <c r="G2559" s="156" t="str">
        <f>'Reported burning'!G2559</f>
        <v>ND</v>
      </c>
      <c r="H2559" s="156" t="str">
        <f>'Reported burning'!H2559</f>
        <v>Absence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33.5" customHeight="1">
      <c r="A2560" s="156" t="str">
        <f>'Reported burning'!A2560</f>
        <v>305f</v>
      </c>
      <c r="B2560" s="156" t="str">
        <f>'Reported burning'!B2560</f>
        <v>305f.1</v>
      </c>
      <c r="C2560" s="156" t="str">
        <f>'Reported burning'!C2560</f>
        <v>Human, deliberate</v>
      </c>
      <c r="D2560" s="156" t="str">
        <f>'Reported burning'!D2560</f>
        <v>Pyrome management</v>
      </c>
      <c r="E2560" s="156" t="str">
        <f>'Reported burning'!E2560</f>
        <v>Fire suppression agent</v>
      </c>
      <c r="F2560" s="156" t="str">
        <f>'Reported burning'!F2560</f>
        <v>ND</v>
      </c>
      <c r="G2560" s="156" t="str">
        <f>'Reported burning'!G2560</f>
        <v>ND</v>
      </c>
      <c r="H2560" s="156" t="str">
        <f>'Reported burning'!H2560</f>
        <v>Absence</v>
      </c>
      <c r="I2560" s="5"/>
      <c r="J2560" s="204" t="s">
        <v>2276</v>
      </c>
      <c r="K2560" s="204" t="s">
        <v>2276</v>
      </c>
      <c r="L2560" s="204" t="s">
        <v>2276</v>
      </c>
      <c r="M2560" s="204" t="s">
        <v>2276</v>
      </c>
      <c r="N2560" s="204" t="s">
        <v>2276</v>
      </c>
      <c r="O2560" s="204" t="s">
        <v>2276</v>
      </c>
      <c r="P2560" s="204" t="s">
        <v>2276</v>
      </c>
      <c r="Q2560" s="204" t="s">
        <v>2276</v>
      </c>
      <c r="R2560" s="204" t="s">
        <v>2276</v>
      </c>
      <c r="S2560" s="204" t="s">
        <v>2276</v>
      </c>
      <c r="T2560" s="204" t="s">
        <v>2276</v>
      </c>
      <c r="U2560" s="204" t="s">
        <v>2276</v>
      </c>
      <c r="V2560" s="204" t="s">
        <v>2276</v>
      </c>
      <c r="W2560" s="204" t="s">
        <v>2276</v>
      </c>
      <c r="X2560" s="204" t="s">
        <v>2276</v>
      </c>
      <c r="Y2560" s="204" t="s">
        <v>2276</v>
      </c>
      <c r="Z2560" s="204" t="s">
        <v>2276</v>
      </c>
      <c r="AA2560" s="204"/>
      <c r="AB2560" s="204"/>
    </row>
    <row r="2561" spans="1:28" ht="33.5" customHeight="1">
      <c r="A2561" s="156" t="str">
        <f>'Reported burning'!A2561</f>
        <v>305g</v>
      </c>
      <c r="B2561" s="156" t="str">
        <f>'Reported burning'!B2561</f>
        <v>305g.1</v>
      </c>
      <c r="C2561" s="156" t="str">
        <f>'Reported burning'!C2561</f>
        <v>Human, deliberate</v>
      </c>
      <c r="D2561" s="156" t="str">
        <f>'Reported burning'!D2561</f>
        <v>Pyrome management</v>
      </c>
      <c r="E2561" s="156" t="str">
        <f>'Reported burning'!E2561</f>
        <v>Fire suppression agent</v>
      </c>
      <c r="F2561" s="156" t="str">
        <f>'Reported burning'!F2561</f>
        <v>ND</v>
      </c>
      <c r="G2561" s="156" t="str">
        <f>'Reported burning'!G2561</f>
        <v>ND</v>
      </c>
      <c r="H2561" s="156" t="str">
        <f>'Reported burning'!H2561</f>
        <v>Absence</v>
      </c>
      <c r="I2561" s="5"/>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11" t="s">
        <v>7308</v>
      </c>
      <c r="AB2561" s="204"/>
    </row>
    <row r="2562" spans="1:28" ht="33.5" customHeight="1">
      <c r="A2562" s="156" t="str">
        <f>'Reported burning'!A2562</f>
        <v>305h</v>
      </c>
      <c r="B2562" s="156" t="str">
        <f>'Reported burning'!B2562</f>
        <v>305h.1</v>
      </c>
      <c r="C2562" s="156" t="str">
        <f>'Reported burning'!C2562</f>
        <v>Human, deliberate</v>
      </c>
      <c r="D2562" s="156" t="str">
        <f>'Reported burning'!D2562</f>
        <v>Pyrome management</v>
      </c>
      <c r="E2562" s="156" t="str">
        <f>'Reported burning'!E2562</f>
        <v>Fire suppression agent</v>
      </c>
      <c r="F2562" s="156" t="str">
        <f>'Reported burning'!F2562</f>
        <v>ND</v>
      </c>
      <c r="G2562" s="156" t="str">
        <f>'Reported burning'!G2562</f>
        <v>ND</v>
      </c>
      <c r="H2562" s="156" t="str">
        <f>'Reported burning'!H2562</f>
        <v>Absence</v>
      </c>
      <c r="I2562" s="5"/>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c r="AB2562" s="204"/>
    </row>
    <row r="2563" spans="1:28" ht="33.5" customHeight="1">
      <c r="A2563" s="156" t="str">
        <f>'Reported burning'!A2563</f>
        <v>305i</v>
      </c>
      <c r="B2563" s="156" t="str">
        <f>'Reported burning'!B2563</f>
        <v>305i.1</v>
      </c>
      <c r="C2563" s="156" t="str">
        <f>'Reported burning'!C2563</f>
        <v>Human, deliberate</v>
      </c>
      <c r="D2563" s="156" t="str">
        <f>'Reported burning'!D2563</f>
        <v>Pyrome management</v>
      </c>
      <c r="E2563" s="156" t="str">
        <f>'Reported burning'!E2563</f>
        <v>Fire suppression agent</v>
      </c>
      <c r="F2563" s="156" t="str">
        <f>'Reported burning'!F2563</f>
        <v>ND</v>
      </c>
      <c r="G2563" s="156" t="str">
        <f>'Reported burning'!G2563</f>
        <v>ND</v>
      </c>
      <c r="H2563" s="156" t="str">
        <f>'Reported burning'!H2563</f>
        <v>Presence</v>
      </c>
      <c r="I2563" s="5">
        <f>'Reported burning'!I2563</f>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38</v>
      </c>
      <c r="Z2563" s="204" t="s">
        <v>64</v>
      </c>
      <c r="AA2563" s="204" t="s">
        <v>7627</v>
      </c>
      <c r="AB2563" s="204"/>
    </row>
    <row r="2564" spans="1:28" ht="33.5" customHeight="1">
      <c r="A2564" s="156" t="str">
        <f>'Reported burning'!A2564</f>
        <v>305j</v>
      </c>
      <c r="B2564" s="156" t="str">
        <f>'Reported burning'!B2564</f>
        <v>305j.1</v>
      </c>
      <c r="C2564" s="156" t="str">
        <f>'Reported burning'!C2564</f>
        <v>Human, deliberate</v>
      </c>
      <c r="D2564" s="156" t="str">
        <f>'Reported burning'!D2564</f>
        <v>Pyrome management</v>
      </c>
      <c r="E2564" s="156" t="str">
        <f>'Reported burning'!E2564</f>
        <v>Fire suppression agent</v>
      </c>
      <c r="F2564" s="156" t="str">
        <f>'Reported burning'!F2564</f>
        <v>ND</v>
      </c>
      <c r="G2564" s="156" t="str">
        <f>'Reported burning'!G2564</f>
        <v>ND</v>
      </c>
      <c r="H2564" s="156" t="str">
        <f>'Reported burning'!H2564</f>
        <v>Presence</v>
      </c>
      <c r="I2564" s="5">
        <f>'Reported burning'!I2564</f>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38</v>
      </c>
      <c r="Z2564" s="204" t="s">
        <v>64</v>
      </c>
      <c r="AA2564" s="204" t="s">
        <v>7627</v>
      </c>
      <c r="AB2564" s="204"/>
    </row>
    <row r="2565" spans="1:28" ht="33.5" customHeight="1">
      <c r="A2565" s="156" t="str">
        <f>'Reported burning'!A2565</f>
        <v>305k</v>
      </c>
      <c r="B2565" s="156" t="str">
        <f>'Reported burning'!B2565</f>
        <v>305k.1</v>
      </c>
      <c r="C2565" s="156" t="str">
        <f>'Reported burning'!C2565</f>
        <v>Human, deliberate</v>
      </c>
      <c r="D2565" s="156" t="str">
        <f>'Reported burning'!D2565</f>
        <v>Pyrome management</v>
      </c>
      <c r="E2565" s="156" t="str">
        <f>'Reported burning'!E2565</f>
        <v>Fire suppression agent</v>
      </c>
      <c r="F2565" s="156" t="str">
        <f>'Reported burning'!F2565</f>
        <v>ND</v>
      </c>
      <c r="G2565" s="156" t="str">
        <f>'Reported burning'!G2565</f>
        <v>ND</v>
      </c>
      <c r="H2565" s="156" t="str">
        <f>'Reported burning'!H2565</f>
        <v>Presence</v>
      </c>
      <c r="I2565" s="5">
        <f>'Reported burning'!I2565</f>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35</v>
      </c>
      <c r="Y2565" s="204" t="s">
        <v>38</v>
      </c>
      <c r="Z2565" s="204" t="s">
        <v>64</v>
      </c>
      <c r="AA2565" s="204" t="s">
        <v>7627</v>
      </c>
      <c r="AB2565" s="204"/>
    </row>
    <row r="2566" spans="1:28" ht="33.5" customHeight="1">
      <c r="A2566" s="156" t="str">
        <f>'Reported burning'!A2566</f>
        <v>305l</v>
      </c>
      <c r="B2566" s="156" t="str">
        <f>'Reported burning'!B2566</f>
        <v>305l.1</v>
      </c>
      <c r="C2566" s="156" t="str">
        <f>'Reported burning'!C2566</f>
        <v>Human, deliberate</v>
      </c>
      <c r="D2566" s="156" t="str">
        <f>'Reported burning'!D2566</f>
        <v>Pyrome management</v>
      </c>
      <c r="E2566" s="156" t="str">
        <f>'Reported burning'!E2566</f>
        <v>Fire suppression agent</v>
      </c>
      <c r="F2566" s="156" t="str">
        <f>'Reported burning'!F2566</f>
        <v>ND</v>
      </c>
      <c r="G2566" s="156" t="str">
        <f>'Reported burning'!G2566</f>
        <v>ND</v>
      </c>
      <c r="H2566" s="156" t="str">
        <f>'Reported burning'!H2566</f>
        <v>Presence</v>
      </c>
      <c r="I2566" s="5">
        <f>'Reported burning'!I2566</f>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35</v>
      </c>
      <c r="Y2566" s="204" t="s">
        <v>38</v>
      </c>
      <c r="Z2566" s="204" t="s">
        <v>64</v>
      </c>
      <c r="AA2566" s="204" t="s">
        <v>7627</v>
      </c>
      <c r="AB2566" s="204"/>
    </row>
    <row r="2567" spans="1:28" ht="33.5" customHeight="1">
      <c r="A2567" s="156" t="str">
        <f>'Reported burning'!A2567</f>
        <v>305m</v>
      </c>
      <c r="B2567" s="156" t="str">
        <f>'Reported burning'!B2567</f>
        <v>305m.1</v>
      </c>
      <c r="C2567" s="156" t="str">
        <f>'Reported burning'!C2567</f>
        <v>Human, deliberate</v>
      </c>
      <c r="D2567" s="156" t="str">
        <f>'Reported burning'!D2567</f>
        <v>Pyrome management</v>
      </c>
      <c r="E2567" s="156" t="str">
        <f>'Reported burning'!E2567</f>
        <v>Fire suppression agent</v>
      </c>
      <c r="F2567" s="156" t="str">
        <f>'Reported burning'!F2567</f>
        <v>ND</v>
      </c>
      <c r="G2567" s="156" t="str">
        <f>'Reported burning'!G2567</f>
        <v>ND</v>
      </c>
      <c r="H2567" s="156" t="str">
        <f>'Reported burning'!H2567</f>
        <v>Presence</v>
      </c>
      <c r="I2567" s="5">
        <f>'Reported burning'!I2567</f>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35</v>
      </c>
      <c r="Y2567" s="204" t="s">
        <v>38</v>
      </c>
      <c r="Z2567" s="204" t="s">
        <v>64</v>
      </c>
      <c r="AA2567" s="204" t="s">
        <v>7627</v>
      </c>
      <c r="AB2567" s="204"/>
    </row>
    <row r="2568" spans="1:28" ht="33.5" customHeight="1">
      <c r="A2568" s="156" t="str">
        <f>'Reported burning'!A2568</f>
        <v>305i</v>
      </c>
      <c r="B2568" s="156" t="str">
        <f>'Reported burning'!B2568</f>
        <v>305i.2</v>
      </c>
      <c r="C2568" s="156" t="str">
        <f>'Reported burning'!C2568</f>
        <v>Human, deliberate</v>
      </c>
      <c r="D2568" s="156" t="str">
        <f>'Reported burning'!D2568</f>
        <v>Pyrome management</v>
      </c>
      <c r="E2568" s="156" t="str">
        <f>'Reported burning'!E2568</f>
        <v>Fire suppression agent</v>
      </c>
      <c r="F2568" s="156" t="str">
        <f>'Reported burning'!F2568</f>
        <v>ND</v>
      </c>
      <c r="G2568" s="156" t="str">
        <f>'Reported burning'!G2568</f>
        <v>ND</v>
      </c>
      <c r="H2568" s="156" t="str">
        <f>'Reported burning'!H2568</f>
        <v>Presence</v>
      </c>
      <c r="I2568" s="5">
        <f>'Reported burning'!I2568</f>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35</v>
      </c>
      <c r="Y2568" s="204" t="s">
        <v>38</v>
      </c>
      <c r="Z2568" s="204" t="s">
        <v>64</v>
      </c>
      <c r="AA2568" s="204" t="s">
        <v>7627</v>
      </c>
      <c r="AB2568" s="204"/>
    </row>
    <row r="2569" spans="1:28" ht="33.5" customHeight="1">
      <c r="A2569" s="156" t="str">
        <f>'Reported burning'!A2569</f>
        <v>305j</v>
      </c>
      <c r="B2569" s="156" t="str">
        <f>'Reported burning'!B2569</f>
        <v>305j.2</v>
      </c>
      <c r="C2569" s="156" t="str">
        <f>'Reported burning'!C2569</f>
        <v>Human, deliberate</v>
      </c>
      <c r="D2569" s="156" t="str">
        <f>'Reported burning'!D2569</f>
        <v>Pyrome management</v>
      </c>
      <c r="E2569" s="156" t="str">
        <f>'Reported burning'!E2569</f>
        <v>Fire suppression agent</v>
      </c>
      <c r="F2569" s="156" t="str">
        <f>'Reported burning'!F2569</f>
        <v>ND</v>
      </c>
      <c r="G2569" s="156" t="str">
        <f>'Reported burning'!G2569</f>
        <v>ND</v>
      </c>
      <c r="H2569" s="156" t="str">
        <f>'Reported burning'!H2569</f>
        <v>Presence</v>
      </c>
      <c r="I2569" s="5">
        <f>'Reported burning'!I2569</f>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35</v>
      </c>
      <c r="Y2569" s="204" t="s">
        <v>38</v>
      </c>
      <c r="Z2569" s="204" t="s">
        <v>64</v>
      </c>
      <c r="AA2569" s="204" t="s">
        <v>7627</v>
      </c>
      <c r="AB2569" s="204"/>
    </row>
    <row r="2570" spans="1:28" ht="33.5" customHeight="1">
      <c r="A2570" s="156" t="str">
        <f>'Reported burning'!A2570</f>
        <v>305k</v>
      </c>
      <c r="B2570" s="156" t="str">
        <f>'Reported burning'!B2570</f>
        <v>305k.2</v>
      </c>
      <c r="C2570" s="156" t="str">
        <f>'Reported burning'!C2570</f>
        <v>Human, deliberate</v>
      </c>
      <c r="D2570" s="156" t="str">
        <f>'Reported burning'!D2570</f>
        <v>Pyrome management</v>
      </c>
      <c r="E2570" s="156" t="str">
        <f>'Reported burning'!E2570</f>
        <v>Fire suppression agent</v>
      </c>
      <c r="F2570" s="156" t="str">
        <f>'Reported burning'!F2570</f>
        <v>ND</v>
      </c>
      <c r="G2570" s="156" t="str">
        <f>'Reported burning'!G2570</f>
        <v>ND</v>
      </c>
      <c r="H2570" s="156" t="str">
        <f>'Reported burning'!H2570</f>
        <v>Presence</v>
      </c>
      <c r="I2570" s="5">
        <f>'Reported burning'!I2570</f>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35</v>
      </c>
      <c r="Y2570" s="204" t="s">
        <v>38</v>
      </c>
      <c r="Z2570" s="204" t="s">
        <v>64</v>
      </c>
      <c r="AA2570" s="204" t="s">
        <v>7627</v>
      </c>
      <c r="AB2570" s="204"/>
    </row>
    <row r="2571" spans="1:28" ht="33.5" customHeight="1">
      <c r="A2571" s="156" t="str">
        <f>'Reported burning'!A2571</f>
        <v>305l</v>
      </c>
      <c r="B2571" s="156" t="str">
        <f>'Reported burning'!B2571</f>
        <v>305l.2</v>
      </c>
      <c r="C2571" s="156" t="str">
        <f>'Reported burning'!C2571</f>
        <v>Human, deliberate</v>
      </c>
      <c r="D2571" s="156" t="str">
        <f>'Reported burning'!D2571</f>
        <v>Pyrome management</v>
      </c>
      <c r="E2571" s="156" t="str">
        <f>'Reported burning'!E2571</f>
        <v>Fire suppression agent</v>
      </c>
      <c r="F2571" s="156" t="str">
        <f>'Reported burning'!F2571</f>
        <v>ND</v>
      </c>
      <c r="G2571" s="156" t="str">
        <f>'Reported burning'!G2571</f>
        <v>ND</v>
      </c>
      <c r="H2571" s="156" t="str">
        <f>'Reported burning'!H2571</f>
        <v>Presence</v>
      </c>
      <c r="I2571" s="5">
        <f>'Reported burning'!I2571</f>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35</v>
      </c>
      <c r="Y2571" s="204" t="s">
        <v>38</v>
      </c>
      <c r="Z2571" s="204" t="s">
        <v>64</v>
      </c>
      <c r="AA2571" s="204" t="s">
        <v>7627</v>
      </c>
      <c r="AB2571" s="204"/>
    </row>
    <row r="2572" spans="1:28" ht="33.5" customHeight="1">
      <c r="A2572" s="156" t="str">
        <f>'Reported burning'!A2572</f>
        <v>305m</v>
      </c>
      <c r="B2572" s="156" t="str">
        <f>'Reported burning'!B2572</f>
        <v>305m.2</v>
      </c>
      <c r="C2572" s="156" t="str">
        <f>'Reported burning'!C2572</f>
        <v>Human, deliberate</v>
      </c>
      <c r="D2572" s="156" t="str">
        <f>'Reported burning'!D2572</f>
        <v>Pyrome management</v>
      </c>
      <c r="E2572" s="156" t="str">
        <f>'Reported burning'!E2572</f>
        <v>Fire suppression agent</v>
      </c>
      <c r="F2572" s="156" t="str">
        <f>'Reported burning'!F2572</f>
        <v>ND</v>
      </c>
      <c r="G2572" s="156" t="str">
        <f>'Reported burning'!G2572</f>
        <v>ND</v>
      </c>
      <c r="H2572" s="156" t="str">
        <f>'Reported burning'!H2572</f>
        <v>Presence</v>
      </c>
      <c r="I2572" s="5">
        <f>'Reported burning'!I2572</f>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35</v>
      </c>
      <c r="Y2572" s="204" t="s">
        <v>38</v>
      </c>
      <c r="Z2572" s="204" t="s">
        <v>64</v>
      </c>
      <c r="AA2572" s="204" t="s">
        <v>7627</v>
      </c>
      <c r="AB2572" s="204"/>
    </row>
    <row r="2573" spans="1:28" ht="33.5" customHeight="1">
      <c r="A2573" s="156" t="str">
        <f>'Reported burning'!A2573</f>
        <v>305i</v>
      </c>
      <c r="B2573" s="156" t="str">
        <f>'Reported burning'!B2573</f>
        <v>305i.3</v>
      </c>
      <c r="C2573" s="156" t="str">
        <f>'Reported burning'!C2573</f>
        <v>Human, deliberate</v>
      </c>
      <c r="D2573" s="156" t="str">
        <f>'Reported burning'!D2573</f>
        <v>Pyrome management</v>
      </c>
      <c r="E2573" s="156" t="str">
        <f>'Reported burning'!E2573</f>
        <v>Fire suppression agent</v>
      </c>
      <c r="F2573" s="156" t="str">
        <f>'Reported burning'!F2573</f>
        <v>ND</v>
      </c>
      <c r="G2573" s="156" t="str">
        <f>'Reported burning'!G2573</f>
        <v>ND</v>
      </c>
      <c r="H2573" s="156" t="str">
        <f>'Reported burning'!H2573</f>
        <v>Presence</v>
      </c>
      <c r="I2573" s="5">
        <f>'Reported burning'!I2573</f>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35</v>
      </c>
      <c r="Y2573" s="204" t="s">
        <v>38</v>
      </c>
      <c r="Z2573" s="204" t="s">
        <v>64</v>
      </c>
      <c r="AA2573" s="204" t="s">
        <v>7627</v>
      </c>
      <c r="AB2573" s="204"/>
    </row>
    <row r="2574" spans="1:28" ht="33.5" customHeight="1">
      <c r="A2574" s="156" t="str">
        <f>'Reported burning'!A2574</f>
        <v>305j</v>
      </c>
      <c r="B2574" s="156" t="str">
        <f>'Reported burning'!B2574</f>
        <v>305j.3</v>
      </c>
      <c r="C2574" s="156" t="str">
        <f>'Reported burning'!C2574</f>
        <v>Human, deliberate</v>
      </c>
      <c r="D2574" s="156" t="str">
        <f>'Reported burning'!D2574</f>
        <v>Pyrome management</v>
      </c>
      <c r="E2574" s="156" t="str">
        <f>'Reported burning'!E2574</f>
        <v>Fire suppression agent</v>
      </c>
      <c r="F2574" s="156" t="str">
        <f>'Reported burning'!F2574</f>
        <v>ND</v>
      </c>
      <c r="G2574" s="156" t="str">
        <f>'Reported burning'!G2574</f>
        <v>ND</v>
      </c>
      <c r="H2574" s="156" t="str">
        <f>'Reported burning'!H2574</f>
        <v>Presence</v>
      </c>
      <c r="I2574" s="5">
        <f>'Reported burning'!I2574</f>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35</v>
      </c>
      <c r="Y2574" s="204" t="s">
        <v>38</v>
      </c>
      <c r="Z2574" s="204" t="s">
        <v>64</v>
      </c>
      <c r="AA2574" s="204" t="s">
        <v>7627</v>
      </c>
      <c r="AB2574" s="204"/>
    </row>
    <row r="2575" spans="1:28" ht="33.5" customHeight="1">
      <c r="A2575" s="156" t="str">
        <f>'Reported burning'!A2575</f>
        <v>305k</v>
      </c>
      <c r="B2575" s="156" t="str">
        <f>'Reported burning'!B2575</f>
        <v>305k.3</v>
      </c>
      <c r="C2575" s="156" t="str">
        <f>'Reported burning'!C2575</f>
        <v>Human, deliberate</v>
      </c>
      <c r="D2575" s="156" t="str">
        <f>'Reported burning'!D2575</f>
        <v>Pyrome management</v>
      </c>
      <c r="E2575" s="156" t="str">
        <f>'Reported burning'!E2575</f>
        <v>Fire suppression agent</v>
      </c>
      <c r="F2575" s="156" t="str">
        <f>'Reported burning'!F2575</f>
        <v>ND</v>
      </c>
      <c r="G2575" s="156" t="str">
        <f>'Reported burning'!G2575</f>
        <v>ND</v>
      </c>
      <c r="H2575" s="156" t="str">
        <f>'Reported burning'!H2575</f>
        <v>Presence</v>
      </c>
      <c r="I2575" s="5">
        <f>'Reported burning'!I2575</f>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35</v>
      </c>
      <c r="Y2575" s="204" t="s">
        <v>38</v>
      </c>
      <c r="Z2575" s="204" t="s">
        <v>64</v>
      </c>
      <c r="AA2575" s="204" t="s">
        <v>7627</v>
      </c>
      <c r="AB2575" s="204"/>
    </row>
    <row r="2576" spans="1:28" ht="33.5" customHeight="1">
      <c r="A2576" s="156" t="str">
        <f>'Reported burning'!A2576</f>
        <v>305l</v>
      </c>
      <c r="B2576" s="156" t="str">
        <f>'Reported burning'!B2576</f>
        <v>305l.3</v>
      </c>
      <c r="C2576" s="156" t="str">
        <f>'Reported burning'!C2576</f>
        <v>Human, deliberate</v>
      </c>
      <c r="D2576" s="156" t="str">
        <f>'Reported burning'!D2576</f>
        <v>Pyrome management</v>
      </c>
      <c r="E2576" s="156" t="str">
        <f>'Reported burning'!E2576</f>
        <v>Fire suppression agent</v>
      </c>
      <c r="F2576" s="156" t="str">
        <f>'Reported burning'!F2576</f>
        <v>ND</v>
      </c>
      <c r="G2576" s="156" t="str">
        <f>'Reported burning'!G2576</f>
        <v>ND</v>
      </c>
      <c r="H2576" s="156" t="str">
        <f>'Reported burning'!H2576</f>
        <v>Presence</v>
      </c>
      <c r="I2576" s="5">
        <f>'Reported burning'!I2576</f>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35</v>
      </c>
      <c r="Y2576" s="204" t="s">
        <v>38</v>
      </c>
      <c r="Z2576" s="204" t="s">
        <v>64</v>
      </c>
      <c r="AA2576" s="204" t="s">
        <v>7627</v>
      </c>
      <c r="AB2576" s="204"/>
    </row>
    <row r="2577" spans="1:28" ht="33.5" customHeight="1">
      <c r="A2577" s="156" t="str">
        <f>'Reported burning'!A2577</f>
        <v>305m</v>
      </c>
      <c r="B2577" s="156" t="str">
        <f>'Reported burning'!B2577</f>
        <v>305m.3</v>
      </c>
      <c r="C2577" s="156" t="str">
        <f>'Reported burning'!C2577</f>
        <v>Human, deliberate</v>
      </c>
      <c r="D2577" s="156" t="str">
        <f>'Reported burning'!D2577</f>
        <v>Pyrome management</v>
      </c>
      <c r="E2577" s="156" t="str">
        <f>'Reported burning'!E2577</f>
        <v>Fire suppression agent</v>
      </c>
      <c r="F2577" s="156" t="str">
        <f>'Reported burning'!F2577</f>
        <v>ND</v>
      </c>
      <c r="G2577" s="156" t="str">
        <f>'Reported burning'!G2577</f>
        <v>ND</v>
      </c>
      <c r="H2577" s="156" t="str">
        <f>'Reported burning'!H2577</f>
        <v>Presence</v>
      </c>
      <c r="I2577" s="5">
        <f>'Reported burning'!I2577</f>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35</v>
      </c>
      <c r="Y2577" s="204" t="s">
        <v>38</v>
      </c>
      <c r="Z2577" s="204" t="s">
        <v>64</v>
      </c>
      <c r="AA2577" s="204" t="s">
        <v>7627</v>
      </c>
      <c r="AB2577" s="204"/>
    </row>
    <row r="2578" spans="1:28" ht="33.5" customHeight="1">
      <c r="A2578" s="156" t="str">
        <f>'Reported burning'!A2578</f>
        <v>305i</v>
      </c>
      <c r="B2578" s="156" t="str">
        <f>'Reported burning'!B2578</f>
        <v>305i.4</v>
      </c>
      <c r="C2578" s="156" t="str">
        <f>'Reported burning'!C2578</f>
        <v>Human, deliberate</v>
      </c>
      <c r="D2578" s="156" t="str">
        <f>'Reported burning'!D2578</f>
        <v>Pyrome management</v>
      </c>
      <c r="E2578" s="156" t="str">
        <f>'Reported burning'!E2578</f>
        <v>Fire suppression agent</v>
      </c>
      <c r="F2578" s="156" t="str">
        <f>'Reported burning'!F2578</f>
        <v>ND</v>
      </c>
      <c r="G2578" s="156" t="str">
        <f>'Reported burning'!G2578</f>
        <v>ND</v>
      </c>
      <c r="H2578" s="156" t="str">
        <f>'Reported burning'!H2578</f>
        <v>Presence</v>
      </c>
      <c r="I2578" s="5">
        <f>'Reported burning'!I2578</f>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35</v>
      </c>
      <c r="Y2578" s="204" t="s">
        <v>38</v>
      </c>
      <c r="Z2578" s="204" t="s">
        <v>64</v>
      </c>
      <c r="AA2578" s="204" t="s">
        <v>7627</v>
      </c>
      <c r="AB2578" s="204"/>
    </row>
    <row r="2579" spans="1:28" ht="33.5" customHeight="1">
      <c r="A2579" s="156" t="str">
        <f>'Reported burning'!A2579</f>
        <v>305j</v>
      </c>
      <c r="B2579" s="156" t="str">
        <f>'Reported burning'!B2579</f>
        <v>305j.4</v>
      </c>
      <c r="C2579" s="156" t="str">
        <f>'Reported burning'!C2579</f>
        <v>Human, deliberate</v>
      </c>
      <c r="D2579" s="156" t="str">
        <f>'Reported burning'!D2579</f>
        <v>Pyrome management</v>
      </c>
      <c r="E2579" s="156" t="str">
        <f>'Reported burning'!E2579</f>
        <v>Fire suppression agent</v>
      </c>
      <c r="F2579" s="156" t="str">
        <f>'Reported burning'!F2579</f>
        <v>ND</v>
      </c>
      <c r="G2579" s="156" t="str">
        <f>'Reported burning'!G2579</f>
        <v>ND</v>
      </c>
      <c r="H2579" s="156" t="str">
        <f>'Reported burning'!H2579</f>
        <v>Presence</v>
      </c>
      <c r="I2579" s="5">
        <f>'Reported burning'!I2579</f>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35</v>
      </c>
      <c r="Y2579" s="204" t="s">
        <v>38</v>
      </c>
      <c r="Z2579" s="204" t="s">
        <v>64</v>
      </c>
      <c r="AA2579" s="204" t="s">
        <v>7627</v>
      </c>
      <c r="AB2579" s="204"/>
    </row>
    <row r="2580" spans="1:28" ht="33.5" customHeight="1">
      <c r="A2580" s="156" t="str">
        <f>'Reported burning'!A2580</f>
        <v>305k</v>
      </c>
      <c r="B2580" s="156" t="str">
        <f>'Reported burning'!B2580</f>
        <v>305k.4</v>
      </c>
      <c r="C2580" s="156" t="str">
        <f>'Reported burning'!C2580</f>
        <v>Human, deliberate</v>
      </c>
      <c r="D2580" s="156" t="str">
        <f>'Reported burning'!D2580</f>
        <v>Pyrome management</v>
      </c>
      <c r="E2580" s="156" t="str">
        <f>'Reported burning'!E2580</f>
        <v>Fire suppression agent</v>
      </c>
      <c r="F2580" s="156" t="str">
        <f>'Reported burning'!F2580</f>
        <v>ND</v>
      </c>
      <c r="G2580" s="156" t="str">
        <f>'Reported burning'!G2580</f>
        <v>ND</v>
      </c>
      <c r="H2580" s="156" t="str">
        <f>'Reported burning'!H2580</f>
        <v>Presence</v>
      </c>
      <c r="I2580" s="5">
        <f>'Reported burning'!I2580</f>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35</v>
      </c>
      <c r="Y2580" s="204" t="s">
        <v>38</v>
      </c>
      <c r="Z2580" s="204" t="s">
        <v>64</v>
      </c>
      <c r="AA2580" s="204" t="s">
        <v>7627</v>
      </c>
      <c r="AB2580" s="204"/>
    </row>
    <row r="2581" spans="1:28" ht="33.5" customHeight="1">
      <c r="A2581" s="156" t="str">
        <f>'Reported burning'!A2581</f>
        <v>305l</v>
      </c>
      <c r="B2581" s="156" t="str">
        <f>'Reported burning'!B2581</f>
        <v>305l.4</v>
      </c>
      <c r="C2581" s="156" t="str">
        <f>'Reported burning'!C2581</f>
        <v>Human, deliberate</v>
      </c>
      <c r="D2581" s="156" t="str">
        <f>'Reported burning'!D2581</f>
        <v>Pyrome management</v>
      </c>
      <c r="E2581" s="156" t="str">
        <f>'Reported burning'!E2581</f>
        <v>Fire suppression agent</v>
      </c>
      <c r="F2581" s="156" t="str">
        <f>'Reported burning'!F2581</f>
        <v>ND</v>
      </c>
      <c r="G2581" s="156" t="str">
        <f>'Reported burning'!G2581</f>
        <v>ND</v>
      </c>
      <c r="H2581" s="156" t="str">
        <f>'Reported burning'!H2581</f>
        <v>Presence</v>
      </c>
      <c r="I2581" s="5">
        <f>'Reported burning'!I2581</f>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35</v>
      </c>
      <c r="Y2581" s="204" t="s">
        <v>38</v>
      </c>
      <c r="Z2581" s="204" t="s">
        <v>64</v>
      </c>
      <c r="AA2581" s="204" t="s">
        <v>7627</v>
      </c>
      <c r="AB2581" s="204"/>
    </row>
    <row r="2582" spans="1:28" ht="33.5" customHeight="1">
      <c r="A2582" s="156" t="str">
        <f>'Reported burning'!A2582</f>
        <v>305m</v>
      </c>
      <c r="B2582" s="156" t="str">
        <f>'Reported burning'!B2582</f>
        <v>305m.4</v>
      </c>
      <c r="C2582" s="156" t="str">
        <f>'Reported burning'!C2582</f>
        <v>Human, deliberate</v>
      </c>
      <c r="D2582" s="156" t="str">
        <f>'Reported burning'!D2582</f>
        <v>Pyrome management</v>
      </c>
      <c r="E2582" s="156" t="str">
        <f>'Reported burning'!E2582</f>
        <v>Fire suppression agent</v>
      </c>
      <c r="F2582" s="156" t="str">
        <f>'Reported burning'!F2582</f>
        <v>ND</v>
      </c>
      <c r="G2582" s="156" t="str">
        <f>'Reported burning'!G2582</f>
        <v>ND</v>
      </c>
      <c r="H2582" s="156" t="str">
        <f>'Reported burning'!H2582</f>
        <v>Presence</v>
      </c>
      <c r="I2582" s="5">
        <f>'Reported burning'!I2582</f>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04" t="s">
        <v>2276</v>
      </c>
      <c r="U2582" s="204" t="s">
        <v>2276</v>
      </c>
      <c r="V2582" s="204" t="s">
        <v>2276</v>
      </c>
      <c r="W2582" s="204" t="s">
        <v>2276</v>
      </c>
      <c r="X2582" s="204" t="s">
        <v>35</v>
      </c>
      <c r="Y2582" s="204" t="s">
        <v>38</v>
      </c>
      <c r="Z2582" s="204" t="s">
        <v>64</v>
      </c>
      <c r="AA2582" s="204" t="s">
        <v>7627</v>
      </c>
      <c r="AB2582" s="204"/>
    </row>
    <row r="2583" spans="1:28" ht="33.5" customHeight="1">
      <c r="A2583" s="156" t="str">
        <f>'Reported burning'!A2583</f>
        <v>305i</v>
      </c>
      <c r="B2583" s="156" t="str">
        <f>'Reported burning'!B2583</f>
        <v>305i.5</v>
      </c>
      <c r="C2583" s="156" t="str">
        <f>'Reported burning'!C2583</f>
        <v>Human, deliberate</v>
      </c>
      <c r="D2583" s="156" t="str">
        <f>'Reported burning'!D2583</f>
        <v>Pyrome management</v>
      </c>
      <c r="E2583" s="156" t="str">
        <f>'Reported burning'!E2583</f>
        <v>Fire suppression agent</v>
      </c>
      <c r="F2583" s="156" t="str">
        <f>'Reported burning'!F2583</f>
        <v>ND</v>
      </c>
      <c r="G2583" s="156" t="str">
        <f>'Reported burning'!G2583</f>
        <v>ND</v>
      </c>
      <c r="H2583" s="156" t="str">
        <f>'Reported burning'!H2583</f>
        <v>Presence</v>
      </c>
      <c r="I2583" s="5">
        <f>'Reported burning'!I2583</f>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04" t="s">
        <v>2276</v>
      </c>
      <c r="U2583" s="204" t="s">
        <v>2276</v>
      </c>
      <c r="V2583" s="204" t="s">
        <v>2276</v>
      </c>
      <c r="W2583" s="204" t="s">
        <v>2276</v>
      </c>
      <c r="X2583" s="204" t="s">
        <v>35</v>
      </c>
      <c r="Y2583" s="204" t="s">
        <v>38</v>
      </c>
      <c r="Z2583" s="204" t="s">
        <v>64</v>
      </c>
      <c r="AA2583" s="204" t="s">
        <v>7627</v>
      </c>
      <c r="AB2583" s="204"/>
    </row>
    <row r="2584" spans="1:28" ht="33.5" customHeight="1">
      <c r="A2584" s="156" t="str">
        <f>'Reported burning'!A2584</f>
        <v>305j</v>
      </c>
      <c r="B2584" s="156" t="str">
        <f>'Reported burning'!B2584</f>
        <v>305j.5</v>
      </c>
      <c r="C2584" s="156" t="str">
        <f>'Reported burning'!C2584</f>
        <v>Human, deliberate</v>
      </c>
      <c r="D2584" s="156" t="str">
        <f>'Reported burning'!D2584</f>
        <v>Pyrome management</v>
      </c>
      <c r="E2584" s="156" t="str">
        <f>'Reported burning'!E2584</f>
        <v>Fire suppression agent</v>
      </c>
      <c r="F2584" s="156" t="str">
        <f>'Reported burning'!F2584</f>
        <v>ND</v>
      </c>
      <c r="G2584" s="156" t="str">
        <f>'Reported burning'!G2584</f>
        <v>ND</v>
      </c>
      <c r="H2584" s="156" t="str">
        <f>'Reported burning'!H2584</f>
        <v>Presence</v>
      </c>
      <c r="I2584" s="5">
        <f>'Reported burning'!I2584</f>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04" t="s">
        <v>2276</v>
      </c>
      <c r="U2584" s="204" t="s">
        <v>2276</v>
      </c>
      <c r="V2584" s="204" t="s">
        <v>2276</v>
      </c>
      <c r="W2584" s="204" t="s">
        <v>2276</v>
      </c>
      <c r="X2584" s="204" t="s">
        <v>35</v>
      </c>
      <c r="Y2584" s="204" t="s">
        <v>38</v>
      </c>
      <c r="Z2584" s="204" t="s">
        <v>64</v>
      </c>
      <c r="AA2584" s="204" t="s">
        <v>7627</v>
      </c>
      <c r="AB2584" s="204"/>
    </row>
    <row r="2585" spans="1:28" ht="33.5" customHeight="1">
      <c r="A2585" s="156" t="str">
        <f>'Reported burning'!A2585</f>
        <v>305k</v>
      </c>
      <c r="B2585" s="156" t="str">
        <f>'Reported burning'!B2585</f>
        <v>305k.5</v>
      </c>
      <c r="C2585" s="156" t="str">
        <f>'Reported burning'!C2585</f>
        <v>Human, deliberate</v>
      </c>
      <c r="D2585" s="156" t="str">
        <f>'Reported burning'!D2585</f>
        <v>Pyrome management</v>
      </c>
      <c r="E2585" s="156" t="str">
        <f>'Reported burning'!E2585</f>
        <v>Fire suppression agent</v>
      </c>
      <c r="F2585" s="156" t="str">
        <f>'Reported burning'!F2585</f>
        <v>ND</v>
      </c>
      <c r="G2585" s="156" t="str">
        <f>'Reported burning'!G2585</f>
        <v>ND</v>
      </c>
      <c r="H2585" s="156" t="str">
        <f>'Reported burning'!H2585</f>
        <v>Presence</v>
      </c>
      <c r="I2585" s="5">
        <f>'Reported burning'!I2585</f>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35</v>
      </c>
      <c r="Y2585" s="204" t="s">
        <v>38</v>
      </c>
      <c r="Z2585" s="204" t="s">
        <v>64</v>
      </c>
      <c r="AA2585" s="204" t="s">
        <v>7627</v>
      </c>
      <c r="AB2585" s="204"/>
    </row>
    <row r="2586" spans="1:28" ht="33.5" customHeight="1">
      <c r="A2586" s="156" t="str">
        <f>'Reported burning'!A2586</f>
        <v>305l</v>
      </c>
      <c r="B2586" s="156" t="str">
        <f>'Reported burning'!B2586</f>
        <v>305l.5</v>
      </c>
      <c r="C2586" s="156" t="str">
        <f>'Reported burning'!C2586</f>
        <v>Human, deliberate</v>
      </c>
      <c r="D2586" s="156" t="str">
        <f>'Reported burning'!D2586</f>
        <v>Pyrome management</v>
      </c>
      <c r="E2586" s="156" t="str">
        <f>'Reported burning'!E2586</f>
        <v>Fire suppression agent</v>
      </c>
      <c r="F2586" s="156" t="str">
        <f>'Reported burning'!F2586</f>
        <v>ND</v>
      </c>
      <c r="G2586" s="156" t="str">
        <f>'Reported burning'!G2586</f>
        <v>ND</v>
      </c>
      <c r="H2586" s="156" t="str">
        <f>'Reported burning'!H2586</f>
        <v>Presence</v>
      </c>
      <c r="I2586" s="5">
        <f>'Reported burning'!I2586</f>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35</v>
      </c>
      <c r="Y2586" s="204" t="s">
        <v>38</v>
      </c>
      <c r="Z2586" s="204" t="s">
        <v>64</v>
      </c>
      <c r="AA2586" s="204" t="s">
        <v>7627</v>
      </c>
      <c r="AB2586" s="204"/>
    </row>
    <row r="2587" spans="1:28" ht="33.5" customHeight="1">
      <c r="A2587" s="156" t="str">
        <f>'Reported burning'!A2587</f>
        <v>305m</v>
      </c>
      <c r="B2587" s="156" t="str">
        <f>'Reported burning'!B2587</f>
        <v>305m.5</v>
      </c>
      <c r="C2587" s="156" t="str">
        <f>'Reported burning'!C2587</f>
        <v>Human, deliberate</v>
      </c>
      <c r="D2587" s="156" t="str">
        <f>'Reported burning'!D2587</f>
        <v>Pyrome management</v>
      </c>
      <c r="E2587" s="156" t="str">
        <f>'Reported burning'!E2587</f>
        <v>Fire suppression agent</v>
      </c>
      <c r="F2587" s="156" t="str">
        <f>'Reported burning'!F2587</f>
        <v>ND</v>
      </c>
      <c r="G2587" s="156" t="str">
        <f>'Reported burning'!G2587</f>
        <v>ND</v>
      </c>
      <c r="H2587" s="156" t="str">
        <f>'Reported burning'!H2587</f>
        <v>Presence</v>
      </c>
      <c r="I2587" s="5">
        <f>'Reported burning'!I2587</f>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04" t="s">
        <v>2276</v>
      </c>
      <c r="U2587" s="204" t="s">
        <v>2276</v>
      </c>
      <c r="V2587" s="204" t="s">
        <v>2276</v>
      </c>
      <c r="W2587" s="204" t="s">
        <v>2276</v>
      </c>
      <c r="X2587" s="204" t="s">
        <v>35</v>
      </c>
      <c r="Y2587" s="204" t="s">
        <v>38</v>
      </c>
      <c r="Z2587" s="204" t="s">
        <v>64</v>
      </c>
      <c r="AA2587" s="204" t="s">
        <v>7627</v>
      </c>
      <c r="AB2587" s="204"/>
    </row>
    <row r="2588" spans="1:28" ht="33.5" customHeight="1">
      <c r="A2588" s="156" t="str">
        <f>'Reported burning'!A2588</f>
        <v>305i</v>
      </c>
      <c r="B2588" s="156" t="str">
        <f>'Reported burning'!B2588</f>
        <v>305i.6</v>
      </c>
      <c r="C2588" s="156" t="str">
        <f>'Reported burning'!C2588</f>
        <v>Human, deliberate</v>
      </c>
      <c r="D2588" s="156" t="str">
        <f>'Reported burning'!D2588</f>
        <v>Pyrome management</v>
      </c>
      <c r="E2588" s="156" t="str">
        <f>'Reported burning'!E2588</f>
        <v>Fire suppression agent</v>
      </c>
      <c r="F2588" s="156" t="str">
        <f>'Reported burning'!F2588</f>
        <v>ND</v>
      </c>
      <c r="G2588" s="156" t="str">
        <f>'Reported burning'!G2588</f>
        <v>ND</v>
      </c>
      <c r="H2588" s="156" t="str">
        <f>'Reported burning'!H2588</f>
        <v>Presence</v>
      </c>
      <c r="I2588" s="5">
        <f>'Reported burning'!I2588</f>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35</v>
      </c>
      <c r="Y2588" s="204" t="s">
        <v>38</v>
      </c>
      <c r="Z2588" s="204" t="s">
        <v>64</v>
      </c>
      <c r="AA2588" s="204" t="s">
        <v>7627</v>
      </c>
      <c r="AB2588" s="204"/>
    </row>
    <row r="2589" spans="1:28" ht="33.5" customHeight="1">
      <c r="A2589" s="156" t="str">
        <f>'Reported burning'!A2589</f>
        <v>305j</v>
      </c>
      <c r="B2589" s="156" t="str">
        <f>'Reported burning'!B2589</f>
        <v>305j.6</v>
      </c>
      <c r="C2589" s="156" t="str">
        <f>'Reported burning'!C2589</f>
        <v>Human, deliberate</v>
      </c>
      <c r="D2589" s="156" t="str">
        <f>'Reported burning'!D2589</f>
        <v>Pyrome management</v>
      </c>
      <c r="E2589" s="156" t="str">
        <f>'Reported burning'!E2589</f>
        <v>Fire suppression agent</v>
      </c>
      <c r="F2589" s="156" t="str">
        <f>'Reported burning'!F2589</f>
        <v>ND</v>
      </c>
      <c r="G2589" s="156" t="str">
        <f>'Reported burning'!G2589</f>
        <v>ND</v>
      </c>
      <c r="H2589" s="156" t="str">
        <f>'Reported burning'!H2589</f>
        <v>Presence</v>
      </c>
      <c r="I2589" s="5">
        <f>'Reported burning'!I2589</f>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35</v>
      </c>
      <c r="Y2589" s="204" t="s">
        <v>38</v>
      </c>
      <c r="Z2589" s="204" t="s">
        <v>64</v>
      </c>
      <c r="AA2589" s="204" t="s">
        <v>7627</v>
      </c>
      <c r="AB2589" s="204"/>
    </row>
    <row r="2590" spans="1:28" ht="33.5" customHeight="1">
      <c r="A2590" s="156" t="str">
        <f>'Reported burning'!A2590</f>
        <v>305k</v>
      </c>
      <c r="B2590" s="156" t="str">
        <f>'Reported burning'!B2590</f>
        <v>305k.6</v>
      </c>
      <c r="C2590" s="156" t="str">
        <f>'Reported burning'!C2590</f>
        <v>Human, deliberate</v>
      </c>
      <c r="D2590" s="156" t="str">
        <f>'Reported burning'!D2590</f>
        <v>Pyrome management</v>
      </c>
      <c r="E2590" s="156" t="str">
        <f>'Reported burning'!E2590</f>
        <v>Fire suppression agent</v>
      </c>
      <c r="F2590" s="156" t="str">
        <f>'Reported burning'!F2590</f>
        <v>ND</v>
      </c>
      <c r="G2590" s="156" t="str">
        <f>'Reported burning'!G2590</f>
        <v>ND</v>
      </c>
      <c r="H2590" s="156" t="str">
        <f>'Reported burning'!H2590</f>
        <v>Presence</v>
      </c>
      <c r="I2590" s="5">
        <f>'Reported burning'!I2590</f>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35</v>
      </c>
      <c r="Y2590" s="204" t="s">
        <v>38</v>
      </c>
      <c r="Z2590" s="204" t="s">
        <v>64</v>
      </c>
      <c r="AA2590" s="204" t="s">
        <v>7627</v>
      </c>
      <c r="AB2590" s="204"/>
    </row>
    <row r="2591" spans="1:28" ht="33.5" customHeight="1">
      <c r="A2591" s="156" t="str">
        <f>'Reported burning'!A2591</f>
        <v>305l</v>
      </c>
      <c r="B2591" s="156" t="str">
        <f>'Reported burning'!B2591</f>
        <v>305l.6</v>
      </c>
      <c r="C2591" s="156" t="str">
        <f>'Reported burning'!C2591</f>
        <v>Human, deliberate</v>
      </c>
      <c r="D2591" s="156" t="str">
        <f>'Reported burning'!D2591</f>
        <v>Pyrome management</v>
      </c>
      <c r="E2591" s="156" t="str">
        <f>'Reported burning'!E2591</f>
        <v>Fire suppression agent</v>
      </c>
      <c r="F2591" s="156" t="str">
        <f>'Reported burning'!F2591</f>
        <v>ND</v>
      </c>
      <c r="G2591" s="156" t="str">
        <f>'Reported burning'!G2591</f>
        <v>ND</v>
      </c>
      <c r="H2591" s="156" t="str">
        <f>'Reported burning'!H2591</f>
        <v>Presence</v>
      </c>
      <c r="I2591" s="5">
        <f>'Reported burning'!I2591</f>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35</v>
      </c>
      <c r="Y2591" s="204" t="s">
        <v>38</v>
      </c>
      <c r="Z2591" s="204" t="s">
        <v>64</v>
      </c>
      <c r="AA2591" s="204" t="s">
        <v>7627</v>
      </c>
      <c r="AB2591" s="204"/>
    </row>
    <row r="2592" spans="1:28" ht="33.5" customHeight="1">
      <c r="A2592" s="156" t="str">
        <f>'Reported burning'!A2592</f>
        <v>305m</v>
      </c>
      <c r="B2592" s="156" t="str">
        <f>'Reported burning'!B2592</f>
        <v>305m.6</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Presence</v>
      </c>
      <c r="I2592" s="5">
        <f>'Reported burning'!I2592</f>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35</v>
      </c>
      <c r="Y2592" s="204" t="s">
        <v>38</v>
      </c>
      <c r="Z2592" s="204" t="s">
        <v>64</v>
      </c>
      <c r="AA2592" s="204" t="s">
        <v>7627</v>
      </c>
      <c r="AB2592" s="204"/>
    </row>
    <row r="2593" spans="1:28" ht="33.5" customHeight="1">
      <c r="A2593" s="156" t="str">
        <f>'Reported burning'!A2593</f>
        <v>305i</v>
      </c>
      <c r="B2593" s="156" t="str">
        <f>'Reported burning'!B2593</f>
        <v>305i.7</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Presence</v>
      </c>
      <c r="I2593" s="5">
        <f>'Reported burning'!I2593</f>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35</v>
      </c>
      <c r="Y2593" s="204" t="s">
        <v>38</v>
      </c>
      <c r="Z2593" s="204" t="s">
        <v>64</v>
      </c>
      <c r="AA2593" s="204" t="s">
        <v>7627</v>
      </c>
      <c r="AB2593" s="204"/>
    </row>
    <row r="2594" spans="1:28" ht="33.5" customHeight="1">
      <c r="A2594" s="156" t="str">
        <f>'Reported burning'!A2594</f>
        <v>305j</v>
      </c>
      <c r="B2594" s="156" t="str">
        <f>'Reported burning'!B2594</f>
        <v>305j.7</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Presence</v>
      </c>
      <c r="I2594" s="5">
        <f>'Reported burning'!I2594</f>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35</v>
      </c>
      <c r="Y2594" s="204" t="s">
        <v>38</v>
      </c>
      <c r="Z2594" s="204" t="s">
        <v>64</v>
      </c>
      <c r="AA2594" s="204" t="s">
        <v>7627</v>
      </c>
      <c r="AB2594" s="204"/>
    </row>
    <row r="2595" spans="1:28" ht="33.5" customHeight="1">
      <c r="A2595" s="156" t="str">
        <f>'Reported burning'!A2595</f>
        <v>305k</v>
      </c>
      <c r="B2595" s="156" t="str">
        <f>'Reported burning'!B2595</f>
        <v>305k.7</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Presence</v>
      </c>
      <c r="I2595" s="5">
        <f>'Reported burning'!I2595</f>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35</v>
      </c>
      <c r="Y2595" s="204" t="s">
        <v>38</v>
      </c>
      <c r="Z2595" s="204" t="s">
        <v>64</v>
      </c>
      <c r="AA2595" s="204" t="s">
        <v>7627</v>
      </c>
      <c r="AB2595" s="204"/>
    </row>
    <row r="2596" spans="1:28" ht="33.5" customHeight="1">
      <c r="A2596" s="156" t="str">
        <f>'Reported burning'!A2596</f>
        <v>305l</v>
      </c>
      <c r="B2596" s="156" t="str">
        <f>'Reported burning'!B2596</f>
        <v>305l.7</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Presence</v>
      </c>
      <c r="I2596" s="5">
        <f>'Reported burning'!I2596</f>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35</v>
      </c>
      <c r="Y2596" s="204" t="s">
        <v>38</v>
      </c>
      <c r="Z2596" s="204" t="s">
        <v>64</v>
      </c>
      <c r="AA2596" s="204" t="s">
        <v>7627</v>
      </c>
      <c r="AB2596" s="204"/>
    </row>
    <row r="2597" spans="1:28" ht="33.5" customHeight="1">
      <c r="A2597" s="156" t="str">
        <f>'Reported burning'!A2597</f>
        <v>305m</v>
      </c>
      <c r="B2597" s="156" t="str">
        <f>'Reported burning'!B2597</f>
        <v>305m.7</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Presence</v>
      </c>
      <c r="I2597" s="5">
        <f>'Reported burning'!I2597</f>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35</v>
      </c>
      <c r="Y2597" s="204" t="s">
        <v>38</v>
      </c>
      <c r="Z2597" s="204" t="s">
        <v>64</v>
      </c>
      <c r="AA2597" s="204" t="s">
        <v>7627</v>
      </c>
      <c r="AB2597" s="204"/>
    </row>
    <row r="2598" spans="1:28" ht="33.5" customHeight="1">
      <c r="A2598" s="156" t="str">
        <f>'Reported burning'!A2598</f>
        <v>305i</v>
      </c>
      <c r="B2598" s="156" t="str">
        <f>'Reported burning'!B2598</f>
        <v>305i.8</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Presence</v>
      </c>
      <c r="I2598" s="5">
        <f>'Reported burning'!I2598</f>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35</v>
      </c>
      <c r="Y2598" s="204" t="s">
        <v>38</v>
      </c>
      <c r="Z2598" s="204" t="s">
        <v>64</v>
      </c>
      <c r="AA2598" s="204" t="s">
        <v>7627</v>
      </c>
      <c r="AB2598" s="204"/>
    </row>
    <row r="2599" spans="1:28" ht="33.5" customHeight="1">
      <c r="A2599" s="156" t="str">
        <f>'Reported burning'!A2599</f>
        <v>305j</v>
      </c>
      <c r="B2599" s="156" t="str">
        <f>'Reported burning'!B2599</f>
        <v>305j.8</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Presence</v>
      </c>
      <c r="I2599" s="5">
        <f>'Reported burning'!I2599</f>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35</v>
      </c>
      <c r="Y2599" s="204" t="s">
        <v>38</v>
      </c>
      <c r="Z2599" s="204" t="s">
        <v>64</v>
      </c>
      <c r="AA2599" s="204" t="s">
        <v>7627</v>
      </c>
      <c r="AB2599" s="204"/>
    </row>
    <row r="2600" spans="1:28" ht="33.5" customHeight="1">
      <c r="A2600" s="156" t="str">
        <f>'Reported burning'!A2600</f>
        <v>305k</v>
      </c>
      <c r="B2600" s="156" t="str">
        <f>'Reported burning'!B2600</f>
        <v>305k.8</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7627</v>
      </c>
      <c r="AB2600" s="204"/>
    </row>
    <row r="2601" spans="1:28" ht="33.5" customHeight="1">
      <c r="A2601" s="156" t="str">
        <f>'Reported burning'!A2601</f>
        <v>305l</v>
      </c>
      <c r="B2601" s="156" t="str">
        <f>'Reported burning'!B2601</f>
        <v>305l.8</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7627</v>
      </c>
      <c r="AB2601" s="204"/>
    </row>
    <row r="2602" spans="1:28" ht="33.5" customHeight="1">
      <c r="A2602" s="156" t="str">
        <f>'Reported burning'!A2602</f>
        <v>305m</v>
      </c>
      <c r="B2602" s="156" t="str">
        <f>'Reported burning'!B2602</f>
        <v>305m.8</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7627</v>
      </c>
      <c r="AB2602" s="204"/>
    </row>
    <row r="2603" spans="1:28" ht="33.5" customHeight="1">
      <c r="A2603" s="156" t="str">
        <f>'Reported burning'!A2603</f>
        <v>305i</v>
      </c>
      <c r="B2603" s="156" t="str">
        <f>'Reported burning'!B2603</f>
        <v>305i.9</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7627</v>
      </c>
      <c r="AB2603" s="204"/>
    </row>
    <row r="2604" spans="1:28" ht="33.5" customHeight="1">
      <c r="A2604" s="156" t="str">
        <f>'Reported burning'!A2604</f>
        <v>305j</v>
      </c>
      <c r="B2604" s="156" t="str">
        <f>'Reported burning'!B2604</f>
        <v>305j.9</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7627</v>
      </c>
      <c r="AB2604" s="204"/>
    </row>
    <row r="2605" spans="1:28" ht="33.5" customHeight="1">
      <c r="A2605" s="156" t="str">
        <f>'Reported burning'!A2605</f>
        <v>305k</v>
      </c>
      <c r="B2605" s="156" t="str">
        <f>'Reported burning'!B2605</f>
        <v>305k.9</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7627</v>
      </c>
      <c r="AB2605" s="204"/>
    </row>
    <row r="2606" spans="1:28" ht="33.5" customHeight="1">
      <c r="A2606" s="156" t="str">
        <f>'Reported burning'!A2606</f>
        <v>305l</v>
      </c>
      <c r="B2606" s="156" t="str">
        <f>'Reported burning'!B2606</f>
        <v>305l.9</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7627</v>
      </c>
      <c r="AB2606" s="204"/>
    </row>
    <row r="2607" spans="1:28" ht="33.5" customHeight="1">
      <c r="A2607" s="156" t="str">
        <f>'Reported burning'!A2607</f>
        <v>305m</v>
      </c>
      <c r="B2607" s="156" t="str">
        <f>'Reported burning'!B2607</f>
        <v>305m.9</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7627</v>
      </c>
      <c r="AB2607" s="204"/>
    </row>
    <row r="2608" spans="1:28" ht="33.5" customHeight="1">
      <c r="A2608" s="156" t="str">
        <f>'Reported burning'!A2608</f>
        <v>305i</v>
      </c>
      <c r="B2608" s="156" t="str">
        <f>'Reported burning'!B2608</f>
        <v>305i.10</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7627</v>
      </c>
      <c r="AB2608" s="204"/>
    </row>
    <row r="2609" spans="1:28" ht="33.5" customHeight="1">
      <c r="A2609" s="156" t="str">
        <f>'Reported burning'!A2609</f>
        <v>305j</v>
      </c>
      <c r="B2609" s="156" t="str">
        <f>'Reported burning'!B2609</f>
        <v>305j.10</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7627</v>
      </c>
      <c r="AB2609" s="204"/>
    </row>
    <row r="2610" spans="1:28" ht="33.5" customHeight="1">
      <c r="A2610" s="156" t="str">
        <f>'Reported burning'!A2610</f>
        <v>305k</v>
      </c>
      <c r="B2610" s="156" t="str">
        <f>'Reported burning'!B2610</f>
        <v>305k.10</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7627</v>
      </c>
      <c r="AB2610" s="204"/>
    </row>
    <row r="2611" spans="1:28" ht="33.5" customHeight="1">
      <c r="A2611" s="156" t="str">
        <f>'Reported burning'!A2611</f>
        <v>305l</v>
      </c>
      <c r="B2611" s="156" t="str">
        <f>'Reported burning'!B2611</f>
        <v>305l.10</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7627</v>
      </c>
      <c r="AB2611" s="204"/>
    </row>
    <row r="2612" spans="1:28" ht="33.5" customHeight="1">
      <c r="A2612" s="156" t="str">
        <f>'Reported burning'!A2612</f>
        <v>305m</v>
      </c>
      <c r="B2612" s="156" t="str">
        <f>'Reported burning'!B2612</f>
        <v>305m.10</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7627</v>
      </c>
      <c r="AB2612" s="204"/>
    </row>
    <row r="2613" spans="1:28" ht="33.5" customHeight="1">
      <c r="A2613" s="156" t="str">
        <f>'Reported burning'!A2613</f>
        <v>305i</v>
      </c>
      <c r="B2613" s="156" t="str">
        <f>'Reported burning'!B2613</f>
        <v>305i.11</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7627</v>
      </c>
      <c r="AB2613" s="204"/>
    </row>
    <row r="2614" spans="1:28" ht="33.5" customHeight="1">
      <c r="A2614" s="156" t="str">
        <f>'Reported burning'!A2614</f>
        <v>305j</v>
      </c>
      <c r="B2614" s="156" t="str">
        <f>'Reported burning'!B2614</f>
        <v>305j.11</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7627</v>
      </c>
      <c r="AB2614" s="204"/>
    </row>
    <row r="2615" spans="1:28" ht="33.5" customHeight="1">
      <c r="A2615" s="156" t="str">
        <f>'Reported burning'!A2615</f>
        <v>305k</v>
      </c>
      <c r="B2615" s="156" t="str">
        <f>'Reported burning'!B2615</f>
        <v>305k.11</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7627</v>
      </c>
      <c r="AB2615" s="204"/>
    </row>
    <row r="2616" spans="1:28" ht="33.5" customHeight="1">
      <c r="A2616" s="156" t="str">
        <f>'Reported burning'!A2616</f>
        <v>305l</v>
      </c>
      <c r="B2616" s="156" t="str">
        <f>'Reported burning'!B2616</f>
        <v>305l.11</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7627</v>
      </c>
      <c r="AB2616" s="204"/>
    </row>
    <row r="2617" spans="1:28" ht="33.5" customHeight="1">
      <c r="A2617" s="156" t="str">
        <f>'Reported burning'!A2617</f>
        <v>305m</v>
      </c>
      <c r="B2617" s="156" t="str">
        <f>'Reported burning'!B2617</f>
        <v>305m.11</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7627</v>
      </c>
      <c r="AB2617" s="204"/>
    </row>
    <row r="2618" spans="1:28" ht="33.5" customHeight="1">
      <c r="A2618" s="156" t="str">
        <f>'Reported burning'!A2618</f>
        <v>305i</v>
      </c>
      <c r="B2618" s="156" t="str">
        <f>'Reported burning'!B2618</f>
        <v>305i.12</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7627</v>
      </c>
      <c r="AB2618" s="204"/>
    </row>
    <row r="2619" spans="1:28" ht="33.5" customHeight="1">
      <c r="A2619" s="156" t="str">
        <f>'Reported burning'!A2619</f>
        <v>305j</v>
      </c>
      <c r="B2619" s="156" t="str">
        <f>'Reported burning'!B2619</f>
        <v>305j.12</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7627</v>
      </c>
      <c r="AB2619" s="204"/>
    </row>
    <row r="2620" spans="1:28" ht="33.5" customHeight="1">
      <c r="A2620" s="156" t="str">
        <f>'Reported burning'!A2620</f>
        <v>305k</v>
      </c>
      <c r="B2620" s="156" t="str">
        <f>'Reported burning'!B2620</f>
        <v>305k.12</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7627</v>
      </c>
      <c r="AB2620" s="204"/>
    </row>
    <row r="2621" spans="1:28" ht="33.5" customHeight="1">
      <c r="A2621" s="156" t="str">
        <f>'Reported burning'!A2621</f>
        <v>305l</v>
      </c>
      <c r="B2621" s="156" t="str">
        <f>'Reported burning'!B2621</f>
        <v>305l.12</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7627</v>
      </c>
      <c r="AB2621" s="204"/>
    </row>
    <row r="2622" spans="1:28" ht="33.5" customHeight="1">
      <c r="A2622" s="156" t="str">
        <f>'Reported burning'!A2622</f>
        <v>305m</v>
      </c>
      <c r="B2622" s="156" t="str">
        <f>'Reported burning'!B2622</f>
        <v>305m.12</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7627</v>
      </c>
      <c r="AB2622" s="204"/>
    </row>
    <row r="2623" spans="1:28" ht="33.5" customHeight="1">
      <c r="A2623" s="156" t="str">
        <f>'Reported burning'!A2623</f>
        <v>305i</v>
      </c>
      <c r="B2623" s="156" t="str">
        <f>'Reported burning'!B2623</f>
        <v>305i.13</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7627</v>
      </c>
      <c r="AB2623" s="204"/>
    </row>
    <row r="2624" spans="1:28" ht="33.5" customHeight="1">
      <c r="A2624" s="156" t="str">
        <f>'Reported burning'!A2624</f>
        <v>305j</v>
      </c>
      <c r="B2624" s="156" t="str">
        <f>'Reported burning'!B2624</f>
        <v>305j.13</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7627</v>
      </c>
      <c r="AB2624" s="204"/>
    </row>
    <row r="2625" spans="1:28" ht="33.5" customHeight="1">
      <c r="A2625" s="156" t="str">
        <f>'Reported burning'!A2625</f>
        <v>305k</v>
      </c>
      <c r="B2625" s="156" t="str">
        <f>'Reported burning'!B2625</f>
        <v>305k.13</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7627</v>
      </c>
      <c r="AB2625" s="204"/>
    </row>
    <row r="2626" spans="1:28" ht="33.5" customHeight="1">
      <c r="A2626" s="156" t="str">
        <f>'Reported burning'!A2626</f>
        <v>305l</v>
      </c>
      <c r="B2626" s="156" t="str">
        <f>'Reported burning'!B2626</f>
        <v>305l.13</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7627</v>
      </c>
      <c r="AB2626" s="204"/>
    </row>
    <row r="2627" spans="1:28" ht="33.5" customHeight="1">
      <c r="A2627" s="156" t="str">
        <f>'Reported burning'!A2627</f>
        <v>305m</v>
      </c>
      <c r="B2627" s="156" t="str">
        <f>'Reported burning'!B2627</f>
        <v>305m.13</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7627</v>
      </c>
      <c r="AB2627" s="204"/>
    </row>
    <row r="2628" spans="1:28" ht="33.5" customHeight="1">
      <c r="A2628" s="156" t="str">
        <f>'Reported burning'!A2628</f>
        <v>305i</v>
      </c>
      <c r="B2628" s="156" t="str">
        <f>'Reported burning'!B2628</f>
        <v>305i.14</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7627</v>
      </c>
      <c r="AB2628" s="204"/>
    </row>
    <row r="2629" spans="1:28" ht="33.5" customHeight="1">
      <c r="A2629" s="156" t="str">
        <f>'Reported burning'!A2629</f>
        <v>305j</v>
      </c>
      <c r="B2629" s="156" t="str">
        <f>'Reported burning'!B2629</f>
        <v>305j.14</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7627</v>
      </c>
      <c r="AB2629" s="204"/>
    </row>
    <row r="2630" spans="1:28" ht="33.5" customHeight="1">
      <c r="A2630" s="156" t="str">
        <f>'Reported burning'!A2630</f>
        <v>305k</v>
      </c>
      <c r="B2630" s="156" t="str">
        <f>'Reported burning'!B2630</f>
        <v>305k.14</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7627</v>
      </c>
      <c r="AB2630" s="204"/>
    </row>
    <row r="2631" spans="1:28" ht="33.5" customHeight="1">
      <c r="A2631" s="156" t="str">
        <f>'Reported burning'!A2631</f>
        <v>305l</v>
      </c>
      <c r="B2631" s="156" t="str">
        <f>'Reported burning'!B2631</f>
        <v>305l.14</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7627</v>
      </c>
      <c r="AB2631" s="204"/>
    </row>
    <row r="2632" spans="1:28" ht="33.5" customHeight="1">
      <c r="A2632" s="156" t="str">
        <f>'Reported burning'!A2632</f>
        <v>305m</v>
      </c>
      <c r="B2632" s="156" t="str">
        <f>'Reported burning'!B2632</f>
        <v>305m.14</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7627</v>
      </c>
      <c r="AB2632" s="204"/>
    </row>
    <row r="2633" spans="1:28" ht="33.5" customHeight="1">
      <c r="A2633" s="156" t="str">
        <f>'Reported burning'!A2633</f>
        <v>305i</v>
      </c>
      <c r="B2633" s="156" t="str">
        <f>'Reported burning'!B2633</f>
        <v>305i.15</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7627</v>
      </c>
      <c r="AB2633" s="204"/>
    </row>
    <row r="2634" spans="1:28" ht="33.5" customHeight="1">
      <c r="A2634" s="156" t="str">
        <f>'Reported burning'!A2634</f>
        <v>305j</v>
      </c>
      <c r="B2634" s="156" t="str">
        <f>'Reported burning'!B2634</f>
        <v>305j.15</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7627</v>
      </c>
      <c r="AB2634" s="204"/>
    </row>
    <row r="2635" spans="1:28" ht="33.5" customHeight="1">
      <c r="A2635" s="156" t="str">
        <f>'Reported burning'!A2635</f>
        <v>305k</v>
      </c>
      <c r="B2635" s="156" t="str">
        <f>'Reported burning'!B2635</f>
        <v>305k.15</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7627</v>
      </c>
      <c r="AB2635" s="204"/>
    </row>
    <row r="2636" spans="1:28" ht="33.5" customHeight="1">
      <c r="A2636" s="156" t="str">
        <f>'Reported burning'!A2636</f>
        <v>305l</v>
      </c>
      <c r="B2636" s="156" t="str">
        <f>'Reported burning'!B2636</f>
        <v>305l.15</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7627</v>
      </c>
      <c r="AB2636" s="204"/>
    </row>
    <row r="2637" spans="1:28" ht="33.5" customHeight="1">
      <c r="A2637" s="156" t="str">
        <f>'Reported burning'!A2637</f>
        <v>305m</v>
      </c>
      <c r="B2637" s="156" t="str">
        <f>'Reported burning'!B2637</f>
        <v>305m.15</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7627</v>
      </c>
      <c r="AB2637" s="204"/>
    </row>
    <row r="2638" spans="1:28" ht="33.5" customHeight="1">
      <c r="A2638" s="156" t="str">
        <f>'Reported burning'!A2638</f>
        <v>305n</v>
      </c>
      <c r="B2638" s="156" t="str">
        <f>'Reported burning'!B2638</f>
        <v>305n.1</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38" t="s">
        <v>68</v>
      </c>
      <c r="Y2638" s="204" t="s">
        <v>86</v>
      </c>
      <c r="Z2638" s="203" t="s">
        <v>76</v>
      </c>
      <c r="AA2638" s="204"/>
      <c r="AB2638" s="204"/>
    </row>
    <row r="2639" spans="1:28" ht="33.5" customHeight="1">
      <c r="A2639" s="156" t="str">
        <f>'Reported burning'!A2639</f>
        <v>305o</v>
      </c>
      <c r="B2639" s="156" t="str">
        <f>'Reported burning'!B2639</f>
        <v>305o.1</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68</v>
      </c>
      <c r="Y2639" s="204" t="s">
        <v>86</v>
      </c>
      <c r="Z2639" s="204" t="s">
        <v>76</v>
      </c>
      <c r="AA2639" s="204"/>
      <c r="AB2639" s="204"/>
    </row>
    <row r="2640" spans="1:28" ht="34.5" customHeight="1">
      <c r="A2640" s="156" t="str">
        <f>'Reported burning'!A2640</f>
        <v>305p</v>
      </c>
      <c r="B2640" s="156" t="str">
        <f>'Reported burning'!B2640</f>
        <v>305p.1</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68</v>
      </c>
      <c r="Y2640" s="204" t="s">
        <v>86</v>
      </c>
      <c r="Z2640" s="204" t="s">
        <v>76</v>
      </c>
      <c r="AA2640" s="204"/>
      <c r="AB2640" s="204"/>
    </row>
    <row r="2641" spans="1:28" ht="34.5" customHeight="1">
      <c r="A2641" s="156" t="str">
        <f>'Reported burning'!A2641</f>
        <v>305q</v>
      </c>
      <c r="B2641" s="156" t="str">
        <f>'Reported burning'!B2641</f>
        <v>305q.1</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68</v>
      </c>
      <c r="Y2641" s="204" t="s">
        <v>86</v>
      </c>
      <c r="Z2641" s="204" t="s">
        <v>76</v>
      </c>
      <c r="AA2641" s="204"/>
      <c r="AB2641" s="204"/>
    </row>
    <row r="2642" spans="1:28" ht="34.5" customHeight="1">
      <c r="A2642" s="156" t="str">
        <f>'Reported burning'!A2642</f>
        <v>305r</v>
      </c>
      <c r="B2642" s="156" t="str">
        <f>'Reported burning'!B2642</f>
        <v>305r.1</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Absence</v>
      </c>
      <c r="I2642" s="5"/>
      <c r="J2642" s="14" t="s">
        <v>2364</v>
      </c>
      <c r="K2642" s="14" t="s">
        <v>2364</v>
      </c>
      <c r="L2642" s="14" t="s">
        <v>2364</v>
      </c>
      <c r="M2642" s="14" t="s">
        <v>2364</v>
      </c>
      <c r="N2642" s="14" t="s">
        <v>2364</v>
      </c>
      <c r="O2642" s="14" t="s">
        <v>2364</v>
      </c>
      <c r="P2642" s="14" t="s">
        <v>2364</v>
      </c>
      <c r="Q2642" s="14" t="s">
        <v>2364</v>
      </c>
      <c r="R2642" s="14" t="s">
        <v>2364</v>
      </c>
      <c r="S2642" s="14" t="s">
        <v>2364</v>
      </c>
      <c r="T2642" s="14" t="s">
        <v>2364</v>
      </c>
      <c r="U2642" s="14" t="s">
        <v>2364</v>
      </c>
      <c r="V2642" s="14" t="s">
        <v>2364</v>
      </c>
      <c r="W2642" s="204" t="s">
        <v>2276</v>
      </c>
      <c r="X2642" s="204" t="s">
        <v>68</v>
      </c>
      <c r="Y2642" s="204" t="s">
        <v>86</v>
      </c>
      <c r="Z2642" s="204" t="s">
        <v>76</v>
      </c>
      <c r="AA2642" s="204"/>
      <c r="AB2642" s="204"/>
    </row>
    <row r="2643" spans="1:28" ht="34.5" customHeight="1">
      <c r="A2643" s="156" t="str">
        <f>'Reported burning'!A2643</f>
        <v>305s</v>
      </c>
      <c r="B2643" s="156" t="str">
        <f>'Reported burning'!B2643</f>
        <v>305s.1</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Absence</v>
      </c>
      <c r="I2643" s="5"/>
      <c r="J2643" s="14" t="s">
        <v>2364</v>
      </c>
      <c r="K2643" s="14" t="s">
        <v>2364</v>
      </c>
      <c r="L2643" s="14" t="s">
        <v>2364</v>
      </c>
      <c r="M2643" s="14" t="s">
        <v>2364</v>
      </c>
      <c r="N2643" s="14" t="s">
        <v>2364</v>
      </c>
      <c r="O2643" s="14" t="s">
        <v>2364</v>
      </c>
      <c r="P2643" s="14" t="s">
        <v>2364</v>
      </c>
      <c r="Q2643" s="14" t="s">
        <v>2364</v>
      </c>
      <c r="R2643" s="14" t="s">
        <v>2364</v>
      </c>
      <c r="S2643" s="14" t="s">
        <v>2364</v>
      </c>
      <c r="T2643" s="14" t="s">
        <v>2364</v>
      </c>
      <c r="U2643" s="14" t="s">
        <v>2364</v>
      </c>
      <c r="V2643" s="14" t="s">
        <v>2364</v>
      </c>
      <c r="W2643" s="204" t="s">
        <v>2276</v>
      </c>
      <c r="X2643" s="204" t="s">
        <v>68</v>
      </c>
      <c r="Y2643" s="204" t="s">
        <v>86</v>
      </c>
      <c r="Z2643" s="204" t="s">
        <v>76</v>
      </c>
      <c r="AA2643" s="204"/>
      <c r="AB2643" s="204"/>
    </row>
    <row r="2644" spans="1:28" ht="34.5" customHeight="1">
      <c r="A2644" s="156" t="str">
        <f>'Reported burning'!A2644</f>
        <v>305t</v>
      </c>
      <c r="B2644" s="156" t="str">
        <f>'Reported burning'!B2644</f>
        <v>305t.1</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Absence</v>
      </c>
      <c r="I2644" s="5"/>
      <c r="J2644" s="14" t="s">
        <v>2364</v>
      </c>
      <c r="K2644" s="14" t="s">
        <v>2364</v>
      </c>
      <c r="L2644" s="14" t="s">
        <v>2364</v>
      </c>
      <c r="M2644" s="14" t="s">
        <v>2364</v>
      </c>
      <c r="N2644" s="14" t="s">
        <v>2364</v>
      </c>
      <c r="O2644" s="14" t="s">
        <v>2364</v>
      </c>
      <c r="P2644" s="14" t="s">
        <v>2364</v>
      </c>
      <c r="Q2644" s="14" t="s">
        <v>2364</v>
      </c>
      <c r="R2644" s="14" t="s">
        <v>2364</v>
      </c>
      <c r="S2644" s="14" t="s">
        <v>2364</v>
      </c>
      <c r="T2644" s="14" t="s">
        <v>2364</v>
      </c>
      <c r="U2644" s="14" t="s">
        <v>2364</v>
      </c>
      <c r="V2644" s="14" t="s">
        <v>2364</v>
      </c>
      <c r="W2644" s="204" t="s">
        <v>2276</v>
      </c>
      <c r="X2644" s="204" t="s">
        <v>68</v>
      </c>
      <c r="Y2644" s="204" t="s">
        <v>86</v>
      </c>
      <c r="Z2644" s="204" t="s">
        <v>76</v>
      </c>
      <c r="AA2644" s="204"/>
      <c r="AB2644" s="204"/>
    </row>
    <row r="2645" spans="1:28" ht="34.5" customHeight="1">
      <c r="A2645" s="156" t="str">
        <f>'Reported burning'!A2645</f>
        <v>305u</v>
      </c>
      <c r="B2645" s="156" t="str">
        <f>'Reported burning'!B2645</f>
        <v>305u.1</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68</v>
      </c>
      <c r="Y2645" s="204" t="s">
        <v>86</v>
      </c>
      <c r="Z2645" s="204" t="s">
        <v>76</v>
      </c>
      <c r="AA2645" s="204"/>
      <c r="AB2645" s="204"/>
    </row>
    <row r="2646" spans="1:28" ht="34.5" customHeight="1">
      <c r="A2646" s="156" t="str">
        <f>'Reported burning'!A2646</f>
        <v>305v</v>
      </c>
      <c r="B2646" s="156" t="str">
        <f>'Reported burning'!B2646</f>
        <v>305v.1</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68</v>
      </c>
      <c r="Y2646" s="204" t="s">
        <v>86</v>
      </c>
      <c r="Z2646" s="204" t="s">
        <v>76</v>
      </c>
      <c r="AA2646" s="204"/>
      <c r="AB2646" s="204"/>
    </row>
    <row r="2647" spans="1:28" ht="34.5" customHeight="1">
      <c r="A2647" s="156" t="str">
        <f>'Reported burning'!A2647</f>
        <v>305w</v>
      </c>
      <c r="B2647" s="156" t="str">
        <f>'Reported burning'!B2647</f>
        <v>305w.1</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68</v>
      </c>
      <c r="Y2647" s="204" t="s">
        <v>86</v>
      </c>
      <c r="Z2647" s="204" t="s">
        <v>76</v>
      </c>
      <c r="AA2647" s="204"/>
      <c r="AB2647" s="204"/>
    </row>
    <row r="2648" spans="1:28" ht="34.5" customHeight="1">
      <c r="A2648" s="156" t="str">
        <f>'Reported burning'!A2648</f>
        <v>305x</v>
      </c>
      <c r="B2648" s="156" t="str">
        <f>'Reported burning'!B2648</f>
        <v>305x.1</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68</v>
      </c>
      <c r="Y2648" s="204" t="s">
        <v>86</v>
      </c>
      <c r="Z2648" s="204" t="s">
        <v>76</v>
      </c>
      <c r="AA2648" s="204"/>
      <c r="AB2648" s="204"/>
    </row>
    <row r="2649" spans="1:28" ht="34.5" customHeight="1">
      <c r="A2649" s="156" t="str">
        <f>'Reported burning'!A2649</f>
        <v>305y</v>
      </c>
      <c r="B2649" s="156" t="str">
        <f>'Reported burning'!B2649</f>
        <v>305y.1</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68</v>
      </c>
      <c r="Y2649" s="204" t="s">
        <v>86</v>
      </c>
      <c r="Z2649" s="204" t="s">
        <v>76</v>
      </c>
      <c r="AA2649" s="204"/>
      <c r="AB2649" s="204"/>
    </row>
    <row r="2650" spans="1:28" ht="34.5" customHeight="1">
      <c r="A2650" s="156" t="str">
        <f>'Reported burning'!A2650</f>
        <v>305z</v>
      </c>
      <c r="B2650" s="156" t="str">
        <f>'Reported burning'!B2650</f>
        <v>305z.1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68</v>
      </c>
      <c r="Y2650" s="204" t="s">
        <v>86</v>
      </c>
      <c r="Z2650" s="204" t="s">
        <v>76</v>
      </c>
      <c r="AA2650" s="204"/>
      <c r="AB2650" s="204"/>
    </row>
    <row r="2651" spans="1:28" ht="34.5" customHeight="1">
      <c r="A2651" s="156" t="str">
        <f>'Reported burning'!A2651</f>
        <v>305aa</v>
      </c>
      <c r="B2651" s="156" t="str">
        <f>'Reported burning'!B2651</f>
        <v>305aa.1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68</v>
      </c>
      <c r="Y2651" s="204" t="s">
        <v>86</v>
      </c>
      <c r="Z2651" s="204" t="s">
        <v>76</v>
      </c>
      <c r="AA2651" s="204"/>
      <c r="AB2651" s="204"/>
    </row>
    <row r="2652" spans="1:28" ht="34.5" customHeight="1">
      <c r="A2652" s="156" t="str">
        <f>'Reported burning'!A2652</f>
        <v>305ab</v>
      </c>
      <c r="B2652" s="156" t="str">
        <f>'Reported burning'!B2652</f>
        <v>305ab.1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68</v>
      </c>
      <c r="Y2652" s="204" t="s">
        <v>86</v>
      </c>
      <c r="Z2652" s="204" t="s">
        <v>76</v>
      </c>
      <c r="AA2652" s="204"/>
      <c r="AB2652" s="204"/>
    </row>
    <row r="2653" spans="1:28" ht="34.5" customHeight="1">
      <c r="A2653" s="156" t="str">
        <f>'Reported burning'!A2653</f>
        <v>305ac</v>
      </c>
      <c r="B2653" s="156" t="str">
        <f>'Reported burning'!B2653</f>
        <v>305ac.1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68</v>
      </c>
      <c r="Y2653" s="204" t="s">
        <v>86</v>
      </c>
      <c r="Z2653" s="204" t="s">
        <v>76</v>
      </c>
      <c r="AA2653" s="204"/>
      <c r="AB2653" s="204"/>
    </row>
    <row r="2654" spans="1:28" ht="34.5" customHeight="1">
      <c r="A2654" s="156" t="str">
        <f>'Reported burning'!A2654</f>
        <v>305ad</v>
      </c>
      <c r="B2654" s="156" t="str">
        <f>'Reported burning'!B2654</f>
        <v>305ad.1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68</v>
      </c>
      <c r="Y2654" s="204" t="s">
        <v>86</v>
      </c>
      <c r="Z2654" s="204" t="s">
        <v>76</v>
      </c>
      <c r="AA2654" s="204"/>
      <c r="AB2654" s="204"/>
    </row>
    <row r="2655" spans="1:28" ht="34.5" customHeight="1">
      <c r="A2655" s="156" t="str">
        <f>'Reported burning'!A2655</f>
        <v>305ae</v>
      </c>
      <c r="B2655" s="156" t="str">
        <f>'Reported burning'!B2655</f>
        <v>305ae.1</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68</v>
      </c>
      <c r="Y2655" s="204" t="s">
        <v>86</v>
      </c>
      <c r="Z2655" s="204" t="s">
        <v>76</v>
      </c>
      <c r="AA2655" s="204"/>
      <c r="AB2655" s="204"/>
    </row>
    <row r="2656" spans="1:28" ht="34.5" customHeight="1">
      <c r="A2656" s="156" t="str">
        <f>'Reported burning'!A2656</f>
        <v>305n</v>
      </c>
      <c r="B2656" s="156" t="str">
        <f>'Reported burning'!B2656</f>
        <v>305n.2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68</v>
      </c>
      <c r="Y2656" s="204" t="s">
        <v>86</v>
      </c>
      <c r="Z2656" s="204" t="s">
        <v>76</v>
      </c>
      <c r="AA2656" s="204"/>
      <c r="AB2656" s="204"/>
    </row>
    <row r="2657" spans="1:28" ht="34.5" customHeight="1">
      <c r="A2657" s="156" t="str">
        <f>'Reported burning'!A2657</f>
        <v>305o</v>
      </c>
      <c r="B2657" s="156" t="str">
        <f>'Reported burning'!B2657</f>
        <v>305o.2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68</v>
      </c>
      <c r="Y2657" s="204" t="s">
        <v>86</v>
      </c>
      <c r="Z2657" s="204" t="s">
        <v>76</v>
      </c>
      <c r="AA2657" s="204"/>
      <c r="AB2657" s="204"/>
    </row>
    <row r="2658" spans="1:28" ht="34.5" customHeight="1">
      <c r="A2658" s="156" t="str">
        <f>'Reported burning'!A2658</f>
        <v>305p</v>
      </c>
      <c r="B2658" s="156" t="str">
        <f>'Reported burning'!B2658</f>
        <v>305p.2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68</v>
      </c>
      <c r="Y2658" s="204" t="s">
        <v>86</v>
      </c>
      <c r="Z2658" s="204" t="s">
        <v>76</v>
      </c>
      <c r="AA2658" s="204"/>
      <c r="AB2658" s="204"/>
    </row>
    <row r="2659" spans="1:28" ht="34.5" customHeight="1">
      <c r="A2659" s="156" t="str">
        <f>'Reported burning'!A2659</f>
        <v>305q</v>
      </c>
      <c r="B2659" s="156" t="str">
        <f>'Reported burning'!B2659</f>
        <v>305q.2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68</v>
      </c>
      <c r="Y2659" s="204" t="s">
        <v>86</v>
      </c>
      <c r="Z2659" s="204" t="s">
        <v>76</v>
      </c>
      <c r="AA2659" s="204"/>
      <c r="AB2659" s="204"/>
    </row>
    <row r="2660" spans="1:28" ht="34.5" customHeight="1">
      <c r="A2660" s="156" t="str">
        <f>'Reported burning'!A2660</f>
        <v>305r</v>
      </c>
      <c r="B2660" s="156" t="str">
        <f>'Reported burning'!B2660</f>
        <v>305r.2</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Absence</v>
      </c>
      <c r="I2660" s="5"/>
      <c r="J2660" s="14" t="s">
        <v>2364</v>
      </c>
      <c r="K2660" s="14" t="s">
        <v>2364</v>
      </c>
      <c r="L2660" s="14" t="s">
        <v>2364</v>
      </c>
      <c r="M2660" s="14" t="s">
        <v>2364</v>
      </c>
      <c r="N2660" s="14" t="s">
        <v>2364</v>
      </c>
      <c r="O2660" s="14" t="s">
        <v>2364</v>
      </c>
      <c r="P2660" s="14" t="s">
        <v>2364</v>
      </c>
      <c r="Q2660" s="14" t="s">
        <v>2364</v>
      </c>
      <c r="R2660" s="14" t="s">
        <v>2364</v>
      </c>
      <c r="S2660" s="14" t="s">
        <v>2364</v>
      </c>
      <c r="T2660" s="14" t="s">
        <v>2364</v>
      </c>
      <c r="U2660" s="14" t="s">
        <v>2364</v>
      </c>
      <c r="V2660" s="14" t="s">
        <v>2364</v>
      </c>
      <c r="W2660" s="204" t="s">
        <v>2276</v>
      </c>
      <c r="X2660" s="204" t="s">
        <v>68</v>
      </c>
      <c r="Y2660" s="204" t="s">
        <v>86</v>
      </c>
      <c r="Z2660" s="204" t="s">
        <v>76</v>
      </c>
      <c r="AA2660" s="204"/>
      <c r="AB2660" s="204"/>
    </row>
    <row r="2661" spans="1:28" ht="34.5" customHeight="1">
      <c r="A2661" s="156" t="str">
        <f>'Reported burning'!A2661</f>
        <v>305s</v>
      </c>
      <c r="B2661" s="156" t="str">
        <f>'Reported burning'!B2661</f>
        <v>305s.2</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Absence</v>
      </c>
      <c r="I2661" s="5"/>
      <c r="J2661" s="14" t="s">
        <v>2364</v>
      </c>
      <c r="K2661" s="14" t="s">
        <v>2364</v>
      </c>
      <c r="L2661" s="14" t="s">
        <v>2364</v>
      </c>
      <c r="M2661" s="14" t="s">
        <v>2364</v>
      </c>
      <c r="N2661" s="14" t="s">
        <v>2364</v>
      </c>
      <c r="O2661" s="14" t="s">
        <v>2364</v>
      </c>
      <c r="P2661" s="14" t="s">
        <v>2364</v>
      </c>
      <c r="Q2661" s="14" t="s">
        <v>2364</v>
      </c>
      <c r="R2661" s="14" t="s">
        <v>2364</v>
      </c>
      <c r="S2661" s="14" t="s">
        <v>2364</v>
      </c>
      <c r="T2661" s="14" t="s">
        <v>2364</v>
      </c>
      <c r="U2661" s="14" t="s">
        <v>2364</v>
      </c>
      <c r="V2661" s="14" t="s">
        <v>2364</v>
      </c>
      <c r="W2661" s="204" t="s">
        <v>2276</v>
      </c>
      <c r="X2661" s="204" t="s">
        <v>68</v>
      </c>
      <c r="Y2661" s="204" t="s">
        <v>86</v>
      </c>
      <c r="Z2661" s="204" t="s">
        <v>76</v>
      </c>
      <c r="AA2661" s="204"/>
      <c r="AB2661" s="204"/>
    </row>
    <row r="2662" spans="1:28" ht="34.5" customHeight="1">
      <c r="A2662" s="156" t="str">
        <f>'Reported burning'!A2662</f>
        <v>305t</v>
      </c>
      <c r="B2662" s="156" t="str">
        <f>'Reported burning'!B2662</f>
        <v>305t.2</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Absence</v>
      </c>
      <c r="I2662" s="5"/>
      <c r="J2662" s="14" t="s">
        <v>2364</v>
      </c>
      <c r="K2662" s="14" t="s">
        <v>2364</v>
      </c>
      <c r="L2662" s="14" t="s">
        <v>2364</v>
      </c>
      <c r="M2662" s="14" t="s">
        <v>2364</v>
      </c>
      <c r="N2662" s="14" t="s">
        <v>2364</v>
      </c>
      <c r="O2662" s="14" t="s">
        <v>2364</v>
      </c>
      <c r="P2662" s="14" t="s">
        <v>2364</v>
      </c>
      <c r="Q2662" s="14" t="s">
        <v>2364</v>
      </c>
      <c r="R2662" s="14" t="s">
        <v>2364</v>
      </c>
      <c r="S2662" s="14" t="s">
        <v>2364</v>
      </c>
      <c r="T2662" s="14" t="s">
        <v>2364</v>
      </c>
      <c r="U2662" s="14" t="s">
        <v>2364</v>
      </c>
      <c r="V2662" s="14" t="s">
        <v>2364</v>
      </c>
      <c r="W2662" s="204" t="s">
        <v>2276</v>
      </c>
      <c r="X2662" s="204" t="s">
        <v>68</v>
      </c>
      <c r="Y2662" s="204" t="s">
        <v>86</v>
      </c>
      <c r="Z2662" s="204" t="s">
        <v>76</v>
      </c>
      <c r="AA2662" s="204"/>
      <c r="AB2662" s="204"/>
    </row>
    <row r="2663" spans="1:28" ht="34.5" customHeight="1">
      <c r="A2663" s="156" t="str">
        <f>'Reported burning'!A2663</f>
        <v>305u</v>
      </c>
      <c r="B2663" s="156" t="str">
        <f>'Reported burning'!B2663</f>
        <v>305u.2</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68</v>
      </c>
      <c r="Y2663" s="204" t="s">
        <v>86</v>
      </c>
      <c r="Z2663" s="204" t="s">
        <v>76</v>
      </c>
      <c r="AA2663" s="204"/>
      <c r="AB2663" s="204"/>
    </row>
    <row r="2664" spans="1:28" ht="34.5" customHeight="1">
      <c r="A2664" s="156" t="str">
        <f>'Reported burning'!A2664</f>
        <v>305v</v>
      </c>
      <c r="B2664" s="156" t="str">
        <f>'Reported burning'!B2664</f>
        <v>305v.2</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68</v>
      </c>
      <c r="Y2664" s="204" t="s">
        <v>86</v>
      </c>
      <c r="Z2664" s="204" t="s">
        <v>76</v>
      </c>
      <c r="AA2664" s="204"/>
      <c r="AB2664" s="204"/>
    </row>
    <row r="2665" spans="1:28" ht="34.5" customHeight="1">
      <c r="A2665" s="156" t="str">
        <f>'Reported burning'!A2665</f>
        <v>305w</v>
      </c>
      <c r="B2665" s="156" t="str">
        <f>'Reported burning'!B2665</f>
        <v>305w.2</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68</v>
      </c>
      <c r="Y2665" s="204" t="s">
        <v>86</v>
      </c>
      <c r="Z2665" s="204" t="s">
        <v>76</v>
      </c>
      <c r="AA2665" s="204"/>
      <c r="AB2665" s="204"/>
    </row>
    <row r="2666" spans="1:28" ht="34.5" customHeight="1">
      <c r="A2666" s="156" t="str">
        <f>'Reported burning'!A2666</f>
        <v>305x</v>
      </c>
      <c r="B2666" s="156" t="str">
        <f>'Reported burning'!B2666</f>
        <v>305x.2</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68</v>
      </c>
      <c r="Y2666" s="204" t="s">
        <v>86</v>
      </c>
      <c r="Z2666" s="204" t="s">
        <v>76</v>
      </c>
      <c r="AA2666" s="204"/>
      <c r="AB2666" s="204"/>
    </row>
    <row r="2667" spans="1:28" ht="34.5" customHeight="1">
      <c r="A2667" s="156" t="str">
        <f>'Reported burning'!A2667</f>
        <v>305y</v>
      </c>
      <c r="B2667" s="156" t="str">
        <f>'Reported burning'!B2667</f>
        <v>305y.2</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68</v>
      </c>
      <c r="Y2667" s="204" t="s">
        <v>86</v>
      </c>
      <c r="Z2667" s="204" t="s">
        <v>76</v>
      </c>
      <c r="AA2667" s="204"/>
      <c r="AB2667" s="204"/>
    </row>
    <row r="2668" spans="1:28" ht="34.5" customHeight="1">
      <c r="A2668" s="156" t="str">
        <f>'Reported burning'!A2668</f>
        <v>305z</v>
      </c>
      <c r="B2668" s="156" t="str">
        <f>'Reported burning'!B2668</f>
        <v>305z.2</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68</v>
      </c>
      <c r="Y2668" s="204" t="s">
        <v>86</v>
      </c>
      <c r="Z2668" s="204" t="s">
        <v>76</v>
      </c>
      <c r="AA2668" s="204"/>
      <c r="AB2668" s="204"/>
    </row>
    <row r="2669" spans="1:28" ht="34.5" customHeight="1">
      <c r="A2669" s="156" t="str">
        <f>'Reported burning'!A2669</f>
        <v>305aa</v>
      </c>
      <c r="B2669" s="156" t="str">
        <f>'Reported burning'!B2669</f>
        <v>305aa.2</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68</v>
      </c>
      <c r="Y2669" s="204" t="s">
        <v>86</v>
      </c>
      <c r="Z2669" s="204" t="s">
        <v>76</v>
      </c>
      <c r="AA2669" s="204"/>
      <c r="AB2669" s="204"/>
    </row>
    <row r="2670" spans="1:28" ht="34.5" customHeight="1">
      <c r="A2670" s="156" t="str">
        <f>'Reported burning'!A2670</f>
        <v>305ab</v>
      </c>
      <c r="B2670" s="156" t="str">
        <f>'Reported burning'!B2670</f>
        <v>305ab.2</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68</v>
      </c>
      <c r="Y2670" s="204" t="s">
        <v>86</v>
      </c>
      <c r="Z2670" s="204" t="s">
        <v>76</v>
      </c>
      <c r="AA2670" s="204"/>
      <c r="AB2670" s="204"/>
    </row>
    <row r="2671" spans="1:28" ht="34.5" customHeight="1">
      <c r="A2671" s="156" t="str">
        <f>'Reported burning'!A2671</f>
        <v>305ac</v>
      </c>
      <c r="B2671" s="156" t="str">
        <f>'Reported burning'!B2671</f>
        <v>305ac.2</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68</v>
      </c>
      <c r="Y2671" s="204" t="s">
        <v>86</v>
      </c>
      <c r="Z2671" s="204" t="s">
        <v>76</v>
      </c>
      <c r="AA2671" s="204"/>
      <c r="AB2671" s="204"/>
    </row>
    <row r="2672" spans="1:28" ht="34.5" customHeight="1">
      <c r="A2672" s="156" t="str">
        <f>'Reported burning'!A2672</f>
        <v>305ad</v>
      </c>
      <c r="B2672" s="156" t="str">
        <f>'Reported burning'!B2672</f>
        <v>305ad.2</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68</v>
      </c>
      <c r="Y2672" s="204" t="s">
        <v>86</v>
      </c>
      <c r="Z2672" s="204" t="s">
        <v>76</v>
      </c>
      <c r="AA2672" s="204"/>
      <c r="AB2672" s="204"/>
    </row>
    <row r="2673" spans="1:28" ht="34.5" customHeight="1">
      <c r="A2673" s="156" t="str">
        <f>'Reported burning'!A2673</f>
        <v>305ae</v>
      </c>
      <c r="B2673" s="156" t="str">
        <f>'Reported burning'!B2673</f>
        <v>305ae.2</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68</v>
      </c>
      <c r="Y2673" s="204" t="s">
        <v>86</v>
      </c>
      <c r="Z2673" s="204" t="s">
        <v>76</v>
      </c>
      <c r="AA2673" s="204"/>
      <c r="AB2673" s="204"/>
    </row>
    <row r="2674" spans="1:28" ht="34.5" customHeight="1">
      <c r="A2674" s="156" t="str">
        <f>'Reported burning'!A2674</f>
        <v>305n</v>
      </c>
      <c r="B2674" s="156" t="str">
        <f>'Reported burning'!B2674</f>
        <v>305n.3</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68</v>
      </c>
      <c r="Y2674" s="204" t="s">
        <v>86</v>
      </c>
      <c r="Z2674" s="204" t="s">
        <v>76</v>
      </c>
      <c r="AA2674" s="204"/>
      <c r="AB2674" s="204"/>
    </row>
    <row r="2675" spans="1:28" ht="34.5" customHeight="1">
      <c r="A2675" s="156" t="str">
        <f>'Reported burning'!A2675</f>
        <v>305o</v>
      </c>
      <c r="B2675" s="156" t="str">
        <f>'Reported burning'!B2675</f>
        <v>305o.3</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204" t="s">
        <v>68</v>
      </c>
      <c r="Y2675" s="204" t="s">
        <v>86</v>
      </c>
      <c r="Z2675" s="204" t="s">
        <v>76</v>
      </c>
      <c r="AA2675" s="204"/>
      <c r="AB2675" s="204"/>
    </row>
    <row r="2676" spans="1:28" ht="34.5" customHeight="1">
      <c r="A2676" s="156" t="str">
        <f>'Reported burning'!A2676</f>
        <v>305p</v>
      </c>
      <c r="B2676" s="156" t="str">
        <f>'Reported burning'!B2676</f>
        <v>305p.3</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305q</v>
      </c>
      <c r="B2677" s="156" t="str">
        <f>'Reported burning'!B2677</f>
        <v>305q.3</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305r</v>
      </c>
      <c r="B2678" s="156" t="str">
        <f>'Reported burning'!B2678</f>
        <v>305r.3</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Absence</v>
      </c>
      <c r="I2678" s="5"/>
      <c r="J2678" s="14" t="s">
        <v>2364</v>
      </c>
      <c r="K2678" s="14" t="s">
        <v>2364</v>
      </c>
      <c r="L2678" s="14" t="s">
        <v>2364</v>
      </c>
      <c r="M2678" s="14" t="s">
        <v>2364</v>
      </c>
      <c r="N2678" s="14" t="s">
        <v>2364</v>
      </c>
      <c r="O2678" s="14" t="s">
        <v>2364</v>
      </c>
      <c r="P2678" s="14" t="s">
        <v>2364</v>
      </c>
      <c r="Q2678" s="14" t="s">
        <v>2364</v>
      </c>
      <c r="R2678" s="14" t="s">
        <v>2364</v>
      </c>
      <c r="S2678" s="14" t="s">
        <v>2364</v>
      </c>
      <c r="T2678" s="14" t="s">
        <v>2364</v>
      </c>
      <c r="U2678" s="14" t="s">
        <v>2364</v>
      </c>
      <c r="V2678" s="14" t="s">
        <v>2364</v>
      </c>
      <c r="W2678" s="204" t="s">
        <v>2276</v>
      </c>
      <c r="X2678" s="204" t="s">
        <v>68</v>
      </c>
      <c r="Y2678" s="204" t="s">
        <v>86</v>
      </c>
      <c r="Z2678" s="204" t="s">
        <v>76</v>
      </c>
      <c r="AA2678" s="204"/>
      <c r="AB2678" s="204"/>
    </row>
    <row r="2679" spans="1:28" ht="34.5" customHeight="1">
      <c r="A2679" s="156" t="str">
        <f>'Reported burning'!A2679</f>
        <v>305s</v>
      </c>
      <c r="B2679" s="156" t="str">
        <f>'Reported burning'!B2679</f>
        <v>305s.3</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14" t="s">
        <v>2364</v>
      </c>
      <c r="K2679" s="14" t="s">
        <v>2364</v>
      </c>
      <c r="L2679" s="14" t="s">
        <v>2364</v>
      </c>
      <c r="M2679" s="14" t="s">
        <v>2364</v>
      </c>
      <c r="N2679" s="14" t="s">
        <v>2364</v>
      </c>
      <c r="O2679" s="14" t="s">
        <v>2364</v>
      </c>
      <c r="P2679" s="14" t="s">
        <v>2364</v>
      </c>
      <c r="Q2679" s="14" t="s">
        <v>2364</v>
      </c>
      <c r="R2679" s="14" t="s">
        <v>2364</v>
      </c>
      <c r="S2679" s="14" t="s">
        <v>2364</v>
      </c>
      <c r="T2679" s="14" t="s">
        <v>2364</v>
      </c>
      <c r="U2679" s="14" t="s">
        <v>2364</v>
      </c>
      <c r="V2679" s="14" t="s">
        <v>2364</v>
      </c>
      <c r="W2679" s="204" t="s">
        <v>2276</v>
      </c>
      <c r="X2679" s="204" t="s">
        <v>68</v>
      </c>
      <c r="Y2679" s="204" t="s">
        <v>86</v>
      </c>
      <c r="Z2679" s="204" t="s">
        <v>76</v>
      </c>
      <c r="AA2679" s="204"/>
      <c r="AB2679" s="204"/>
    </row>
    <row r="2680" spans="1:28" ht="34.5" customHeight="1">
      <c r="A2680" s="156" t="str">
        <f>'Reported burning'!A2680</f>
        <v>305t</v>
      </c>
      <c r="B2680" s="156" t="str">
        <f>'Reported burning'!B2680</f>
        <v>305t.3</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14" t="s">
        <v>2364</v>
      </c>
      <c r="K2680" s="14" t="s">
        <v>2364</v>
      </c>
      <c r="L2680" s="14" t="s">
        <v>2364</v>
      </c>
      <c r="M2680" s="14" t="s">
        <v>2364</v>
      </c>
      <c r="N2680" s="14" t="s">
        <v>2364</v>
      </c>
      <c r="O2680" s="14" t="s">
        <v>2364</v>
      </c>
      <c r="P2680" s="14" t="s">
        <v>2364</v>
      </c>
      <c r="Q2680" s="14" t="s">
        <v>2364</v>
      </c>
      <c r="R2680" s="14" t="s">
        <v>2364</v>
      </c>
      <c r="S2680" s="14" t="s">
        <v>2364</v>
      </c>
      <c r="T2680" s="14" t="s">
        <v>2364</v>
      </c>
      <c r="U2680" s="14" t="s">
        <v>2364</v>
      </c>
      <c r="V2680" s="14" t="s">
        <v>2364</v>
      </c>
      <c r="W2680" s="204" t="s">
        <v>2276</v>
      </c>
      <c r="X2680" s="204" t="s">
        <v>68</v>
      </c>
      <c r="Y2680" s="204" t="s">
        <v>86</v>
      </c>
      <c r="Z2680" s="204" t="s">
        <v>76</v>
      </c>
      <c r="AA2680" s="204"/>
      <c r="AB2680" s="204"/>
    </row>
    <row r="2681" spans="1:28" ht="34.5" customHeight="1">
      <c r="A2681" s="156" t="str">
        <f>'Reported burning'!A2681</f>
        <v>305u</v>
      </c>
      <c r="B2681" s="156" t="str">
        <f>'Reported burning'!B2681</f>
        <v>305u.3</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Presence</v>
      </c>
      <c r="I2681" s="5"/>
      <c r="J2681" s="204" t="s">
        <v>2276</v>
      </c>
      <c r="K2681" s="204" t="s">
        <v>2276</v>
      </c>
      <c r="L2681" s="204" t="s">
        <v>2276</v>
      </c>
      <c r="M2681" s="204" t="s">
        <v>2276</v>
      </c>
      <c r="N2681" s="204" t="s">
        <v>2276</v>
      </c>
      <c r="O2681" s="204" t="s">
        <v>2276</v>
      </c>
      <c r="P2681" s="204" t="s">
        <v>2276</v>
      </c>
      <c r="Q2681" s="204" t="s">
        <v>2276</v>
      </c>
      <c r="R2681" s="204" t="s">
        <v>2276</v>
      </c>
      <c r="S2681" s="204" t="s">
        <v>2276</v>
      </c>
      <c r="T2681" s="204" t="s">
        <v>2276</v>
      </c>
      <c r="U2681" s="204" t="s">
        <v>2276</v>
      </c>
      <c r="V2681" s="204" t="s">
        <v>2276</v>
      </c>
      <c r="W2681" s="204" t="s">
        <v>2276</v>
      </c>
      <c r="X2681" s="204" t="s">
        <v>68</v>
      </c>
      <c r="Y2681" s="204" t="s">
        <v>86</v>
      </c>
      <c r="Z2681" s="204" t="s">
        <v>76</v>
      </c>
      <c r="AA2681" s="204"/>
      <c r="AB2681" s="204"/>
    </row>
    <row r="2682" spans="1:28" ht="34.5" customHeight="1">
      <c r="A2682" s="156" t="str">
        <f>'Reported burning'!A2682</f>
        <v>305v</v>
      </c>
      <c r="B2682" s="156" t="str">
        <f>'Reported burning'!B2682</f>
        <v>305v.3</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305w</v>
      </c>
      <c r="B2683" s="156" t="str">
        <f>'Reported burning'!B2683</f>
        <v>305w.3</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305x</v>
      </c>
      <c r="B2684" s="156" t="str">
        <f>'Reported burning'!B2684</f>
        <v>305x.3</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305y</v>
      </c>
      <c r="B2685" s="156" t="str">
        <f>'Reported burning'!B2685</f>
        <v>305y.3</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305z</v>
      </c>
      <c r="B2686" s="156" t="str">
        <f>'Reported burning'!B2686</f>
        <v>305z.3</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305aa</v>
      </c>
      <c r="B2687" s="156" t="str">
        <f>'Reported burning'!B2687</f>
        <v>305aa.3</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305ab</v>
      </c>
      <c r="B2688" s="156" t="str">
        <f>'Reported burning'!B2688</f>
        <v>305ab.3</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305ac</v>
      </c>
      <c r="B2689" s="156" t="str">
        <f>'Reported burning'!B2689</f>
        <v>305ac.3</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305ad</v>
      </c>
      <c r="B2690" s="156" t="str">
        <f>'Reported burning'!B2690</f>
        <v>305ad.3</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305ae</v>
      </c>
      <c r="B2691" s="156" t="str">
        <f>'Reported burning'!B2691</f>
        <v>305ae.3</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305n</v>
      </c>
      <c r="B2692" s="156" t="str">
        <f>'Reported burning'!B2692</f>
        <v>305n.4</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305o</v>
      </c>
      <c r="B2693" s="156" t="str">
        <f>'Reported burning'!B2693</f>
        <v>305o.4</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305p</v>
      </c>
      <c r="B2694" s="156" t="str">
        <f>'Reported burning'!B2694</f>
        <v>305p.4</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305q</v>
      </c>
      <c r="B2695" s="156" t="str">
        <f>'Reported burning'!B2695</f>
        <v>305q.4</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305r</v>
      </c>
      <c r="B2696" s="156" t="str">
        <f>'Reported burning'!B2696</f>
        <v>305r.4</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Absence</v>
      </c>
      <c r="I2696" s="5"/>
      <c r="J2696" s="14" t="s">
        <v>2364</v>
      </c>
      <c r="K2696" s="14" t="s">
        <v>2364</v>
      </c>
      <c r="L2696" s="14" t="s">
        <v>2364</v>
      </c>
      <c r="M2696" s="14" t="s">
        <v>2364</v>
      </c>
      <c r="N2696" s="14" t="s">
        <v>2364</v>
      </c>
      <c r="O2696" s="14" t="s">
        <v>2364</v>
      </c>
      <c r="P2696" s="14" t="s">
        <v>2364</v>
      </c>
      <c r="Q2696" s="14" t="s">
        <v>2364</v>
      </c>
      <c r="R2696" s="14" t="s">
        <v>2364</v>
      </c>
      <c r="S2696" s="14" t="s">
        <v>2364</v>
      </c>
      <c r="T2696" s="14" t="s">
        <v>2364</v>
      </c>
      <c r="U2696" s="14" t="s">
        <v>2364</v>
      </c>
      <c r="V2696" s="14" t="s">
        <v>2364</v>
      </c>
      <c r="W2696" s="204" t="s">
        <v>2276</v>
      </c>
      <c r="X2696" s="204" t="s">
        <v>68</v>
      </c>
      <c r="Y2696" s="204" t="s">
        <v>86</v>
      </c>
      <c r="Z2696" s="204" t="s">
        <v>76</v>
      </c>
      <c r="AA2696" s="204"/>
      <c r="AB2696" s="204"/>
    </row>
    <row r="2697" spans="1:28" ht="34.5" customHeight="1">
      <c r="A2697" s="156" t="str">
        <f>'Reported burning'!A2697</f>
        <v>305s</v>
      </c>
      <c r="B2697" s="156" t="str">
        <f>'Reported burning'!B2697</f>
        <v>305s.4</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305t</v>
      </c>
      <c r="B2698" s="156" t="str">
        <f>'Reported burning'!B2698</f>
        <v>305t.4</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305u</v>
      </c>
      <c r="B2699" s="156" t="str">
        <f>'Reported burning'!B2699</f>
        <v>305u.4</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Presence</v>
      </c>
      <c r="I2699" s="5"/>
      <c r="J2699" s="204" t="s">
        <v>2276</v>
      </c>
      <c r="K2699" s="204" t="s">
        <v>2276</v>
      </c>
      <c r="L2699" s="204" t="s">
        <v>2276</v>
      </c>
      <c r="M2699" s="204" t="s">
        <v>2276</v>
      </c>
      <c r="N2699" s="204" t="s">
        <v>2276</v>
      </c>
      <c r="O2699" s="204" t="s">
        <v>2276</v>
      </c>
      <c r="P2699" s="204" t="s">
        <v>2276</v>
      </c>
      <c r="Q2699" s="204" t="s">
        <v>2276</v>
      </c>
      <c r="R2699" s="204" t="s">
        <v>2276</v>
      </c>
      <c r="S2699" s="204" t="s">
        <v>2276</v>
      </c>
      <c r="T2699" s="204" t="s">
        <v>2276</v>
      </c>
      <c r="U2699" s="204" t="s">
        <v>2276</v>
      </c>
      <c r="V2699" s="204" t="s">
        <v>2276</v>
      </c>
      <c r="W2699" s="204" t="s">
        <v>2276</v>
      </c>
      <c r="X2699" s="204" t="s">
        <v>68</v>
      </c>
      <c r="Y2699" s="204" t="s">
        <v>86</v>
      </c>
      <c r="Z2699" s="204" t="s">
        <v>76</v>
      </c>
      <c r="AA2699" s="204"/>
      <c r="AB2699" s="204"/>
    </row>
    <row r="2700" spans="1:28" ht="34.5" customHeight="1">
      <c r="A2700" s="156" t="str">
        <f>'Reported burning'!A2700</f>
        <v>305v</v>
      </c>
      <c r="B2700" s="156" t="str">
        <f>'Reported burning'!B2700</f>
        <v>305v.4</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305w</v>
      </c>
      <c r="B2701" s="156" t="str">
        <f>'Reported burning'!B2701</f>
        <v>305w.4</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305x</v>
      </c>
      <c r="B2702" s="156" t="str">
        <f>'Reported burning'!B2702</f>
        <v>305x.4</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305y</v>
      </c>
      <c r="B2703" s="156" t="str">
        <f>'Reported burning'!B2703</f>
        <v>305y.4</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305z</v>
      </c>
      <c r="B2704" s="156" t="str">
        <f>'Reported burning'!B2704</f>
        <v>305z.4</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305aa</v>
      </c>
      <c r="B2705" s="156" t="str">
        <f>'Reported burning'!B2705</f>
        <v>305aa.4</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305ab</v>
      </c>
      <c r="B2706" s="156" t="str">
        <f>'Reported burning'!B2706</f>
        <v>305ab.4</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305ac</v>
      </c>
      <c r="B2707" s="156" t="str">
        <f>'Reported burning'!B2707</f>
        <v>305ac.4</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305ad</v>
      </c>
      <c r="B2708" s="156" t="str">
        <f>'Reported burning'!B2708</f>
        <v>305ad.4</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305ae</v>
      </c>
      <c r="B2709" s="156" t="str">
        <f>'Reported burning'!B2709</f>
        <v>305ae.4</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305n</v>
      </c>
      <c r="B2710" s="156" t="str">
        <f>'Reported burning'!B2710</f>
        <v>305n.5</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305o</v>
      </c>
      <c r="B2711" s="156" t="str">
        <f>'Reported burning'!B2711</f>
        <v>305o.5</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305p</v>
      </c>
      <c r="B2712" s="156" t="str">
        <f>'Reported burning'!B2712</f>
        <v>305p.5</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305q</v>
      </c>
      <c r="B2713" s="156" t="str">
        <f>'Reported burning'!B2713</f>
        <v>305q.5</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305r</v>
      </c>
      <c r="B2714" s="156" t="str">
        <f>'Reported burning'!B2714</f>
        <v>305r.5</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Absence</v>
      </c>
      <c r="I2714" s="5"/>
      <c r="J2714" s="14" t="s">
        <v>2364</v>
      </c>
      <c r="K2714" s="14" t="s">
        <v>2364</v>
      </c>
      <c r="L2714" s="14" t="s">
        <v>2364</v>
      </c>
      <c r="M2714" s="14" t="s">
        <v>2364</v>
      </c>
      <c r="N2714" s="14" t="s">
        <v>2364</v>
      </c>
      <c r="O2714" s="14" t="s">
        <v>2364</v>
      </c>
      <c r="P2714" s="14" t="s">
        <v>2364</v>
      </c>
      <c r="Q2714" s="14" t="s">
        <v>2364</v>
      </c>
      <c r="R2714" s="14" t="s">
        <v>2364</v>
      </c>
      <c r="S2714" s="14" t="s">
        <v>2364</v>
      </c>
      <c r="T2714" s="14" t="s">
        <v>2364</v>
      </c>
      <c r="U2714" s="14" t="s">
        <v>2364</v>
      </c>
      <c r="V2714" s="14" t="s">
        <v>2364</v>
      </c>
      <c r="W2714" s="204" t="s">
        <v>2276</v>
      </c>
      <c r="X2714" s="204" t="s">
        <v>68</v>
      </c>
      <c r="Y2714" s="204" t="s">
        <v>86</v>
      </c>
      <c r="Z2714" s="204" t="s">
        <v>76</v>
      </c>
      <c r="AA2714" s="204"/>
      <c r="AB2714" s="204"/>
    </row>
    <row r="2715" spans="1:28" ht="34.5" customHeight="1">
      <c r="A2715" s="156" t="str">
        <f>'Reported burning'!A2715</f>
        <v>305s</v>
      </c>
      <c r="B2715" s="156" t="str">
        <f>'Reported burning'!B2715</f>
        <v>305s.5</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14" t="s">
        <v>2364</v>
      </c>
      <c r="K2715" s="14" t="s">
        <v>2364</v>
      </c>
      <c r="L2715" s="14" t="s">
        <v>2364</v>
      </c>
      <c r="M2715" s="14" t="s">
        <v>2364</v>
      </c>
      <c r="N2715" s="14" t="s">
        <v>2364</v>
      </c>
      <c r="O2715" s="14" t="s">
        <v>2364</v>
      </c>
      <c r="P2715" s="14" t="s">
        <v>2364</v>
      </c>
      <c r="Q2715" s="14" t="s">
        <v>2364</v>
      </c>
      <c r="R2715" s="14" t="s">
        <v>2364</v>
      </c>
      <c r="S2715" s="14" t="s">
        <v>2364</v>
      </c>
      <c r="T2715" s="14" t="s">
        <v>2364</v>
      </c>
      <c r="U2715" s="14" t="s">
        <v>2364</v>
      </c>
      <c r="V2715" s="14" t="s">
        <v>2364</v>
      </c>
      <c r="W2715" s="204" t="s">
        <v>2276</v>
      </c>
      <c r="X2715" s="204" t="s">
        <v>68</v>
      </c>
      <c r="Y2715" s="204" t="s">
        <v>86</v>
      </c>
      <c r="Z2715" s="204" t="s">
        <v>76</v>
      </c>
      <c r="AA2715" s="204"/>
      <c r="AB2715" s="204"/>
    </row>
    <row r="2716" spans="1:28" ht="34.5" customHeight="1">
      <c r="A2716" s="156" t="str">
        <f>'Reported burning'!A2716</f>
        <v>305t</v>
      </c>
      <c r="B2716" s="156" t="str">
        <f>'Reported burning'!B2716</f>
        <v>305t.5</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14" t="s">
        <v>2364</v>
      </c>
      <c r="K2716" s="14" t="s">
        <v>2364</v>
      </c>
      <c r="L2716" s="14" t="s">
        <v>2364</v>
      </c>
      <c r="M2716" s="14" t="s">
        <v>2364</v>
      </c>
      <c r="N2716" s="14" t="s">
        <v>2364</v>
      </c>
      <c r="O2716" s="14" t="s">
        <v>2364</v>
      </c>
      <c r="P2716" s="14" t="s">
        <v>2364</v>
      </c>
      <c r="Q2716" s="14" t="s">
        <v>2364</v>
      </c>
      <c r="R2716" s="14" t="s">
        <v>2364</v>
      </c>
      <c r="S2716" s="14" t="s">
        <v>2364</v>
      </c>
      <c r="T2716" s="14" t="s">
        <v>2364</v>
      </c>
      <c r="U2716" s="14" t="s">
        <v>2364</v>
      </c>
      <c r="V2716" s="14" t="s">
        <v>2364</v>
      </c>
      <c r="W2716" s="204" t="s">
        <v>2276</v>
      </c>
      <c r="X2716" s="204" t="s">
        <v>68</v>
      </c>
      <c r="Y2716" s="204" t="s">
        <v>86</v>
      </c>
      <c r="Z2716" s="204" t="s">
        <v>76</v>
      </c>
      <c r="AA2716" s="204"/>
      <c r="AB2716" s="204"/>
    </row>
    <row r="2717" spans="1:28" ht="34.5" customHeight="1">
      <c r="A2717" s="156" t="str">
        <f>'Reported burning'!A2717</f>
        <v>305u</v>
      </c>
      <c r="B2717" s="156" t="str">
        <f>'Reported burning'!B2717</f>
        <v>305u.5</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Presence</v>
      </c>
      <c r="I2717" s="5"/>
      <c r="J2717" s="204" t="s">
        <v>2276</v>
      </c>
      <c r="K2717" s="204" t="s">
        <v>2276</v>
      </c>
      <c r="L2717" s="204" t="s">
        <v>2276</v>
      </c>
      <c r="M2717" s="204" t="s">
        <v>2276</v>
      </c>
      <c r="N2717" s="204" t="s">
        <v>2276</v>
      </c>
      <c r="O2717" s="204" t="s">
        <v>2276</v>
      </c>
      <c r="P2717" s="204" t="s">
        <v>2276</v>
      </c>
      <c r="Q2717" s="204" t="s">
        <v>2276</v>
      </c>
      <c r="R2717" s="204" t="s">
        <v>2276</v>
      </c>
      <c r="S2717" s="204" t="s">
        <v>2276</v>
      </c>
      <c r="T2717" s="204" t="s">
        <v>2276</v>
      </c>
      <c r="U2717" s="204" t="s">
        <v>2276</v>
      </c>
      <c r="V2717" s="204" t="s">
        <v>2276</v>
      </c>
      <c r="W2717" s="204" t="s">
        <v>2276</v>
      </c>
      <c r="X2717" s="204" t="s">
        <v>68</v>
      </c>
      <c r="Y2717" s="204" t="s">
        <v>86</v>
      </c>
      <c r="Z2717" s="204" t="s">
        <v>76</v>
      </c>
      <c r="AA2717" s="204"/>
      <c r="AB2717" s="204"/>
    </row>
    <row r="2718" spans="1:28" ht="34.5" customHeight="1">
      <c r="A2718" s="156" t="str">
        <f>'Reported burning'!A2718</f>
        <v>305v</v>
      </c>
      <c r="B2718" s="156" t="str">
        <f>'Reported burning'!B2718</f>
        <v>305v.5</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305w</v>
      </c>
      <c r="B2719" s="156" t="str">
        <f>'Reported burning'!B2719</f>
        <v>305w.5</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305x</v>
      </c>
      <c r="B2720" s="156" t="str">
        <f>'Reported burning'!B2720</f>
        <v>305x.5</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305y</v>
      </c>
      <c r="B2721" s="156" t="str">
        <f>'Reported burning'!B2721</f>
        <v>305y.5</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305z</v>
      </c>
      <c r="B2722" s="156" t="str">
        <f>'Reported burning'!B2722</f>
        <v>305z.5</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305aa</v>
      </c>
      <c r="B2723" s="156" t="str">
        <f>'Reported burning'!B2723</f>
        <v>305aa.5</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85" t="str">
        <f>'Reported burning'!A2724</f>
        <v>305ab</v>
      </c>
      <c r="B2724" s="185" t="str">
        <f>'Reported burning'!B2724</f>
        <v>305ab.5</v>
      </c>
      <c r="C2724" s="185" t="str">
        <f>'Reported burning'!C2724</f>
        <v>Human, deliberate</v>
      </c>
      <c r="D2724" s="185" t="str">
        <f>'Reported burning'!D2724</f>
        <v>Pyrome management</v>
      </c>
      <c r="E2724" s="185" t="str">
        <f>'Reported burning'!E2724</f>
        <v>Fire suppression agent</v>
      </c>
      <c r="F2724" s="185" t="str">
        <f>'Reported burning'!F2724</f>
        <v>ND</v>
      </c>
      <c r="G2724" s="185" t="str">
        <f>'Reported burning'!G2724</f>
        <v>ND</v>
      </c>
      <c r="H2724" s="185" t="str">
        <f>'Reported burning'!H2724</f>
        <v>Presence</v>
      </c>
      <c r="I2724" s="32"/>
      <c r="J2724" s="38" t="s">
        <v>2276</v>
      </c>
      <c r="K2724" s="38" t="s">
        <v>2276</v>
      </c>
      <c r="L2724" s="38" t="s">
        <v>2276</v>
      </c>
      <c r="M2724" s="38" t="s">
        <v>2276</v>
      </c>
      <c r="N2724" s="38" t="s">
        <v>2276</v>
      </c>
      <c r="O2724" s="38" t="s">
        <v>2276</v>
      </c>
      <c r="P2724" s="38" t="s">
        <v>2276</v>
      </c>
      <c r="Q2724" s="38" t="s">
        <v>2276</v>
      </c>
      <c r="R2724" s="38" t="s">
        <v>2276</v>
      </c>
      <c r="S2724" s="38" t="s">
        <v>2276</v>
      </c>
      <c r="T2724" s="38" t="s">
        <v>2276</v>
      </c>
      <c r="U2724" s="38" t="s">
        <v>2276</v>
      </c>
      <c r="V2724" s="38" t="s">
        <v>2276</v>
      </c>
      <c r="W2724" s="38" t="s">
        <v>2276</v>
      </c>
      <c r="X2724" s="204" t="s">
        <v>68</v>
      </c>
      <c r="Y2724" s="204" t="s">
        <v>86</v>
      </c>
      <c r="Z2724" s="204" t="s">
        <v>76</v>
      </c>
      <c r="AA2724" s="204"/>
      <c r="AB2724" s="204"/>
    </row>
    <row r="2725" spans="1:28" ht="34.5" customHeight="1">
      <c r="A2725" s="152" t="str">
        <f>'Reported burning'!A2725</f>
        <v>305ac</v>
      </c>
      <c r="B2725" s="152" t="str">
        <f>'Reported burning'!B2725</f>
        <v>305ac.5</v>
      </c>
      <c r="C2725" s="152" t="str">
        <f>'Reported burning'!C2725</f>
        <v>Human, deliberate</v>
      </c>
      <c r="D2725" s="152" t="str">
        <f>'Reported burning'!D2725</f>
        <v>Pyrome management</v>
      </c>
      <c r="E2725" s="152" t="str">
        <f>'Reported burning'!E2725</f>
        <v>Fire suppression agent</v>
      </c>
      <c r="F2725" s="152" t="str">
        <f>'Reported burning'!F2725</f>
        <v>ND</v>
      </c>
      <c r="G2725" s="152" t="str">
        <f>'Reported burning'!G2725</f>
        <v>ND</v>
      </c>
      <c r="H2725" s="152" t="str">
        <f>'Reported burning'!H2725</f>
        <v>Presence</v>
      </c>
      <c r="I2725" s="204"/>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2" t="str">
        <f>'Reported burning'!A2726</f>
        <v>305ad</v>
      </c>
      <c r="B2726" s="152" t="str">
        <f>'Reported burning'!B2726</f>
        <v>305ad.5</v>
      </c>
      <c r="C2726" s="152" t="str">
        <f>'Reported burning'!C2726</f>
        <v>Human, deliberate</v>
      </c>
      <c r="D2726" s="152" t="str">
        <f>'Reported burning'!D2726</f>
        <v>Pyrome management</v>
      </c>
      <c r="E2726" s="152" t="str">
        <f>'Reported burning'!E2726</f>
        <v>Fire suppression agent</v>
      </c>
      <c r="F2726" s="152" t="str">
        <f>'Reported burning'!F2726</f>
        <v>ND</v>
      </c>
      <c r="G2726" s="152" t="str">
        <f>'Reported burning'!G2726</f>
        <v>ND</v>
      </c>
      <c r="H2726" s="152" t="str">
        <f>'Reported burning'!H2726</f>
        <v>Presence</v>
      </c>
      <c r="I2726" s="204"/>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2" t="str">
        <f>'Reported burning'!A2727</f>
        <v>305ae</v>
      </c>
      <c r="B2727" s="152" t="str">
        <f>'Reported burning'!B2727</f>
        <v>305ae.5</v>
      </c>
      <c r="C2727" s="152" t="str">
        <f>'Reported burning'!C2727</f>
        <v>Human, deliberate</v>
      </c>
      <c r="D2727" s="152" t="str">
        <f>'Reported burning'!D2727</f>
        <v>Pyrome management</v>
      </c>
      <c r="E2727" s="152" t="str">
        <f>'Reported burning'!E2727</f>
        <v>Fire suppression agent</v>
      </c>
      <c r="F2727" s="152" t="str">
        <f>'Reported burning'!F2727</f>
        <v>ND</v>
      </c>
      <c r="G2727" s="152" t="str">
        <f>'Reported burning'!G2727</f>
        <v>ND</v>
      </c>
      <c r="H2727" s="152" t="str">
        <f>'Reported burning'!H2727</f>
        <v>Presence</v>
      </c>
      <c r="I2727" s="204"/>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2" t="str">
        <f>'Reported burning'!A2728</f>
        <v>305n</v>
      </c>
      <c r="B2728" s="152" t="str">
        <f>'Reported burning'!B2728</f>
        <v>305n.6</v>
      </c>
      <c r="C2728" s="152" t="str">
        <f>'Reported burning'!C2728</f>
        <v>Human, deliberate</v>
      </c>
      <c r="D2728" s="152" t="str">
        <f>'Reported burning'!D2728</f>
        <v>Pyrome management</v>
      </c>
      <c r="E2728" s="152" t="str">
        <f>'Reported burning'!E2728</f>
        <v>Fire suppression agent</v>
      </c>
      <c r="F2728" s="152" t="str">
        <f>'Reported burning'!F2728</f>
        <v>ND</v>
      </c>
      <c r="G2728" s="152" t="str">
        <f>'Reported burning'!G2728</f>
        <v>ND</v>
      </c>
      <c r="H2728" s="152" t="str">
        <f>'Reported burning'!H2728</f>
        <v>Presence</v>
      </c>
      <c r="I2728" s="204"/>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2" t="str">
        <f>'Reported burning'!A2729</f>
        <v>305o</v>
      </c>
      <c r="B2729" s="152" t="str">
        <f>'Reported burning'!B2729</f>
        <v>305o.6</v>
      </c>
      <c r="C2729" s="152" t="str">
        <f>'Reported burning'!C2729</f>
        <v>Human, deliberate</v>
      </c>
      <c r="D2729" s="152" t="str">
        <f>'Reported burning'!D2729</f>
        <v>Pyrome management</v>
      </c>
      <c r="E2729" s="152" t="str">
        <f>'Reported burning'!E2729</f>
        <v>Fire suppression agent</v>
      </c>
      <c r="F2729" s="152" t="str">
        <f>'Reported burning'!F2729</f>
        <v>ND</v>
      </c>
      <c r="G2729" s="152" t="str">
        <f>'Reported burning'!G2729</f>
        <v>ND</v>
      </c>
      <c r="H2729" s="152" t="str">
        <f>'Reported burning'!H2729</f>
        <v>Presence</v>
      </c>
      <c r="I2729" s="204"/>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2" t="str">
        <f>'Reported burning'!A2730</f>
        <v>305p</v>
      </c>
      <c r="B2730" s="152" t="str">
        <f>'Reported burning'!B2730</f>
        <v>305p.6</v>
      </c>
      <c r="C2730" s="152" t="str">
        <f>'Reported burning'!C2730</f>
        <v>Human, deliberate</v>
      </c>
      <c r="D2730" s="152" t="str">
        <f>'Reported burning'!D2730</f>
        <v>Pyrome management</v>
      </c>
      <c r="E2730" s="152" t="str">
        <f>'Reported burning'!E2730</f>
        <v>Fire suppression agent</v>
      </c>
      <c r="F2730" s="152" t="str">
        <f>'Reported burning'!F2730</f>
        <v>ND</v>
      </c>
      <c r="G2730" s="152" t="str">
        <f>'Reported burning'!G2730</f>
        <v>ND</v>
      </c>
      <c r="H2730" s="152" t="str">
        <f>'Reported burning'!H2730</f>
        <v>Presence</v>
      </c>
      <c r="I2730" s="204"/>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2" t="str">
        <f>'Reported burning'!A2731</f>
        <v>305q</v>
      </c>
      <c r="B2731" s="152" t="str">
        <f>'Reported burning'!B2731</f>
        <v>305q.6</v>
      </c>
      <c r="C2731" s="152" t="str">
        <f>'Reported burning'!C2731</f>
        <v>Human, deliberate</v>
      </c>
      <c r="D2731" s="152" t="str">
        <f>'Reported burning'!D2731</f>
        <v>Pyrome management</v>
      </c>
      <c r="E2731" s="152" t="str">
        <f>'Reported burning'!E2731</f>
        <v>Fire suppression agent</v>
      </c>
      <c r="F2731" s="152" t="str">
        <f>'Reported burning'!F2731</f>
        <v>ND</v>
      </c>
      <c r="G2731" s="152" t="str">
        <f>'Reported burning'!G2731</f>
        <v>ND</v>
      </c>
      <c r="H2731" s="152" t="str">
        <f>'Reported burning'!H2731</f>
        <v>Presence</v>
      </c>
      <c r="I2731" s="204"/>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2" t="str">
        <f>'Reported burning'!A2732</f>
        <v>305r</v>
      </c>
      <c r="B2732" s="152" t="str">
        <f>'Reported burning'!B2732</f>
        <v>305r.6</v>
      </c>
      <c r="C2732" s="152" t="str">
        <f>'Reported burning'!C2732</f>
        <v>Human, deliberate</v>
      </c>
      <c r="D2732" s="152" t="str">
        <f>'Reported burning'!D2732</f>
        <v>Pyrome management</v>
      </c>
      <c r="E2732" s="152" t="str">
        <f>'Reported burning'!E2732</f>
        <v>Fire suppression agent</v>
      </c>
      <c r="F2732" s="152" t="str">
        <f>'Reported burning'!F2732</f>
        <v>ND</v>
      </c>
      <c r="G2732" s="152" t="str">
        <f>'Reported burning'!G2732</f>
        <v>ND</v>
      </c>
      <c r="H2732" s="152" t="str">
        <f>'Reported burning'!H2732</f>
        <v>Absence</v>
      </c>
      <c r="I2732" s="204"/>
      <c r="J2732" s="21" t="s">
        <v>2364</v>
      </c>
      <c r="K2732" s="21" t="s">
        <v>2364</v>
      </c>
      <c r="L2732" s="21" t="s">
        <v>2364</v>
      </c>
      <c r="M2732" s="21" t="s">
        <v>2364</v>
      </c>
      <c r="N2732" s="21" t="s">
        <v>2364</v>
      </c>
      <c r="O2732" s="21" t="s">
        <v>2364</v>
      </c>
      <c r="P2732" s="21" t="s">
        <v>2364</v>
      </c>
      <c r="Q2732" s="21" t="s">
        <v>2364</v>
      </c>
      <c r="R2732" s="21" t="s">
        <v>2364</v>
      </c>
      <c r="S2732" s="21" t="s">
        <v>2364</v>
      </c>
      <c r="T2732" s="21" t="s">
        <v>2364</v>
      </c>
      <c r="U2732" s="21" t="s">
        <v>2364</v>
      </c>
      <c r="V2732" s="21" t="s">
        <v>2364</v>
      </c>
      <c r="W2732" s="204" t="s">
        <v>2276</v>
      </c>
      <c r="X2732" s="204" t="s">
        <v>68</v>
      </c>
      <c r="Y2732" s="204" t="s">
        <v>86</v>
      </c>
      <c r="Z2732" s="204" t="s">
        <v>76</v>
      </c>
      <c r="AA2732" s="204"/>
      <c r="AB2732" s="204"/>
    </row>
    <row r="2733" spans="1:28" ht="34.5" customHeight="1">
      <c r="A2733" s="152" t="str">
        <f>'Reported burning'!A2733</f>
        <v>305s</v>
      </c>
      <c r="B2733" s="152" t="str">
        <f>'Reported burning'!B2733</f>
        <v>305s.6</v>
      </c>
      <c r="C2733" s="152" t="str">
        <f>'Reported burning'!C2733</f>
        <v>Human, deliberate</v>
      </c>
      <c r="D2733" s="152" t="str">
        <f>'Reported burning'!D2733</f>
        <v>Pyrome management</v>
      </c>
      <c r="E2733" s="152" t="str">
        <f>'Reported burning'!E2733</f>
        <v>Fire suppression agent</v>
      </c>
      <c r="F2733" s="152" t="str">
        <f>'Reported burning'!F2733</f>
        <v>ND</v>
      </c>
      <c r="G2733" s="152" t="str">
        <f>'Reported burning'!G2733</f>
        <v>ND</v>
      </c>
      <c r="H2733" s="152" t="str">
        <f>'Reported burning'!H2733</f>
        <v>Absence</v>
      </c>
      <c r="I2733" s="204"/>
      <c r="J2733" s="21" t="s">
        <v>2364</v>
      </c>
      <c r="K2733" s="21" t="s">
        <v>2364</v>
      </c>
      <c r="L2733" s="21" t="s">
        <v>2364</v>
      </c>
      <c r="M2733" s="21" t="s">
        <v>2364</v>
      </c>
      <c r="N2733" s="21" t="s">
        <v>2364</v>
      </c>
      <c r="O2733" s="21" t="s">
        <v>2364</v>
      </c>
      <c r="P2733" s="21" t="s">
        <v>2364</v>
      </c>
      <c r="Q2733" s="21" t="s">
        <v>2364</v>
      </c>
      <c r="R2733" s="21" t="s">
        <v>2364</v>
      </c>
      <c r="S2733" s="21" t="s">
        <v>2364</v>
      </c>
      <c r="T2733" s="21" t="s">
        <v>2364</v>
      </c>
      <c r="U2733" s="21" t="s">
        <v>2364</v>
      </c>
      <c r="V2733" s="21" t="s">
        <v>2364</v>
      </c>
      <c r="W2733" s="204" t="s">
        <v>2276</v>
      </c>
      <c r="X2733" s="204" t="s">
        <v>68</v>
      </c>
      <c r="Y2733" s="204" t="s">
        <v>86</v>
      </c>
      <c r="Z2733" s="204" t="s">
        <v>76</v>
      </c>
      <c r="AA2733" s="204"/>
      <c r="AB2733" s="204"/>
    </row>
    <row r="2734" spans="1:28" ht="34.5" customHeight="1">
      <c r="A2734" s="152" t="str">
        <f>'Reported burning'!A2734</f>
        <v>305t</v>
      </c>
      <c r="B2734" s="152" t="str">
        <f>'Reported burning'!B2734</f>
        <v>305t.6</v>
      </c>
      <c r="C2734" s="152" t="str">
        <f>'Reported burning'!C2734</f>
        <v>Human, deliberate</v>
      </c>
      <c r="D2734" s="152" t="str">
        <f>'Reported burning'!D2734</f>
        <v>Pyrome management</v>
      </c>
      <c r="E2734" s="152" t="str">
        <f>'Reported burning'!E2734</f>
        <v>Fire suppression agent</v>
      </c>
      <c r="F2734" s="152" t="str">
        <f>'Reported burning'!F2734</f>
        <v>ND</v>
      </c>
      <c r="G2734" s="152" t="str">
        <f>'Reported burning'!G2734</f>
        <v>ND</v>
      </c>
      <c r="H2734" s="152" t="str">
        <f>'Reported burning'!H2734</f>
        <v>Absence</v>
      </c>
      <c r="I2734" s="204"/>
      <c r="J2734" s="21" t="s">
        <v>2364</v>
      </c>
      <c r="K2734" s="21" t="s">
        <v>2364</v>
      </c>
      <c r="L2734" s="21" t="s">
        <v>2364</v>
      </c>
      <c r="M2734" s="21" t="s">
        <v>2364</v>
      </c>
      <c r="N2734" s="21" t="s">
        <v>2364</v>
      </c>
      <c r="O2734" s="21" t="s">
        <v>2364</v>
      </c>
      <c r="P2734" s="21" t="s">
        <v>2364</v>
      </c>
      <c r="Q2734" s="21" t="s">
        <v>2364</v>
      </c>
      <c r="R2734" s="21" t="s">
        <v>2364</v>
      </c>
      <c r="S2734" s="21" t="s">
        <v>2364</v>
      </c>
      <c r="T2734" s="21" t="s">
        <v>2364</v>
      </c>
      <c r="U2734" s="21" t="s">
        <v>2364</v>
      </c>
      <c r="V2734" s="21" t="s">
        <v>2364</v>
      </c>
      <c r="W2734" s="204" t="s">
        <v>2276</v>
      </c>
      <c r="X2734" s="204" t="s">
        <v>68</v>
      </c>
      <c r="Y2734" s="204" t="s">
        <v>86</v>
      </c>
      <c r="Z2734" s="204" t="s">
        <v>76</v>
      </c>
      <c r="AA2734" s="204"/>
      <c r="AB2734" s="204"/>
    </row>
    <row r="2735" spans="1:28" ht="34.5" customHeight="1">
      <c r="A2735" s="152" t="str">
        <f>'Reported burning'!A2735</f>
        <v>305u</v>
      </c>
      <c r="B2735" s="152" t="str">
        <f>'Reported burning'!B2735</f>
        <v>305u.6</v>
      </c>
      <c r="C2735" s="152" t="str">
        <f>'Reported burning'!C2735</f>
        <v>Human, deliberate</v>
      </c>
      <c r="D2735" s="152" t="str">
        <f>'Reported burning'!D2735</f>
        <v>Pyrome management</v>
      </c>
      <c r="E2735" s="152" t="str">
        <f>'Reported burning'!E2735</f>
        <v>Fire suppression agent</v>
      </c>
      <c r="F2735" s="152" t="str">
        <f>'Reported burning'!F2735</f>
        <v>ND</v>
      </c>
      <c r="G2735" s="152" t="str">
        <f>'Reported burning'!G2735</f>
        <v>ND</v>
      </c>
      <c r="H2735" s="152" t="str">
        <f>'Reported burning'!H2735</f>
        <v>Presence</v>
      </c>
      <c r="I2735" s="204"/>
      <c r="J2735" s="204" t="s">
        <v>2276</v>
      </c>
      <c r="K2735" s="204" t="s">
        <v>2276</v>
      </c>
      <c r="L2735" s="204" t="s">
        <v>2276</v>
      </c>
      <c r="M2735" s="204" t="s">
        <v>2276</v>
      </c>
      <c r="N2735" s="204" t="s">
        <v>2276</v>
      </c>
      <c r="O2735" s="204" t="s">
        <v>2276</v>
      </c>
      <c r="P2735" s="204" t="s">
        <v>2276</v>
      </c>
      <c r="Q2735" s="204" t="s">
        <v>2276</v>
      </c>
      <c r="R2735" s="204" t="s">
        <v>2276</v>
      </c>
      <c r="S2735" s="204" t="s">
        <v>2276</v>
      </c>
      <c r="T2735" s="204" t="s">
        <v>2276</v>
      </c>
      <c r="U2735" s="204" t="s">
        <v>2276</v>
      </c>
      <c r="V2735" s="204" t="s">
        <v>2276</v>
      </c>
      <c r="W2735" s="204" t="s">
        <v>2276</v>
      </c>
      <c r="X2735" s="204" t="s">
        <v>68</v>
      </c>
      <c r="Y2735" s="204" t="s">
        <v>86</v>
      </c>
      <c r="Z2735" s="204" t="s">
        <v>76</v>
      </c>
      <c r="AA2735" s="204"/>
      <c r="AB2735" s="204"/>
    </row>
    <row r="2736" spans="1:28" ht="34.5" customHeight="1">
      <c r="A2736" s="152" t="str">
        <f>'Reported burning'!A2736</f>
        <v>305v</v>
      </c>
      <c r="B2736" s="152" t="str">
        <f>'Reported burning'!B2736</f>
        <v>305v.6</v>
      </c>
      <c r="C2736" s="152" t="str">
        <f>'Reported burning'!C2736</f>
        <v>Human, deliberate</v>
      </c>
      <c r="D2736" s="152" t="str">
        <f>'Reported burning'!D2736</f>
        <v>Pyrome management</v>
      </c>
      <c r="E2736" s="152" t="str">
        <f>'Reported burning'!E2736</f>
        <v>Fire suppression agent</v>
      </c>
      <c r="F2736" s="152" t="str">
        <f>'Reported burning'!F2736</f>
        <v>ND</v>
      </c>
      <c r="G2736" s="152" t="str">
        <f>'Reported burning'!G2736</f>
        <v>ND</v>
      </c>
      <c r="H2736" s="152" t="str">
        <f>'Reported burning'!H2736</f>
        <v>Presence</v>
      </c>
      <c r="I2736" s="204"/>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2" t="str">
        <f>'Reported burning'!A2737</f>
        <v>305w</v>
      </c>
      <c r="B2737" s="152" t="str">
        <f>'Reported burning'!B2737</f>
        <v>305w.6</v>
      </c>
      <c r="C2737" s="152" t="str">
        <f>'Reported burning'!C2737</f>
        <v>Human, deliberate</v>
      </c>
      <c r="D2737" s="152" t="str">
        <f>'Reported burning'!D2737</f>
        <v>Pyrome management</v>
      </c>
      <c r="E2737" s="152" t="str">
        <f>'Reported burning'!E2737</f>
        <v>Fire suppression agent</v>
      </c>
      <c r="F2737" s="152" t="str">
        <f>'Reported burning'!F2737</f>
        <v>ND</v>
      </c>
      <c r="G2737" s="152" t="str">
        <f>'Reported burning'!G2737</f>
        <v>ND</v>
      </c>
      <c r="H2737" s="152" t="str">
        <f>'Reported burning'!H2737</f>
        <v>Presence</v>
      </c>
      <c r="I2737" s="204"/>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2" t="str">
        <f>'Reported burning'!A2738</f>
        <v>305x</v>
      </c>
      <c r="B2738" s="152" t="str">
        <f>'Reported burning'!B2738</f>
        <v>305x.6</v>
      </c>
      <c r="C2738" s="152" t="str">
        <f>'Reported burning'!C2738</f>
        <v>Human, deliberate</v>
      </c>
      <c r="D2738" s="152" t="str">
        <f>'Reported burning'!D2738</f>
        <v>Pyrome management</v>
      </c>
      <c r="E2738" s="152" t="str">
        <f>'Reported burning'!E2738</f>
        <v>Fire suppression agent</v>
      </c>
      <c r="F2738" s="152" t="str">
        <f>'Reported burning'!F2738</f>
        <v>ND</v>
      </c>
      <c r="G2738" s="152" t="str">
        <f>'Reported burning'!G2738</f>
        <v>ND</v>
      </c>
      <c r="H2738" s="152" t="str">
        <f>'Reported burning'!H2738</f>
        <v>Presence</v>
      </c>
      <c r="I2738" s="204"/>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2" t="str">
        <f>'Reported burning'!A2739</f>
        <v>305y</v>
      </c>
      <c r="B2739" s="152" t="str">
        <f>'Reported burning'!B2739</f>
        <v>305y.6</v>
      </c>
      <c r="C2739" s="152" t="str">
        <f>'Reported burning'!C2739</f>
        <v>Human, deliberate</v>
      </c>
      <c r="D2739" s="152" t="str">
        <f>'Reported burning'!D2739</f>
        <v>Pyrome management</v>
      </c>
      <c r="E2739" s="152" t="str">
        <f>'Reported burning'!E2739</f>
        <v>Fire suppression agent</v>
      </c>
      <c r="F2739" s="152" t="str">
        <f>'Reported burning'!F2739</f>
        <v>ND</v>
      </c>
      <c r="G2739" s="152" t="str">
        <f>'Reported burning'!G2739</f>
        <v>ND</v>
      </c>
      <c r="H2739" s="152" t="str">
        <f>'Reported burning'!H2739</f>
        <v>Presence</v>
      </c>
      <c r="I2739" s="204"/>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2" t="str">
        <f>'Reported burning'!A2740</f>
        <v>305z</v>
      </c>
      <c r="B2740" s="152" t="str">
        <f>'Reported burning'!B2740</f>
        <v>305z.6</v>
      </c>
      <c r="C2740" s="152" t="str">
        <f>'Reported burning'!C2740</f>
        <v>Human, deliberate</v>
      </c>
      <c r="D2740" s="152" t="str">
        <f>'Reported burning'!D2740</f>
        <v>Pyrome management</v>
      </c>
      <c r="E2740" s="152" t="str">
        <f>'Reported burning'!E2740</f>
        <v>Fire suppression agent</v>
      </c>
      <c r="F2740" s="152" t="str">
        <f>'Reported burning'!F2740</f>
        <v>ND</v>
      </c>
      <c r="G2740" s="152" t="str">
        <f>'Reported burning'!G2740</f>
        <v>ND</v>
      </c>
      <c r="H2740" s="152" t="str">
        <f>'Reported burning'!H2740</f>
        <v>Presence</v>
      </c>
      <c r="I2740" s="204"/>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2" t="str">
        <f>'Reported burning'!A2741</f>
        <v>305aa</v>
      </c>
      <c r="B2741" s="152" t="str">
        <f>'Reported burning'!B2741</f>
        <v>305aa.6</v>
      </c>
      <c r="C2741" s="152" t="str">
        <f>'Reported burning'!C2741</f>
        <v>Human, deliberate</v>
      </c>
      <c r="D2741" s="152" t="str">
        <f>'Reported burning'!D2741</f>
        <v>Pyrome management</v>
      </c>
      <c r="E2741" s="152" t="str">
        <f>'Reported burning'!E2741</f>
        <v>Fire suppression agent</v>
      </c>
      <c r="F2741" s="152" t="str">
        <f>'Reported burning'!F2741</f>
        <v>ND</v>
      </c>
      <c r="G2741" s="152" t="str">
        <f>'Reported burning'!G2741</f>
        <v>ND</v>
      </c>
      <c r="H2741" s="152" t="str">
        <f>'Reported burning'!H2741</f>
        <v>Presence</v>
      </c>
      <c r="I2741" s="204"/>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2" t="str">
        <f>'Reported burning'!A2742</f>
        <v>305ab</v>
      </c>
      <c r="B2742" s="152" t="str">
        <f>'Reported burning'!B2742</f>
        <v>305ab.6</v>
      </c>
      <c r="C2742" s="152" t="str">
        <f>'Reported burning'!C2742</f>
        <v>Human, deliberate</v>
      </c>
      <c r="D2742" s="152" t="str">
        <f>'Reported burning'!D2742</f>
        <v>Pyrome management</v>
      </c>
      <c r="E2742" s="152" t="str">
        <f>'Reported burning'!E2742</f>
        <v>Fire suppression agent</v>
      </c>
      <c r="F2742" s="152" t="str">
        <f>'Reported burning'!F2742</f>
        <v>ND</v>
      </c>
      <c r="G2742" s="152" t="str">
        <f>'Reported burning'!G2742</f>
        <v>ND</v>
      </c>
      <c r="H2742" s="152" t="str">
        <f>'Reported burning'!H2742</f>
        <v>Presence</v>
      </c>
      <c r="I2742" s="204"/>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2" t="str">
        <f>'Reported burning'!A2743</f>
        <v>305ac</v>
      </c>
      <c r="B2743" s="152" t="str">
        <f>'Reported burning'!B2743</f>
        <v>305ac.6</v>
      </c>
      <c r="C2743" s="152" t="str">
        <f>'Reported burning'!C2743</f>
        <v>Human, deliberate</v>
      </c>
      <c r="D2743" s="152" t="str">
        <f>'Reported burning'!D2743</f>
        <v>Pyrome management</v>
      </c>
      <c r="E2743" s="152" t="str">
        <f>'Reported burning'!E2743</f>
        <v>Fire suppression agent</v>
      </c>
      <c r="F2743" s="152" t="str">
        <f>'Reported burning'!F2743</f>
        <v>ND</v>
      </c>
      <c r="G2743" s="152" t="str">
        <f>'Reported burning'!G2743</f>
        <v>ND</v>
      </c>
      <c r="H2743" s="152" t="str">
        <f>'Reported burning'!H2743</f>
        <v>Presence</v>
      </c>
      <c r="I2743" s="204"/>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2" t="str">
        <f>'Reported burning'!A2744</f>
        <v>305ad</v>
      </c>
      <c r="B2744" s="152" t="str">
        <f>'Reported burning'!B2744</f>
        <v>305ad.6</v>
      </c>
      <c r="C2744" s="152" t="str">
        <f>'Reported burning'!C2744</f>
        <v>Human, deliberate</v>
      </c>
      <c r="D2744" s="152" t="str">
        <f>'Reported burning'!D2744</f>
        <v>Pyrome management</v>
      </c>
      <c r="E2744" s="152" t="str">
        <f>'Reported burning'!E2744</f>
        <v>Fire suppression agent</v>
      </c>
      <c r="F2744" s="152" t="str">
        <f>'Reported burning'!F2744</f>
        <v>ND</v>
      </c>
      <c r="G2744" s="152" t="str">
        <f>'Reported burning'!G2744</f>
        <v>ND</v>
      </c>
      <c r="H2744" s="152" t="str">
        <f>'Reported burning'!H2744</f>
        <v>Presence</v>
      </c>
      <c r="I2744" s="204"/>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2" t="str">
        <f>'Reported burning'!A2745</f>
        <v>305ae</v>
      </c>
      <c r="B2745" s="152" t="str">
        <f>'Reported burning'!B2745</f>
        <v>305ae.6</v>
      </c>
      <c r="C2745" s="152" t="str">
        <f>'Reported burning'!C2745</f>
        <v>Human, deliberate</v>
      </c>
      <c r="D2745" s="152" t="str">
        <f>'Reported burning'!D2745</f>
        <v>Pyrome management</v>
      </c>
      <c r="E2745" s="152" t="str">
        <f>'Reported burning'!E2745</f>
        <v>Fire suppression agent</v>
      </c>
      <c r="F2745" s="152" t="str">
        <f>'Reported burning'!F2745</f>
        <v>ND</v>
      </c>
      <c r="G2745" s="152" t="str">
        <f>'Reported burning'!G2745</f>
        <v>ND</v>
      </c>
      <c r="H2745" s="152" t="str">
        <f>'Reported burning'!H2745</f>
        <v>Presence</v>
      </c>
      <c r="I2745" s="204"/>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2" t="str">
        <f>'Reported burning'!A2746</f>
        <v>305n</v>
      </c>
      <c r="B2746" s="152" t="str">
        <f>'Reported burning'!B2746</f>
        <v>305n.7</v>
      </c>
      <c r="C2746" s="152" t="str">
        <f>'Reported burning'!C2746</f>
        <v>Human, deliberate</v>
      </c>
      <c r="D2746" s="152" t="str">
        <f>'Reported burning'!D2746</f>
        <v>Pyrome management</v>
      </c>
      <c r="E2746" s="152" t="str">
        <f>'Reported burning'!E2746</f>
        <v>Fire suppression agent</v>
      </c>
      <c r="F2746" s="152" t="str">
        <f>'Reported burning'!F2746</f>
        <v>ND</v>
      </c>
      <c r="G2746" s="152" t="str">
        <f>'Reported burning'!G2746</f>
        <v>ND</v>
      </c>
      <c r="H2746" s="152" t="str">
        <f>'Reported burning'!H2746</f>
        <v>Presence</v>
      </c>
      <c r="I2746" s="204"/>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2" t="str">
        <f>'Reported burning'!A2747</f>
        <v>305o</v>
      </c>
      <c r="B2747" s="152" t="str">
        <f>'Reported burning'!B2747</f>
        <v>305o.7</v>
      </c>
      <c r="C2747" s="152" t="str">
        <f>'Reported burning'!C2747</f>
        <v>Human, deliberate</v>
      </c>
      <c r="D2747" s="152" t="str">
        <f>'Reported burning'!D2747</f>
        <v>Pyrome management</v>
      </c>
      <c r="E2747" s="152" t="str">
        <f>'Reported burning'!E2747</f>
        <v>Fire suppression agent</v>
      </c>
      <c r="F2747" s="152" t="str">
        <f>'Reported burning'!F2747</f>
        <v>ND</v>
      </c>
      <c r="G2747" s="152" t="str">
        <f>'Reported burning'!G2747</f>
        <v>ND</v>
      </c>
      <c r="H2747" s="152" t="str">
        <f>'Reported burning'!H2747</f>
        <v>Presence</v>
      </c>
      <c r="I2747" s="204"/>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2" t="str">
        <f>'Reported burning'!A2748</f>
        <v>305p</v>
      </c>
      <c r="B2748" s="152" t="str">
        <f>'Reported burning'!B2748</f>
        <v>305p.7</v>
      </c>
      <c r="C2748" s="152" t="str">
        <f>'Reported burning'!C2748</f>
        <v>Human, deliberate</v>
      </c>
      <c r="D2748" s="152" t="str">
        <f>'Reported burning'!D2748</f>
        <v>Pyrome management</v>
      </c>
      <c r="E2748" s="152" t="str">
        <f>'Reported burning'!E2748</f>
        <v>Fire suppression agent</v>
      </c>
      <c r="F2748" s="152" t="str">
        <f>'Reported burning'!F2748</f>
        <v>ND</v>
      </c>
      <c r="G2748" s="152" t="str">
        <f>'Reported burning'!G2748</f>
        <v>ND</v>
      </c>
      <c r="H2748" s="152" t="str">
        <f>'Reported burning'!H2748</f>
        <v>Presence</v>
      </c>
      <c r="I2748" s="204"/>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2" t="str">
        <f>'Reported burning'!A2749</f>
        <v>305q</v>
      </c>
      <c r="B2749" s="152" t="str">
        <f>'Reported burning'!B2749</f>
        <v>305q.7</v>
      </c>
      <c r="C2749" s="152" t="str">
        <f>'Reported burning'!C2749</f>
        <v>Human, deliberate</v>
      </c>
      <c r="D2749" s="152" t="str">
        <f>'Reported burning'!D2749</f>
        <v>Pyrome management</v>
      </c>
      <c r="E2749" s="152" t="str">
        <f>'Reported burning'!E2749</f>
        <v>Fire suppression agent</v>
      </c>
      <c r="F2749" s="152" t="str">
        <f>'Reported burning'!F2749</f>
        <v>ND</v>
      </c>
      <c r="G2749" s="152" t="str">
        <f>'Reported burning'!G2749</f>
        <v>ND</v>
      </c>
      <c r="H2749" s="152" t="str">
        <f>'Reported burning'!H2749</f>
        <v>Presence</v>
      </c>
      <c r="I2749" s="204"/>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2" t="str">
        <f>'Reported burning'!A2750</f>
        <v>305r</v>
      </c>
      <c r="B2750" s="152" t="str">
        <f>'Reported burning'!B2750</f>
        <v>305r.7</v>
      </c>
      <c r="C2750" s="152" t="str">
        <f>'Reported burning'!C2750</f>
        <v>Human, deliberate</v>
      </c>
      <c r="D2750" s="152" t="str">
        <f>'Reported burning'!D2750</f>
        <v>Pyrome management</v>
      </c>
      <c r="E2750" s="152" t="str">
        <f>'Reported burning'!E2750</f>
        <v>Fire suppression agent</v>
      </c>
      <c r="F2750" s="152" t="str">
        <f>'Reported burning'!F2750</f>
        <v>ND</v>
      </c>
      <c r="G2750" s="152" t="str">
        <f>'Reported burning'!G2750</f>
        <v>ND</v>
      </c>
      <c r="H2750" s="152" t="str">
        <f>'Reported burning'!H2750</f>
        <v>Absence</v>
      </c>
      <c r="I2750" s="204"/>
      <c r="J2750" s="21" t="s">
        <v>2364</v>
      </c>
      <c r="K2750" s="21" t="s">
        <v>2364</v>
      </c>
      <c r="L2750" s="21" t="s">
        <v>2364</v>
      </c>
      <c r="M2750" s="21" t="s">
        <v>2364</v>
      </c>
      <c r="N2750" s="21" t="s">
        <v>2364</v>
      </c>
      <c r="O2750" s="21" t="s">
        <v>2364</v>
      </c>
      <c r="P2750" s="21" t="s">
        <v>2364</v>
      </c>
      <c r="Q2750" s="21" t="s">
        <v>2364</v>
      </c>
      <c r="R2750" s="21" t="s">
        <v>2364</v>
      </c>
      <c r="S2750" s="21" t="s">
        <v>2364</v>
      </c>
      <c r="T2750" s="21" t="s">
        <v>2364</v>
      </c>
      <c r="U2750" s="21" t="s">
        <v>2364</v>
      </c>
      <c r="V2750" s="21" t="s">
        <v>2364</v>
      </c>
      <c r="W2750" s="204" t="s">
        <v>2276</v>
      </c>
      <c r="X2750" s="204" t="s">
        <v>68</v>
      </c>
      <c r="Y2750" s="204" t="s">
        <v>86</v>
      </c>
      <c r="Z2750" s="204" t="s">
        <v>76</v>
      </c>
      <c r="AA2750" s="204"/>
      <c r="AB2750" s="204"/>
    </row>
    <row r="2751" spans="1:28" ht="34.5" customHeight="1">
      <c r="A2751" s="152" t="str">
        <f>'Reported burning'!A2751</f>
        <v>305s</v>
      </c>
      <c r="B2751" s="152" t="str">
        <f>'Reported burning'!B2751</f>
        <v>305s.7</v>
      </c>
      <c r="C2751" s="152" t="str">
        <f>'Reported burning'!C2751</f>
        <v>Human, deliberate</v>
      </c>
      <c r="D2751" s="152" t="str">
        <f>'Reported burning'!D2751</f>
        <v>Pyrome management</v>
      </c>
      <c r="E2751" s="152" t="str">
        <f>'Reported burning'!E2751</f>
        <v>Fire suppression agent</v>
      </c>
      <c r="F2751" s="152" t="str">
        <f>'Reported burning'!F2751</f>
        <v>ND</v>
      </c>
      <c r="G2751" s="152" t="str">
        <f>'Reported burning'!G2751</f>
        <v>ND</v>
      </c>
      <c r="H2751" s="152" t="str">
        <f>'Reported burning'!H2751</f>
        <v>Absence</v>
      </c>
      <c r="I2751" s="204"/>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2" t="str">
        <f>'Reported burning'!A2752</f>
        <v>305t</v>
      </c>
      <c r="B2752" s="152" t="str">
        <f>'Reported burning'!B2752</f>
        <v>305t.7</v>
      </c>
      <c r="C2752" s="152" t="str">
        <f>'Reported burning'!C2752</f>
        <v>Human, deliberate</v>
      </c>
      <c r="D2752" s="152" t="str">
        <f>'Reported burning'!D2752</f>
        <v>Pyrome management</v>
      </c>
      <c r="E2752" s="152" t="str">
        <f>'Reported burning'!E2752</f>
        <v>Fire suppression agent</v>
      </c>
      <c r="F2752" s="152" t="str">
        <f>'Reported burning'!F2752</f>
        <v>ND</v>
      </c>
      <c r="G2752" s="152" t="str">
        <f>'Reported burning'!G2752</f>
        <v>ND</v>
      </c>
      <c r="H2752" s="152" t="str">
        <f>'Reported burning'!H2752</f>
        <v>Absence</v>
      </c>
      <c r="I2752" s="204"/>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2" t="str">
        <f>'Reported burning'!A2753</f>
        <v>305u</v>
      </c>
      <c r="B2753" s="152" t="str">
        <f>'Reported burning'!B2753</f>
        <v>305u.7</v>
      </c>
      <c r="C2753" s="152" t="str">
        <f>'Reported burning'!C2753</f>
        <v>Human, deliberate</v>
      </c>
      <c r="D2753" s="152" t="str">
        <f>'Reported burning'!D2753</f>
        <v>Pyrome management</v>
      </c>
      <c r="E2753" s="152" t="str">
        <f>'Reported burning'!E2753</f>
        <v>Fire suppression agent</v>
      </c>
      <c r="F2753" s="152" t="str">
        <f>'Reported burning'!F2753</f>
        <v>ND</v>
      </c>
      <c r="G2753" s="152" t="str">
        <f>'Reported burning'!G2753</f>
        <v>ND</v>
      </c>
      <c r="H2753" s="152" t="str">
        <f>'Reported burning'!H2753</f>
        <v>Presence</v>
      </c>
      <c r="I2753" s="204"/>
      <c r="J2753" s="204" t="s">
        <v>2276</v>
      </c>
      <c r="K2753" s="204" t="s">
        <v>2276</v>
      </c>
      <c r="L2753" s="204" t="s">
        <v>2276</v>
      </c>
      <c r="M2753" s="204" t="s">
        <v>2276</v>
      </c>
      <c r="N2753" s="204" t="s">
        <v>2276</v>
      </c>
      <c r="O2753" s="204" t="s">
        <v>2276</v>
      </c>
      <c r="P2753" s="204" t="s">
        <v>2276</v>
      </c>
      <c r="Q2753" s="204" t="s">
        <v>2276</v>
      </c>
      <c r="R2753" s="204" t="s">
        <v>2276</v>
      </c>
      <c r="S2753" s="204" t="s">
        <v>2276</v>
      </c>
      <c r="T2753" s="204" t="s">
        <v>2276</v>
      </c>
      <c r="U2753" s="204" t="s">
        <v>2276</v>
      </c>
      <c r="V2753" s="204" t="s">
        <v>2276</v>
      </c>
      <c r="W2753" s="204" t="s">
        <v>2276</v>
      </c>
      <c r="X2753" s="204" t="s">
        <v>68</v>
      </c>
      <c r="Y2753" s="204" t="s">
        <v>86</v>
      </c>
      <c r="Z2753" s="204" t="s">
        <v>76</v>
      </c>
      <c r="AA2753" s="204"/>
      <c r="AB2753" s="204"/>
    </row>
    <row r="2754" spans="1:28" ht="34.5" customHeight="1">
      <c r="A2754" s="152" t="str">
        <f>'Reported burning'!A2754</f>
        <v>305v</v>
      </c>
      <c r="B2754" s="152" t="str">
        <f>'Reported burning'!B2754</f>
        <v>305v.7</v>
      </c>
      <c r="C2754" s="152" t="str">
        <f>'Reported burning'!C2754</f>
        <v>Human, deliberate</v>
      </c>
      <c r="D2754" s="152" t="str">
        <f>'Reported burning'!D2754</f>
        <v>Pyrome management</v>
      </c>
      <c r="E2754" s="152" t="str">
        <f>'Reported burning'!E2754</f>
        <v>Fire suppression agent</v>
      </c>
      <c r="F2754" s="152" t="str">
        <f>'Reported burning'!F2754</f>
        <v>ND</v>
      </c>
      <c r="G2754" s="152" t="str">
        <f>'Reported burning'!G2754</f>
        <v>ND</v>
      </c>
      <c r="H2754" s="152" t="str">
        <f>'Reported burning'!H2754</f>
        <v>Presence</v>
      </c>
      <c r="I2754" s="204"/>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2" t="str">
        <f>'Reported burning'!A2755</f>
        <v>305w</v>
      </c>
      <c r="B2755" s="152" t="str">
        <f>'Reported burning'!B2755</f>
        <v>305w.7</v>
      </c>
      <c r="C2755" s="152" t="str">
        <f>'Reported burning'!C2755</f>
        <v>Human, deliberate</v>
      </c>
      <c r="D2755" s="152" t="str">
        <f>'Reported burning'!D2755</f>
        <v>Pyrome management</v>
      </c>
      <c r="E2755" s="152" t="str">
        <f>'Reported burning'!E2755</f>
        <v>Fire suppression agent</v>
      </c>
      <c r="F2755" s="152" t="str">
        <f>'Reported burning'!F2755</f>
        <v>ND</v>
      </c>
      <c r="G2755" s="152" t="str">
        <f>'Reported burning'!G2755</f>
        <v>ND</v>
      </c>
      <c r="H2755" s="152" t="str">
        <f>'Reported burning'!H2755</f>
        <v>Presence</v>
      </c>
      <c r="I2755" s="204"/>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2" t="str">
        <f>'Reported burning'!A2756</f>
        <v>305x</v>
      </c>
      <c r="B2756" s="152" t="str">
        <f>'Reported burning'!B2756</f>
        <v>305x.7</v>
      </c>
      <c r="C2756" s="152" t="str">
        <f>'Reported burning'!C2756</f>
        <v>Human, deliberate</v>
      </c>
      <c r="D2756" s="152" t="str">
        <f>'Reported burning'!D2756</f>
        <v>Pyrome management</v>
      </c>
      <c r="E2756" s="152" t="str">
        <f>'Reported burning'!E2756</f>
        <v>Fire suppression agent</v>
      </c>
      <c r="F2756" s="152" t="str">
        <f>'Reported burning'!F2756</f>
        <v>ND</v>
      </c>
      <c r="G2756" s="152" t="str">
        <f>'Reported burning'!G2756</f>
        <v>ND</v>
      </c>
      <c r="H2756" s="152" t="str">
        <f>'Reported burning'!H2756</f>
        <v>Presence</v>
      </c>
      <c r="I2756" s="204"/>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2" t="str">
        <f>'Reported burning'!A2757</f>
        <v>305y</v>
      </c>
      <c r="B2757" s="152" t="str">
        <f>'Reported burning'!B2757</f>
        <v>305y.7</v>
      </c>
      <c r="C2757" s="152" t="str">
        <f>'Reported burning'!C2757</f>
        <v>Human, deliberate</v>
      </c>
      <c r="D2757" s="152" t="str">
        <f>'Reported burning'!D2757</f>
        <v>Pyrome management</v>
      </c>
      <c r="E2757" s="152" t="str">
        <f>'Reported burning'!E2757</f>
        <v>Fire suppression agent</v>
      </c>
      <c r="F2757" s="152" t="str">
        <f>'Reported burning'!F2757</f>
        <v>ND</v>
      </c>
      <c r="G2757" s="152" t="str">
        <f>'Reported burning'!G2757</f>
        <v>ND</v>
      </c>
      <c r="H2757" s="152" t="str">
        <f>'Reported burning'!H2757</f>
        <v>Presence</v>
      </c>
      <c r="I2757" s="204"/>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2" t="str">
        <f>'Reported burning'!A2758</f>
        <v>305z</v>
      </c>
      <c r="B2758" s="152" t="str">
        <f>'Reported burning'!B2758</f>
        <v>305z.7</v>
      </c>
      <c r="C2758" s="152" t="str">
        <f>'Reported burning'!C2758</f>
        <v>Human, deliberate</v>
      </c>
      <c r="D2758" s="152" t="str">
        <f>'Reported burning'!D2758</f>
        <v>Pyrome management</v>
      </c>
      <c r="E2758" s="152" t="str">
        <f>'Reported burning'!E2758</f>
        <v>Fire suppression agent</v>
      </c>
      <c r="F2758" s="152" t="str">
        <f>'Reported burning'!F2758</f>
        <v>ND</v>
      </c>
      <c r="G2758" s="152" t="str">
        <f>'Reported burning'!G2758</f>
        <v>ND</v>
      </c>
      <c r="H2758" s="152" t="str">
        <f>'Reported burning'!H2758</f>
        <v>Presence</v>
      </c>
      <c r="I2758" s="204"/>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2" t="str">
        <f>'Reported burning'!A2759</f>
        <v>305aa</v>
      </c>
      <c r="B2759" s="152" t="str">
        <f>'Reported burning'!B2759</f>
        <v>305aa.7</v>
      </c>
      <c r="C2759" s="152" t="str">
        <f>'Reported burning'!C2759</f>
        <v>Human, deliberate</v>
      </c>
      <c r="D2759" s="152" t="str">
        <f>'Reported burning'!D2759</f>
        <v>Pyrome management</v>
      </c>
      <c r="E2759" s="152" t="str">
        <f>'Reported burning'!E2759</f>
        <v>Fire suppression agent</v>
      </c>
      <c r="F2759" s="152" t="str">
        <f>'Reported burning'!F2759</f>
        <v>ND</v>
      </c>
      <c r="G2759" s="152" t="str">
        <f>'Reported burning'!G2759</f>
        <v>ND</v>
      </c>
      <c r="H2759" s="152" t="str">
        <f>'Reported burning'!H2759</f>
        <v>Presence</v>
      </c>
      <c r="I2759" s="204"/>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2" t="str">
        <f>'Reported burning'!A2760</f>
        <v>305ab</v>
      </c>
      <c r="B2760" s="152" t="str">
        <f>'Reported burning'!B2760</f>
        <v>305ab.7</v>
      </c>
      <c r="C2760" s="152" t="str">
        <f>'Reported burning'!C2760</f>
        <v>Human, deliberate</v>
      </c>
      <c r="D2760" s="152" t="str">
        <f>'Reported burning'!D2760</f>
        <v>Pyrome management</v>
      </c>
      <c r="E2760" s="152" t="str">
        <f>'Reported burning'!E2760</f>
        <v>Fire suppression agent</v>
      </c>
      <c r="F2760" s="152" t="str">
        <f>'Reported burning'!F2760</f>
        <v>ND</v>
      </c>
      <c r="G2760" s="152" t="str">
        <f>'Reported burning'!G2760</f>
        <v>ND</v>
      </c>
      <c r="H2760" s="152" t="str">
        <f>'Reported burning'!H2760</f>
        <v>Presence</v>
      </c>
      <c r="I2760" s="204"/>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52" t="str">
        <f>'Reported burning'!A2761</f>
        <v>305ac</v>
      </c>
      <c r="B2761" s="152" t="str">
        <f>'Reported burning'!B2761</f>
        <v>305ac.7</v>
      </c>
      <c r="C2761" s="152" t="str">
        <f>'Reported burning'!C2761</f>
        <v>Human, deliberate</v>
      </c>
      <c r="D2761" s="152" t="str">
        <f>'Reported burning'!D2761</f>
        <v>Pyrome management</v>
      </c>
      <c r="E2761" s="152" t="str">
        <f>'Reported burning'!E2761</f>
        <v>Fire suppression agent</v>
      </c>
      <c r="F2761" s="152" t="str">
        <f>'Reported burning'!F2761</f>
        <v>ND</v>
      </c>
      <c r="G2761" s="152" t="str">
        <f>'Reported burning'!G2761</f>
        <v>ND</v>
      </c>
      <c r="H2761" s="152" t="str">
        <f>'Reported burning'!H2761</f>
        <v>Presence</v>
      </c>
      <c r="I2761" s="204"/>
      <c r="J2761" s="204" t="s">
        <v>2276</v>
      </c>
      <c r="K2761" s="204" t="s">
        <v>2276</v>
      </c>
      <c r="L2761" s="204" t="s">
        <v>2276</v>
      </c>
      <c r="M2761" s="204" t="s">
        <v>2276</v>
      </c>
      <c r="N2761" s="204" t="s">
        <v>2276</v>
      </c>
      <c r="O2761" s="204" t="s">
        <v>2276</v>
      </c>
      <c r="P2761" s="204" t="s">
        <v>2276</v>
      </c>
      <c r="Q2761" s="204" t="s">
        <v>2276</v>
      </c>
      <c r="R2761" s="204" t="s">
        <v>2276</v>
      </c>
      <c r="S2761" s="204" t="s">
        <v>2276</v>
      </c>
      <c r="T2761" s="204" t="s">
        <v>2276</v>
      </c>
      <c r="U2761" s="204" t="s">
        <v>2276</v>
      </c>
      <c r="V2761" s="204" t="s">
        <v>2276</v>
      </c>
      <c r="W2761" s="204" t="s">
        <v>2276</v>
      </c>
      <c r="X2761" s="204" t="s">
        <v>68</v>
      </c>
      <c r="Y2761" s="204" t="s">
        <v>86</v>
      </c>
      <c r="Z2761" s="204" t="s">
        <v>76</v>
      </c>
      <c r="AA2761" s="204"/>
      <c r="AB2761" s="204"/>
    </row>
    <row r="2762" spans="1:28" ht="34.5" customHeight="1">
      <c r="A2762" s="152" t="str">
        <f>'Reported burning'!A2762</f>
        <v>305ad</v>
      </c>
      <c r="B2762" s="152" t="str">
        <f>'Reported burning'!B2762</f>
        <v>305ad.7</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305ae</v>
      </c>
      <c r="B2763" s="152" t="str">
        <f>'Reported burning'!B2763</f>
        <v>305ae.7</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305n</v>
      </c>
      <c r="B2764" s="152" t="str">
        <f>'Reported burning'!B2764</f>
        <v>305n.8</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305o</v>
      </c>
      <c r="B2765" s="152" t="str">
        <f>'Reported burning'!B2765</f>
        <v>305o.8</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305p</v>
      </c>
      <c r="B2766" s="152" t="str">
        <f>'Reported burning'!B2766</f>
        <v>305p.8</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305q</v>
      </c>
      <c r="B2767" s="152" t="str">
        <f>'Reported burning'!B2767</f>
        <v>305q.8</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305r</v>
      </c>
      <c r="B2768" s="152" t="str">
        <f>'Reported burning'!B2768</f>
        <v>305r.8</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Absence</v>
      </c>
      <c r="I2768" s="204"/>
      <c r="J2768" s="21" t="s">
        <v>2364</v>
      </c>
      <c r="K2768" s="21" t="s">
        <v>2364</v>
      </c>
      <c r="L2768" s="21" t="s">
        <v>2364</v>
      </c>
      <c r="M2768" s="21" t="s">
        <v>2364</v>
      </c>
      <c r="N2768" s="21" t="s">
        <v>2364</v>
      </c>
      <c r="O2768" s="21" t="s">
        <v>2364</v>
      </c>
      <c r="P2768" s="21" t="s">
        <v>2364</v>
      </c>
      <c r="Q2768" s="21" t="s">
        <v>2364</v>
      </c>
      <c r="R2768" s="21" t="s">
        <v>2364</v>
      </c>
      <c r="S2768" s="21" t="s">
        <v>2364</v>
      </c>
      <c r="T2768" s="21" t="s">
        <v>2364</v>
      </c>
      <c r="U2768" s="21" t="s">
        <v>2364</v>
      </c>
      <c r="V2768" s="21" t="s">
        <v>2364</v>
      </c>
      <c r="W2768" s="204" t="s">
        <v>2276</v>
      </c>
      <c r="X2768" s="204" t="s">
        <v>68</v>
      </c>
      <c r="Y2768" s="204" t="s">
        <v>86</v>
      </c>
      <c r="Z2768" s="204" t="s">
        <v>76</v>
      </c>
      <c r="AA2768" s="204"/>
      <c r="AB2768" s="204"/>
    </row>
    <row r="2769" spans="1:28" ht="34.5" customHeight="1">
      <c r="A2769" s="152" t="str">
        <f>'Reported burning'!A2769</f>
        <v>305s</v>
      </c>
      <c r="B2769" s="152" t="str">
        <f>'Reported burning'!B2769</f>
        <v>305s.8</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305t</v>
      </c>
      <c r="B2770" s="152" t="str">
        <f>'Reported burning'!B2770</f>
        <v>305t.8</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305u</v>
      </c>
      <c r="B2771" s="152" t="str">
        <f>'Reported burning'!B2771</f>
        <v>305u.8</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Presence</v>
      </c>
      <c r="I2771" s="204"/>
      <c r="J2771" s="204" t="s">
        <v>2276</v>
      </c>
      <c r="K2771" s="204" t="s">
        <v>2276</v>
      </c>
      <c r="L2771" s="204" t="s">
        <v>2276</v>
      </c>
      <c r="M2771" s="204" t="s">
        <v>2276</v>
      </c>
      <c r="N2771" s="204" t="s">
        <v>2276</v>
      </c>
      <c r="O2771" s="204" t="s">
        <v>2276</v>
      </c>
      <c r="P2771" s="204" t="s">
        <v>2276</v>
      </c>
      <c r="Q2771" s="204" t="s">
        <v>2276</v>
      </c>
      <c r="R2771" s="204" t="s">
        <v>2276</v>
      </c>
      <c r="S2771" s="204" t="s">
        <v>2276</v>
      </c>
      <c r="T2771" s="204" t="s">
        <v>2276</v>
      </c>
      <c r="U2771" s="204" t="s">
        <v>2276</v>
      </c>
      <c r="V2771" s="204" t="s">
        <v>2276</v>
      </c>
      <c r="W2771" s="204" t="s">
        <v>2276</v>
      </c>
      <c r="X2771" s="204" t="s">
        <v>68</v>
      </c>
      <c r="Y2771" s="204" t="s">
        <v>86</v>
      </c>
      <c r="Z2771" s="204" t="s">
        <v>76</v>
      </c>
      <c r="AA2771" s="204"/>
      <c r="AB2771" s="204"/>
    </row>
    <row r="2772" spans="1:28" ht="34.5" customHeight="1">
      <c r="A2772" s="152" t="str">
        <f>'Reported burning'!A2772</f>
        <v>305v</v>
      </c>
      <c r="B2772" s="152" t="str">
        <f>'Reported burning'!B2772</f>
        <v>305v.8</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305w</v>
      </c>
      <c r="B2773" s="152" t="str">
        <f>'Reported burning'!B2773</f>
        <v>305w.8</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305x</v>
      </c>
      <c r="B2774" s="152" t="str">
        <f>'Reported burning'!B2774</f>
        <v>305x.8</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305y</v>
      </c>
      <c r="B2775" s="152" t="str">
        <f>'Reported burning'!B2775</f>
        <v>305y.8</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305z</v>
      </c>
      <c r="B2776" s="152" t="str">
        <f>'Reported burning'!B2776</f>
        <v>305z.8</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305aa</v>
      </c>
      <c r="B2777" s="152" t="str">
        <f>'Reported burning'!B2777</f>
        <v>305aa.8</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305ab</v>
      </c>
      <c r="B2778" s="152" t="str">
        <f>'Reported burning'!B2778</f>
        <v>305ab.8</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305ac</v>
      </c>
      <c r="B2779" s="152" t="str">
        <f>'Reported burning'!B2779</f>
        <v>305ac.8</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305ad</v>
      </c>
      <c r="B2780" s="152" t="str">
        <f>'Reported burning'!B2780</f>
        <v>305ad.8</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305ae</v>
      </c>
      <c r="B2781" s="152" t="str">
        <f>'Reported burning'!B2781</f>
        <v>305ae.8</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305n</v>
      </c>
      <c r="B2782" s="152" t="str">
        <f>'Reported burning'!B2782</f>
        <v>305n.9</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305o</v>
      </c>
      <c r="B2783" s="152" t="str">
        <f>'Reported burning'!B2783</f>
        <v>305o.9</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305p</v>
      </c>
      <c r="B2784" s="152" t="str">
        <f>'Reported burning'!B2784</f>
        <v>305p.9</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305q</v>
      </c>
      <c r="B2785" s="152" t="str">
        <f>'Reported burning'!B2785</f>
        <v>305q.9</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305r</v>
      </c>
      <c r="B2786" s="152" t="str">
        <f>'Reported burning'!B2786</f>
        <v>305r.9</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Absence</v>
      </c>
      <c r="I2786" s="204"/>
      <c r="J2786" s="21" t="s">
        <v>2364</v>
      </c>
      <c r="K2786" s="21" t="s">
        <v>2364</v>
      </c>
      <c r="L2786" s="21" t="s">
        <v>2364</v>
      </c>
      <c r="M2786" s="21" t="s">
        <v>2364</v>
      </c>
      <c r="N2786" s="21" t="s">
        <v>2364</v>
      </c>
      <c r="O2786" s="21" t="s">
        <v>2364</v>
      </c>
      <c r="P2786" s="21" t="s">
        <v>2364</v>
      </c>
      <c r="Q2786" s="21" t="s">
        <v>2364</v>
      </c>
      <c r="R2786" s="21" t="s">
        <v>2364</v>
      </c>
      <c r="S2786" s="21" t="s">
        <v>2364</v>
      </c>
      <c r="T2786" s="21" t="s">
        <v>2364</v>
      </c>
      <c r="U2786" s="21" t="s">
        <v>2364</v>
      </c>
      <c r="V2786" s="21" t="s">
        <v>2364</v>
      </c>
      <c r="W2786" s="204" t="s">
        <v>2276</v>
      </c>
      <c r="X2786" s="204" t="s">
        <v>68</v>
      </c>
      <c r="Y2786" s="204" t="s">
        <v>86</v>
      </c>
      <c r="Z2786" s="204" t="s">
        <v>76</v>
      </c>
      <c r="AA2786" s="204"/>
      <c r="AB2786" s="204"/>
    </row>
    <row r="2787" spans="1:28" ht="34.5" customHeight="1">
      <c r="A2787" s="152" t="str">
        <f>'Reported burning'!A2787</f>
        <v>305s</v>
      </c>
      <c r="B2787" s="152" t="str">
        <f>'Reported burning'!B2787</f>
        <v>305s.9</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305t</v>
      </c>
      <c r="B2788" s="152" t="str">
        <f>'Reported burning'!B2788</f>
        <v>305t.9</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305u</v>
      </c>
      <c r="B2789" s="152" t="str">
        <f>'Reported burning'!B2789</f>
        <v>305u.9</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Presence</v>
      </c>
      <c r="I2789" s="204"/>
      <c r="J2789" s="204" t="s">
        <v>2276</v>
      </c>
      <c r="K2789" s="204" t="s">
        <v>2276</v>
      </c>
      <c r="L2789" s="204" t="s">
        <v>2276</v>
      </c>
      <c r="M2789" s="204" t="s">
        <v>2276</v>
      </c>
      <c r="N2789" s="204" t="s">
        <v>2276</v>
      </c>
      <c r="O2789" s="204" t="s">
        <v>2276</v>
      </c>
      <c r="P2789" s="204" t="s">
        <v>2276</v>
      </c>
      <c r="Q2789" s="204" t="s">
        <v>2276</v>
      </c>
      <c r="R2789" s="204" t="s">
        <v>2276</v>
      </c>
      <c r="S2789" s="204" t="s">
        <v>2276</v>
      </c>
      <c r="T2789" s="204" t="s">
        <v>2276</v>
      </c>
      <c r="U2789" s="204" t="s">
        <v>2276</v>
      </c>
      <c r="V2789" s="204" t="s">
        <v>2276</v>
      </c>
      <c r="W2789" s="204" t="s">
        <v>2276</v>
      </c>
      <c r="X2789" s="204" t="s">
        <v>68</v>
      </c>
      <c r="Y2789" s="204" t="s">
        <v>86</v>
      </c>
      <c r="Z2789" s="204" t="s">
        <v>76</v>
      </c>
      <c r="AA2789" s="204"/>
      <c r="AB2789" s="204"/>
    </row>
    <row r="2790" spans="1:28" ht="34.5" customHeight="1">
      <c r="A2790" s="152" t="str">
        <f>'Reported burning'!A2790</f>
        <v>305v</v>
      </c>
      <c r="B2790" s="152" t="str">
        <f>'Reported burning'!B2790</f>
        <v>305v.9</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305w</v>
      </c>
      <c r="B2791" s="152" t="str">
        <f>'Reported burning'!B2791</f>
        <v>305w.9</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305x</v>
      </c>
      <c r="B2792" s="152" t="str">
        <f>'Reported burning'!B2792</f>
        <v>305x.9</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305y</v>
      </c>
      <c r="B2793" s="152" t="str">
        <f>'Reported burning'!B2793</f>
        <v>305y.9</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305z</v>
      </c>
      <c r="B2794" s="152" t="str">
        <f>'Reported burning'!B2794</f>
        <v>305z.9</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305aa</v>
      </c>
      <c r="B2795" s="152" t="str">
        <f>'Reported burning'!B2795</f>
        <v>305aa.9</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305ab</v>
      </c>
      <c r="B2796" s="152" t="str">
        <f>'Reported burning'!B2796</f>
        <v>305ab.9</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305ac</v>
      </c>
      <c r="B2797" s="152" t="str">
        <f>'Reported burning'!B2797</f>
        <v>305ac.9</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305ad</v>
      </c>
      <c r="B2798" s="152" t="str">
        <f>'Reported burning'!B2798</f>
        <v>305ad.9</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305ae</v>
      </c>
      <c r="B2799" s="152" t="str">
        <f>'Reported burning'!B2799</f>
        <v>305ae.9</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305n</v>
      </c>
      <c r="B2800" s="152" t="str">
        <f>'Reported burning'!B2800</f>
        <v>305n.10</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305o</v>
      </c>
      <c r="B2801" s="152" t="str">
        <f>'Reported burning'!B2801</f>
        <v>305o.10</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305p</v>
      </c>
      <c r="B2802" s="152" t="str">
        <f>'Reported burning'!B2802</f>
        <v>305p.10</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305q</v>
      </c>
      <c r="B2803" s="152" t="str">
        <f>'Reported burning'!B2803</f>
        <v>305q.10</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305r</v>
      </c>
      <c r="B2804" s="152" t="str">
        <f>'Reported burning'!B2804</f>
        <v>305r.10</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Absence</v>
      </c>
      <c r="I2804" s="204"/>
      <c r="J2804" s="21" t="s">
        <v>2364</v>
      </c>
      <c r="K2804" s="21" t="s">
        <v>2364</v>
      </c>
      <c r="L2804" s="21" t="s">
        <v>2364</v>
      </c>
      <c r="M2804" s="21" t="s">
        <v>2364</v>
      </c>
      <c r="N2804" s="21" t="s">
        <v>2364</v>
      </c>
      <c r="O2804" s="21" t="s">
        <v>2364</v>
      </c>
      <c r="P2804" s="21" t="s">
        <v>2364</v>
      </c>
      <c r="Q2804" s="21" t="s">
        <v>2364</v>
      </c>
      <c r="R2804" s="21" t="s">
        <v>2364</v>
      </c>
      <c r="S2804" s="21" t="s">
        <v>2364</v>
      </c>
      <c r="T2804" s="21" t="s">
        <v>2364</v>
      </c>
      <c r="U2804" s="21" t="s">
        <v>2364</v>
      </c>
      <c r="V2804" s="21" t="s">
        <v>2364</v>
      </c>
      <c r="W2804" s="204" t="s">
        <v>2276</v>
      </c>
      <c r="X2804" s="204" t="s">
        <v>68</v>
      </c>
      <c r="Y2804" s="204" t="s">
        <v>86</v>
      </c>
      <c r="Z2804" s="204" t="s">
        <v>76</v>
      </c>
      <c r="AA2804" s="204"/>
      <c r="AB2804" s="204"/>
    </row>
    <row r="2805" spans="1:28" ht="34.5" customHeight="1">
      <c r="A2805" s="152" t="str">
        <f>'Reported burning'!A2805</f>
        <v>305s</v>
      </c>
      <c r="B2805" s="152" t="str">
        <f>'Reported burning'!B2805</f>
        <v>305s.10</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305t</v>
      </c>
      <c r="B2806" s="152" t="str">
        <f>'Reported burning'!B2806</f>
        <v>305t.10</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305u</v>
      </c>
      <c r="B2807" s="152" t="str">
        <f>'Reported burning'!B2807</f>
        <v>305u.10</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Presence</v>
      </c>
      <c r="I2807" s="204"/>
      <c r="J2807" s="204" t="s">
        <v>2276</v>
      </c>
      <c r="K2807" s="204" t="s">
        <v>2276</v>
      </c>
      <c r="L2807" s="204" t="s">
        <v>2276</v>
      </c>
      <c r="M2807" s="204" t="s">
        <v>2276</v>
      </c>
      <c r="N2807" s="204" t="s">
        <v>2276</v>
      </c>
      <c r="O2807" s="204" t="s">
        <v>2276</v>
      </c>
      <c r="P2807" s="204" t="s">
        <v>2276</v>
      </c>
      <c r="Q2807" s="204" t="s">
        <v>2276</v>
      </c>
      <c r="R2807" s="204" t="s">
        <v>2276</v>
      </c>
      <c r="S2807" s="204" t="s">
        <v>2276</v>
      </c>
      <c r="T2807" s="204" t="s">
        <v>2276</v>
      </c>
      <c r="U2807" s="204" t="s">
        <v>2276</v>
      </c>
      <c r="V2807" s="204" t="s">
        <v>2276</v>
      </c>
      <c r="W2807" s="204" t="s">
        <v>2276</v>
      </c>
      <c r="X2807" s="204" t="s">
        <v>68</v>
      </c>
      <c r="Y2807" s="204" t="s">
        <v>86</v>
      </c>
      <c r="Z2807" s="204" t="s">
        <v>76</v>
      </c>
      <c r="AA2807" s="204"/>
      <c r="AB2807" s="204"/>
    </row>
    <row r="2808" spans="1:28" ht="34.5" customHeight="1">
      <c r="A2808" s="152" t="str">
        <f>'Reported burning'!A2808</f>
        <v>305v</v>
      </c>
      <c r="B2808" s="152" t="str">
        <f>'Reported burning'!B2808</f>
        <v>305v.10</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305w</v>
      </c>
      <c r="B2809" s="152" t="str">
        <f>'Reported burning'!B2809</f>
        <v>305w.10</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305x</v>
      </c>
      <c r="B2810" s="152" t="str">
        <f>'Reported burning'!B2810</f>
        <v>305x.10</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305y</v>
      </c>
      <c r="B2811" s="152" t="str">
        <f>'Reported burning'!B2811</f>
        <v>305y.10</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305z</v>
      </c>
      <c r="B2812" s="152" t="str">
        <f>'Reported burning'!B2812</f>
        <v>305z.10</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305aa</v>
      </c>
      <c r="B2813" s="152" t="str">
        <f>'Reported burning'!B2813</f>
        <v>305aa.10</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305ab</v>
      </c>
      <c r="B2814" s="152" t="str">
        <f>'Reported burning'!B2814</f>
        <v>305ab.10</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305ac</v>
      </c>
      <c r="B2815" s="152" t="str">
        <f>'Reported burning'!B2815</f>
        <v>305ac.10</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305ad</v>
      </c>
      <c r="B2816" s="152" t="str">
        <f>'Reported burning'!B2816</f>
        <v>305ad.10</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305ae</v>
      </c>
      <c r="B2817" s="152" t="str">
        <f>'Reported burning'!B2817</f>
        <v>305ae.10</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6" t="str">
        <f>'Reported burning'!A2818</f>
        <v>305af</v>
      </c>
      <c r="B2818" s="156" t="str">
        <f>'Reported burning'!B2818</f>
        <v>305af.1</v>
      </c>
      <c r="C2818" s="156" t="str">
        <f>'Reported burning'!C2818</f>
        <v>Human, deliberate</v>
      </c>
      <c r="D2818" s="156" t="str">
        <f>'Reported burning'!D2818</f>
        <v>Pyrome management</v>
      </c>
      <c r="E2818" s="156" t="str">
        <f>'Reported burning'!E2818</f>
        <v>Fire suppression agent</v>
      </c>
      <c r="F2818" s="156" t="str">
        <f>'Reported burning'!F2818</f>
        <v>ND</v>
      </c>
      <c r="G2818" s="156" t="str">
        <f>'Reported burning'!G2818</f>
        <v>ND</v>
      </c>
      <c r="H2818" s="156" t="str">
        <f>'Reported burning'!H2818</f>
        <v>Presence</v>
      </c>
      <c r="I2818" s="5"/>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188</v>
      </c>
      <c r="Y2818" s="204" t="s">
        <v>189</v>
      </c>
      <c r="Z2818" s="204" t="s">
        <v>64</v>
      </c>
      <c r="AA2818" s="204"/>
      <c r="AB2818" s="204"/>
    </row>
    <row r="2819" spans="1:28" ht="34.5" customHeight="1">
      <c r="A2819" s="156" t="str">
        <f>'Reported burning'!A2819</f>
        <v>305af</v>
      </c>
      <c r="B2819" s="156" t="str">
        <f>'Reported burning'!B2819</f>
        <v>305af.2</v>
      </c>
      <c r="C2819" s="156" t="str">
        <f>'Reported burning'!C2819</f>
        <v>Human, deliberate</v>
      </c>
      <c r="D2819" s="156" t="str">
        <f>'Reported burning'!D2819</f>
        <v>Pyrome management</v>
      </c>
      <c r="E2819" s="156" t="str">
        <f>'Reported burning'!E2819</f>
        <v>Fire suppression agent</v>
      </c>
      <c r="F2819" s="156" t="str">
        <f>'Reported burning'!F2819</f>
        <v>ND</v>
      </c>
      <c r="G2819" s="156" t="str">
        <f>'Reported burning'!G2819</f>
        <v>ND</v>
      </c>
      <c r="H2819" s="156" t="str">
        <f>'Reported burning'!H2819</f>
        <v>Presence</v>
      </c>
      <c r="I2819" s="5"/>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188</v>
      </c>
      <c r="Y2819" s="204" t="s">
        <v>189</v>
      </c>
      <c r="Z2819" s="204" t="s">
        <v>64</v>
      </c>
      <c r="AA2819" s="204"/>
      <c r="AB2819" s="204"/>
    </row>
    <row r="2820" spans="1:28" ht="29" customHeight="1">
      <c r="A2820" s="156" t="str">
        <f>'Reported burning'!A2820</f>
        <v>305af</v>
      </c>
      <c r="B2820" s="156" t="str">
        <f>'Reported burning'!B2820</f>
        <v>305af.3</v>
      </c>
      <c r="C2820" s="156" t="str">
        <f>'Reported burning'!C2820</f>
        <v>Human, deliberate</v>
      </c>
      <c r="D2820" s="156" t="str">
        <f>'Reported burning'!D2820</f>
        <v>Pyrome management</v>
      </c>
      <c r="E2820" s="156" t="str">
        <f>'Reported burning'!E2820</f>
        <v>Fire suppression agent</v>
      </c>
      <c r="F2820" s="156" t="str">
        <f>'Reported burning'!F2820</f>
        <v>ND</v>
      </c>
      <c r="G2820" s="156" t="str">
        <f>'Reported burning'!G2820</f>
        <v>ND</v>
      </c>
      <c r="H2820" s="156" t="str">
        <f>'Reported burning'!H2820</f>
        <v>Presence</v>
      </c>
      <c r="I2820" s="5"/>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188</v>
      </c>
      <c r="Y2820" s="204" t="s">
        <v>189</v>
      </c>
      <c r="Z2820" s="204" t="s">
        <v>64</v>
      </c>
      <c r="AA2820" s="204"/>
      <c r="AB2820" s="204"/>
    </row>
    <row r="2821" spans="1:28" ht="29" customHeight="1">
      <c r="A2821" s="156" t="str">
        <f>'Reported burning'!A2821</f>
        <v>305af</v>
      </c>
      <c r="B2821" s="156" t="str">
        <f>'Reported burning'!B2821</f>
        <v>305af.4</v>
      </c>
      <c r="C2821" s="156" t="str">
        <f>'Reported burning'!C2821</f>
        <v>Human, deliberate</v>
      </c>
      <c r="D2821" s="156" t="str">
        <f>'Reported burning'!D2821</f>
        <v>Pyrome management</v>
      </c>
      <c r="E2821" s="156" t="str">
        <f>'Reported burning'!E2821</f>
        <v>Fire suppression agent</v>
      </c>
      <c r="F2821" s="156" t="str">
        <f>'Reported burning'!F2821</f>
        <v>ND</v>
      </c>
      <c r="G2821" s="156" t="str">
        <f>'Reported burning'!G2821</f>
        <v>ND</v>
      </c>
      <c r="H2821" s="156" t="str">
        <f>'Reported burning'!H2821</f>
        <v>Presence</v>
      </c>
      <c r="I2821" s="5"/>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188</v>
      </c>
      <c r="Y2821" s="204" t="s">
        <v>189</v>
      </c>
      <c r="Z2821" s="204" t="s">
        <v>64</v>
      </c>
      <c r="AA2821" s="204"/>
      <c r="AB2821" s="204"/>
    </row>
    <row r="2822" spans="1:28" ht="29" customHeight="1">
      <c r="A2822" s="156" t="str">
        <f>'Reported burning'!A2822</f>
        <v>305af</v>
      </c>
      <c r="B2822" s="156" t="str">
        <f>'Reported burning'!B2822</f>
        <v>305af.5</v>
      </c>
      <c r="C2822" s="156" t="str">
        <f>'Reported burning'!C2822</f>
        <v>Human, deliberate</v>
      </c>
      <c r="D2822" s="156" t="str">
        <f>'Reported burning'!D2822</f>
        <v>Pyrome management</v>
      </c>
      <c r="E2822" s="156" t="str">
        <f>'Reported burning'!E2822</f>
        <v>Fire suppression agent</v>
      </c>
      <c r="F2822" s="156" t="str">
        <f>'Reported burning'!F2822</f>
        <v>ND</v>
      </c>
      <c r="G2822" s="156" t="str">
        <f>'Reported burning'!G2822</f>
        <v>ND</v>
      </c>
      <c r="H2822" s="156" t="str">
        <f>'Reported burning'!H2822</f>
        <v>Presence</v>
      </c>
      <c r="I2822" s="5"/>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188</v>
      </c>
      <c r="Y2822" s="204" t="s">
        <v>189</v>
      </c>
      <c r="Z2822" s="204" t="s">
        <v>64</v>
      </c>
      <c r="AA2822" s="204"/>
      <c r="AB2822" s="204"/>
    </row>
    <row r="2823" spans="1:28" ht="29" customHeight="1">
      <c r="A2823" s="156" t="str">
        <f>'Reported burning'!A2823</f>
        <v>305af</v>
      </c>
      <c r="B2823" s="156" t="str">
        <f>'Reported burning'!B2823</f>
        <v>305af.6</v>
      </c>
      <c r="C2823" s="156" t="str">
        <f>'Reported burning'!C2823</f>
        <v>Human, deliberate</v>
      </c>
      <c r="D2823" s="156" t="str">
        <f>'Reported burning'!D2823</f>
        <v>Pyrome management</v>
      </c>
      <c r="E2823" s="156" t="str">
        <f>'Reported burning'!E2823</f>
        <v>Fire suppression agent</v>
      </c>
      <c r="F2823" s="156" t="str">
        <f>'Reported burning'!F2823</f>
        <v>ND</v>
      </c>
      <c r="G2823" s="156" t="str">
        <f>'Reported burning'!G2823</f>
        <v>ND</v>
      </c>
      <c r="H2823" s="156" t="str">
        <f>'Reported burning'!H2823</f>
        <v>Presence</v>
      </c>
      <c r="I2823" s="5"/>
      <c r="J2823" s="204" t="s">
        <v>2276</v>
      </c>
      <c r="K2823" s="204" t="s">
        <v>2276</v>
      </c>
      <c r="L2823" s="204" t="s">
        <v>2276</v>
      </c>
      <c r="M2823" s="204" t="s">
        <v>2276</v>
      </c>
      <c r="N2823" s="204" t="s">
        <v>2276</v>
      </c>
      <c r="O2823" s="204" t="s">
        <v>2276</v>
      </c>
      <c r="P2823" s="204" t="s">
        <v>2276</v>
      </c>
      <c r="Q2823" s="204" t="s">
        <v>2276</v>
      </c>
      <c r="R2823" s="204" t="s">
        <v>2276</v>
      </c>
      <c r="S2823" s="204" t="s">
        <v>2276</v>
      </c>
      <c r="T2823" s="204" t="s">
        <v>2276</v>
      </c>
      <c r="U2823" s="204" t="s">
        <v>2276</v>
      </c>
      <c r="V2823" s="204" t="s">
        <v>2276</v>
      </c>
      <c r="W2823" s="204" t="s">
        <v>2276</v>
      </c>
      <c r="X2823" s="204" t="s">
        <v>188</v>
      </c>
      <c r="Y2823" s="204" t="s">
        <v>189</v>
      </c>
      <c r="Z2823" s="204" t="s">
        <v>64</v>
      </c>
      <c r="AA2823" s="204"/>
      <c r="AB2823" s="204"/>
    </row>
    <row r="2824" spans="1:28" ht="29" customHeight="1">
      <c r="A2824" s="156" t="str">
        <f>'Reported burning'!A2824</f>
        <v>305af</v>
      </c>
      <c r="B2824" s="156" t="str">
        <f>'Reported burning'!B2824</f>
        <v>305af.7</v>
      </c>
      <c r="C2824" s="156" t="str">
        <f>'Reported burning'!C2824</f>
        <v>Human, deliberate</v>
      </c>
      <c r="D2824" s="156" t="str">
        <f>'Reported burning'!D2824</f>
        <v>Pyrome management</v>
      </c>
      <c r="E2824" s="156" t="str">
        <f>'Reported burning'!E2824</f>
        <v>Fire suppression agent</v>
      </c>
      <c r="F2824" s="156" t="str">
        <f>'Reported burning'!F2824</f>
        <v>ND</v>
      </c>
      <c r="G2824" s="156" t="str">
        <f>'Reported burning'!G2824</f>
        <v>ND</v>
      </c>
      <c r="H2824" s="156" t="str">
        <f>'Reported burning'!H2824</f>
        <v>Presence</v>
      </c>
      <c r="I2824" s="5"/>
      <c r="J2824" s="204" t="s">
        <v>2276</v>
      </c>
      <c r="K2824" s="204" t="s">
        <v>2276</v>
      </c>
      <c r="L2824" s="204" t="s">
        <v>2276</v>
      </c>
      <c r="M2824" s="204" t="s">
        <v>2276</v>
      </c>
      <c r="N2824" s="204" t="s">
        <v>2276</v>
      </c>
      <c r="O2824" s="204" t="s">
        <v>2276</v>
      </c>
      <c r="P2824" s="204" t="s">
        <v>2276</v>
      </c>
      <c r="Q2824" s="204" t="s">
        <v>2276</v>
      </c>
      <c r="R2824" s="204" t="s">
        <v>2276</v>
      </c>
      <c r="S2824" s="204" t="s">
        <v>2276</v>
      </c>
      <c r="T2824" s="204" t="s">
        <v>2276</v>
      </c>
      <c r="U2824" s="204" t="s">
        <v>2276</v>
      </c>
      <c r="V2824" s="204" t="s">
        <v>2276</v>
      </c>
      <c r="W2824" s="204" t="s">
        <v>2276</v>
      </c>
      <c r="X2824" s="204" t="s">
        <v>188</v>
      </c>
      <c r="Y2824" s="204" t="s">
        <v>189</v>
      </c>
      <c r="Z2824" s="204" t="s">
        <v>64</v>
      </c>
      <c r="AA2824" s="204"/>
      <c r="AB2824" s="204"/>
    </row>
    <row r="2825" spans="1:28" ht="29" customHeight="1">
      <c r="A2825" s="156" t="str">
        <f>'Reported burning'!A2825</f>
        <v>305af</v>
      </c>
      <c r="B2825" s="156" t="str">
        <f>'Reported burning'!B2825</f>
        <v>305af.8</v>
      </c>
      <c r="C2825" s="156" t="str">
        <f>'Reported burning'!C2825</f>
        <v>Human, deliberate</v>
      </c>
      <c r="D2825" s="156" t="str">
        <f>'Reported burning'!D2825</f>
        <v>Pyrome management</v>
      </c>
      <c r="E2825" s="156" t="str">
        <f>'Reported burning'!E2825</f>
        <v>Fire suppression agent</v>
      </c>
      <c r="F2825" s="156" t="str">
        <f>'Reported burning'!F2825</f>
        <v>ND</v>
      </c>
      <c r="G2825" s="156" t="str">
        <f>'Reported burning'!G2825</f>
        <v>ND</v>
      </c>
      <c r="H2825" s="156" t="str">
        <f>'Reported burning'!H2825</f>
        <v>Presence</v>
      </c>
      <c r="I2825" s="5"/>
      <c r="J2825" s="204" t="s">
        <v>2276</v>
      </c>
      <c r="K2825" s="204" t="s">
        <v>2276</v>
      </c>
      <c r="L2825" s="204" t="s">
        <v>2276</v>
      </c>
      <c r="M2825" s="204" t="s">
        <v>2276</v>
      </c>
      <c r="N2825" s="204" t="s">
        <v>2276</v>
      </c>
      <c r="O2825" s="204" t="s">
        <v>2276</v>
      </c>
      <c r="P2825" s="204" t="s">
        <v>2276</v>
      </c>
      <c r="Q2825" s="204" t="s">
        <v>2276</v>
      </c>
      <c r="R2825" s="204" t="s">
        <v>2276</v>
      </c>
      <c r="S2825" s="204" t="s">
        <v>2276</v>
      </c>
      <c r="T2825" s="204" t="s">
        <v>2276</v>
      </c>
      <c r="U2825" s="204" t="s">
        <v>2276</v>
      </c>
      <c r="V2825" s="204" t="s">
        <v>2276</v>
      </c>
      <c r="W2825" s="204" t="s">
        <v>2276</v>
      </c>
      <c r="X2825" s="204" t="s">
        <v>188</v>
      </c>
      <c r="Y2825" s="204" t="s">
        <v>189</v>
      </c>
      <c r="Z2825" s="204" t="s">
        <v>64</v>
      </c>
      <c r="AA2825" s="204"/>
      <c r="AB2825" s="204"/>
    </row>
    <row r="2826" spans="1:28" ht="29" customHeight="1">
      <c r="A2826" s="156" t="str">
        <f>'Reported burning'!A2826</f>
        <v>305af</v>
      </c>
      <c r="B2826" s="156" t="str">
        <f>'Reported burning'!B2826</f>
        <v>305af.9</v>
      </c>
      <c r="C2826" s="156" t="str">
        <f>'Reported burning'!C2826</f>
        <v>Human, deliberate</v>
      </c>
      <c r="D2826" s="156" t="str">
        <f>'Reported burning'!D2826</f>
        <v>Pyrome management</v>
      </c>
      <c r="E2826" s="156" t="str">
        <f>'Reported burning'!E2826</f>
        <v>Fire suppression agent</v>
      </c>
      <c r="F2826" s="156" t="str">
        <f>'Reported burning'!F2826</f>
        <v>ND</v>
      </c>
      <c r="G2826" s="156" t="str">
        <f>'Reported burning'!G2826</f>
        <v>ND</v>
      </c>
      <c r="H2826" s="156" t="str">
        <f>'Reported burning'!H2826</f>
        <v>Presence</v>
      </c>
      <c r="I2826" s="5"/>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188</v>
      </c>
      <c r="Y2826" s="204" t="s">
        <v>189</v>
      </c>
      <c r="Z2826" s="204" t="s">
        <v>64</v>
      </c>
      <c r="AA2826" s="204"/>
      <c r="AB2826" s="204"/>
    </row>
    <row r="2827" spans="1:28" ht="29" customHeight="1">
      <c r="A2827" s="156" t="str">
        <f>'Reported burning'!A2827</f>
        <v>305af</v>
      </c>
      <c r="B2827" s="156" t="str">
        <f>'Reported burning'!B2827</f>
        <v>305af.10</v>
      </c>
      <c r="C2827" s="156" t="str">
        <f>'Reported burning'!C2827</f>
        <v>Human, deliberate</v>
      </c>
      <c r="D2827" s="156" t="str">
        <f>'Reported burning'!D2827</f>
        <v>Pyrome management</v>
      </c>
      <c r="E2827" s="156" t="str">
        <f>'Reported burning'!E2827</f>
        <v>Fire suppression agent</v>
      </c>
      <c r="F2827" s="156" t="str">
        <f>'Reported burning'!F2827</f>
        <v>ND</v>
      </c>
      <c r="G2827" s="156" t="str">
        <f>'Reported burning'!G2827</f>
        <v>ND</v>
      </c>
      <c r="H2827" s="156" t="str">
        <f>'Reported burning'!H2827</f>
        <v>Presence</v>
      </c>
      <c r="I2827" s="5"/>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188</v>
      </c>
      <c r="Y2827" s="204" t="s">
        <v>189</v>
      </c>
      <c r="Z2827" s="204" t="s">
        <v>64</v>
      </c>
      <c r="AA2827" s="204"/>
      <c r="AB2827" s="204"/>
    </row>
    <row r="2828" spans="1:28" ht="29" customHeight="1">
      <c r="A2828" s="156" t="str">
        <f>'Reported burning'!A2828</f>
        <v>305af</v>
      </c>
      <c r="B2828" s="156" t="str">
        <f>'Reported burning'!B2828</f>
        <v>305af.11</v>
      </c>
      <c r="C2828" s="156" t="str">
        <f>'Reported burning'!C2828</f>
        <v>Human, deliberate</v>
      </c>
      <c r="D2828" s="156" t="str">
        <f>'Reported burning'!D2828</f>
        <v>Pyrome management</v>
      </c>
      <c r="E2828" s="156" t="str">
        <f>'Reported burning'!E2828</f>
        <v>Fire suppression agent</v>
      </c>
      <c r="F2828" s="156" t="str">
        <f>'Reported burning'!F2828</f>
        <v>ND</v>
      </c>
      <c r="G2828" s="156" t="str">
        <f>'Reported burning'!G2828</f>
        <v>ND</v>
      </c>
      <c r="H2828" s="156" t="str">
        <f>'Reported burning'!H2828</f>
        <v>Presence</v>
      </c>
      <c r="I2828" s="5"/>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188</v>
      </c>
      <c r="Y2828" s="204" t="s">
        <v>189</v>
      </c>
      <c r="Z2828" s="204" t="s">
        <v>64</v>
      </c>
      <c r="AA2828" s="204"/>
      <c r="AB2828" s="204"/>
    </row>
    <row r="2829" spans="1:28" ht="29" customHeight="1">
      <c r="A2829" s="156" t="str">
        <f>'Reported burning'!A2829</f>
        <v>305af</v>
      </c>
      <c r="B2829" s="156" t="str">
        <f>'Reported burning'!B2829</f>
        <v>305af.12</v>
      </c>
      <c r="C2829" s="156" t="str">
        <f>'Reported burning'!C2829</f>
        <v>Human, deliberate</v>
      </c>
      <c r="D2829" s="156" t="str">
        <f>'Reported burning'!D2829</f>
        <v>Pyrome management</v>
      </c>
      <c r="E2829" s="156" t="str">
        <f>'Reported burning'!E2829</f>
        <v>Fire suppression agent</v>
      </c>
      <c r="F2829" s="156" t="str">
        <f>'Reported burning'!F2829</f>
        <v>ND</v>
      </c>
      <c r="G2829" s="156" t="str">
        <f>'Reported burning'!G2829</f>
        <v>ND</v>
      </c>
      <c r="H2829" s="156" t="str">
        <f>'Reported burning'!H2829</f>
        <v>Presence</v>
      </c>
      <c r="I2829" s="5"/>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188</v>
      </c>
      <c r="Y2829" s="204" t="s">
        <v>189</v>
      </c>
      <c r="Z2829" s="204" t="s">
        <v>64</v>
      </c>
      <c r="AA2829" s="204"/>
      <c r="AB2829" s="204"/>
    </row>
    <row r="2830" spans="1:28" ht="29" customHeight="1">
      <c r="A2830" s="156" t="str">
        <f>'Reported burning'!A2830</f>
        <v>305af</v>
      </c>
      <c r="B2830" s="156" t="str">
        <f>'Reported burning'!B2830</f>
        <v>305af.13</v>
      </c>
      <c r="C2830" s="156" t="str">
        <f>'Reported burning'!C2830</f>
        <v>Human, deliberate</v>
      </c>
      <c r="D2830" s="156" t="str">
        <f>'Reported burning'!D2830</f>
        <v>Pyrome management</v>
      </c>
      <c r="E2830" s="156" t="str">
        <f>'Reported burning'!E2830</f>
        <v>Fire suppression agent</v>
      </c>
      <c r="F2830" s="156" t="str">
        <f>'Reported burning'!F2830</f>
        <v>ND</v>
      </c>
      <c r="G2830" s="156" t="str">
        <f>'Reported burning'!G2830</f>
        <v>ND</v>
      </c>
      <c r="H2830" s="156" t="str">
        <f>'Reported burning'!H2830</f>
        <v>Presence</v>
      </c>
      <c r="I2830" s="5"/>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188</v>
      </c>
      <c r="Y2830" s="204" t="s">
        <v>189</v>
      </c>
      <c r="Z2830" s="204" t="s">
        <v>64</v>
      </c>
      <c r="AA2830" s="204"/>
      <c r="AB2830" s="204"/>
    </row>
    <row r="2831" spans="1:28" ht="29" customHeight="1">
      <c r="A2831" s="156" t="str">
        <f>'Reported burning'!A2831</f>
        <v>305af</v>
      </c>
      <c r="B2831" s="156" t="str">
        <f>'Reported burning'!B2831</f>
        <v>305af.14</v>
      </c>
      <c r="C2831" s="156" t="str">
        <f>'Reported burning'!C2831</f>
        <v>Human, deliberate</v>
      </c>
      <c r="D2831" s="156" t="str">
        <f>'Reported burning'!D2831</f>
        <v>Pyrome management</v>
      </c>
      <c r="E2831" s="156" t="str">
        <f>'Reported burning'!E2831</f>
        <v>Fire suppression agent</v>
      </c>
      <c r="F2831" s="156" t="str">
        <f>'Reported burning'!F2831</f>
        <v>ND</v>
      </c>
      <c r="G2831" s="156" t="str">
        <f>'Reported burning'!G2831</f>
        <v>ND</v>
      </c>
      <c r="H2831" s="156" t="str">
        <f>'Reported burning'!H2831</f>
        <v>Presence</v>
      </c>
      <c r="I2831" s="5"/>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188</v>
      </c>
      <c r="Y2831" s="204" t="s">
        <v>189</v>
      </c>
      <c r="Z2831" s="204" t="s">
        <v>64</v>
      </c>
      <c r="AA2831" s="204"/>
      <c r="AB2831" s="204"/>
    </row>
    <row r="2832" spans="1:28" ht="29" customHeight="1">
      <c r="A2832" s="156" t="str">
        <f>'Reported burning'!A2832</f>
        <v>305af</v>
      </c>
      <c r="B2832" s="156" t="str">
        <f>'Reported burning'!B2832</f>
        <v>305af.15</v>
      </c>
      <c r="C2832" s="156" t="str">
        <f>'Reported burning'!C2832</f>
        <v>Human, deliberate</v>
      </c>
      <c r="D2832" s="156" t="str">
        <f>'Reported burning'!D2832</f>
        <v>Pyrome management</v>
      </c>
      <c r="E2832" s="156" t="str">
        <f>'Reported burning'!E2832</f>
        <v>Fire suppression agent</v>
      </c>
      <c r="F2832" s="156" t="str">
        <f>'Reported burning'!F2832</f>
        <v>ND</v>
      </c>
      <c r="G2832" s="156" t="str">
        <f>'Reported burning'!G2832</f>
        <v>ND</v>
      </c>
      <c r="H2832" s="156" t="str">
        <f>'Reported burning'!H2832</f>
        <v>Presence</v>
      </c>
      <c r="I2832" s="5"/>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188</v>
      </c>
      <c r="Y2832" s="204" t="s">
        <v>189</v>
      </c>
      <c r="Z2832" s="204" t="s">
        <v>64</v>
      </c>
      <c r="AA2832" s="204"/>
      <c r="AB2832" s="204"/>
    </row>
    <row r="2833" spans="1:28" ht="29" customHeight="1">
      <c r="A2833" s="156" t="str">
        <f>'Reported burning'!A2833</f>
        <v>305af</v>
      </c>
      <c r="B2833" s="156" t="str">
        <f>'Reported burning'!B2833</f>
        <v>305af.16</v>
      </c>
      <c r="C2833" s="156" t="str">
        <f>'Reported burning'!C2833</f>
        <v>Human, deliberate</v>
      </c>
      <c r="D2833" s="156" t="str">
        <f>'Reported burning'!D2833</f>
        <v>Pyrome management</v>
      </c>
      <c r="E2833" s="156" t="str">
        <f>'Reported burning'!E2833</f>
        <v>Fire suppression agent</v>
      </c>
      <c r="F2833" s="156" t="str">
        <f>'Reported burning'!F2833</f>
        <v>ND</v>
      </c>
      <c r="G2833" s="156" t="str">
        <f>'Reported burning'!G2833</f>
        <v>ND</v>
      </c>
      <c r="H2833" s="156" t="str">
        <f>'Reported burning'!H2833</f>
        <v>Presence</v>
      </c>
      <c r="I2833" s="5"/>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188</v>
      </c>
      <c r="Y2833" s="204" t="s">
        <v>189</v>
      </c>
      <c r="Z2833" s="204" t="s">
        <v>64</v>
      </c>
      <c r="AA2833" s="204"/>
      <c r="AB2833" s="204"/>
    </row>
    <row r="2834" spans="1:28" ht="29" customHeight="1">
      <c r="A2834" s="156" t="str">
        <f>'Reported burning'!A2834</f>
        <v>305af</v>
      </c>
      <c r="B2834" s="156" t="str">
        <f>'Reported burning'!B2834</f>
        <v>305af.17</v>
      </c>
      <c r="C2834" s="156" t="str">
        <f>'Reported burning'!C2834</f>
        <v>Human, deliberate</v>
      </c>
      <c r="D2834" s="156" t="str">
        <f>'Reported burning'!D2834</f>
        <v>Pyrome management</v>
      </c>
      <c r="E2834" s="156" t="str">
        <f>'Reported burning'!E2834</f>
        <v>Fire suppression agent</v>
      </c>
      <c r="F2834" s="156" t="str">
        <f>'Reported burning'!F2834</f>
        <v>ND</v>
      </c>
      <c r="G2834" s="156" t="str">
        <f>'Reported burning'!G2834</f>
        <v>ND</v>
      </c>
      <c r="H2834" s="156" t="str">
        <f>'Reported burning'!H2834</f>
        <v>Presence</v>
      </c>
      <c r="I2834" s="5"/>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188</v>
      </c>
      <c r="Y2834" s="204" t="s">
        <v>189</v>
      </c>
      <c r="Z2834" s="204" t="s">
        <v>64</v>
      </c>
      <c r="AA2834" s="204"/>
      <c r="AB2834" s="204"/>
    </row>
    <row r="2835" spans="1:28" ht="29" customHeight="1">
      <c r="A2835" s="156" t="str">
        <f>'Reported burning'!A2835</f>
        <v>305af</v>
      </c>
      <c r="B2835" s="156" t="str">
        <f>'Reported burning'!B2835</f>
        <v>305af.18</v>
      </c>
      <c r="C2835" s="156" t="str">
        <f>'Reported burning'!C2835</f>
        <v>Human, deliberate</v>
      </c>
      <c r="D2835" s="156" t="str">
        <f>'Reported burning'!D2835</f>
        <v>Pyrome management</v>
      </c>
      <c r="E2835" s="156" t="str">
        <f>'Reported burning'!E2835</f>
        <v>Fire suppression agent</v>
      </c>
      <c r="F2835" s="156" t="str">
        <f>'Reported burning'!F2835</f>
        <v>ND</v>
      </c>
      <c r="G2835" s="156" t="str">
        <f>'Reported burning'!G2835</f>
        <v>ND</v>
      </c>
      <c r="H2835" s="156" t="str">
        <f>'Reported burning'!H2835</f>
        <v>Presence</v>
      </c>
      <c r="I2835" s="5"/>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188</v>
      </c>
      <c r="Y2835" s="204" t="s">
        <v>189</v>
      </c>
      <c r="Z2835" s="204" t="s">
        <v>64</v>
      </c>
      <c r="AA2835" s="204"/>
      <c r="AB2835" s="204"/>
    </row>
    <row r="2836" spans="1:28" ht="29" customHeight="1">
      <c r="A2836" s="152" t="str">
        <f>'Reported burning'!A2836</f>
        <v>305ag</v>
      </c>
      <c r="B2836" s="152" t="str">
        <f>'Reported burning'!B2836</f>
        <v>305ag.1</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1" t="s">
        <v>2362</v>
      </c>
      <c r="M2836" s="204" t="s">
        <v>2276</v>
      </c>
      <c r="N2836" s="21" t="s">
        <v>2374</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189</v>
      </c>
      <c r="Z2836" s="204" t="s">
        <v>64</v>
      </c>
      <c r="AA2836" s="204"/>
      <c r="AB2836" s="204"/>
    </row>
    <row r="2837" spans="1:28" ht="29" customHeight="1">
      <c r="A2837" s="152" t="str">
        <f>'Reported burning'!A2837</f>
        <v>305af</v>
      </c>
      <c r="B2837" s="152" t="str">
        <f>'Reported burning'!B2837</f>
        <v>305af.19</v>
      </c>
      <c r="C2837" s="152" t="str">
        <f>'Reported burning'!C2837</f>
        <v>Human, deliberate</v>
      </c>
      <c r="D2837" s="152" t="str">
        <f>'Reported burning'!D2837</f>
        <v>Pyrome management</v>
      </c>
      <c r="E2837" s="152" t="str">
        <f>'Reported burning'!E2837</f>
        <v>Fire suppression agent</v>
      </c>
      <c r="F2837" s="152" t="str">
        <f>'Reported burning'!F2837</f>
        <v>Shrubland (Mixed forest &amp; grassland)</v>
      </c>
      <c r="G2837" s="152" t="str">
        <f>'Reported burning'!G2837</f>
        <v>Shrubland (Mixed forest &amp; grassland)</v>
      </c>
      <c r="H2837" s="152" t="str">
        <f>'Reported burning'!H2837</f>
        <v>Presence</v>
      </c>
      <c r="I2837" s="204"/>
      <c r="J2837" s="204" t="s">
        <v>2276</v>
      </c>
      <c r="K2837" s="204" t="s">
        <v>2276</v>
      </c>
      <c r="L2837" s="21" t="s">
        <v>2362</v>
      </c>
      <c r="M2837" s="204" t="s">
        <v>2276</v>
      </c>
      <c r="N2837" s="204" t="s">
        <v>2276</v>
      </c>
      <c r="O2837" s="204" t="s">
        <v>2276</v>
      </c>
      <c r="P2837" s="204" t="s">
        <v>2276</v>
      </c>
      <c r="Q2837" s="204" t="s">
        <v>2276</v>
      </c>
      <c r="R2837" s="21" t="s">
        <v>2375</v>
      </c>
      <c r="S2837" s="204" t="s">
        <v>2276</v>
      </c>
      <c r="T2837" s="204" t="s">
        <v>2276</v>
      </c>
      <c r="U2837" s="204" t="s">
        <v>2276</v>
      </c>
      <c r="V2837" s="204" t="s">
        <v>2276</v>
      </c>
      <c r="W2837" s="204" t="s">
        <v>2276</v>
      </c>
      <c r="X2837" s="204" t="s">
        <v>188</v>
      </c>
      <c r="Y2837" s="204" t="s">
        <v>189</v>
      </c>
      <c r="Z2837" s="204" t="s">
        <v>64</v>
      </c>
      <c r="AA2837" s="19" t="s">
        <v>7629</v>
      </c>
      <c r="AB2837" s="204"/>
    </row>
    <row r="2838" spans="1:28" ht="29" customHeight="1">
      <c r="A2838" s="152" t="str">
        <f>'Reported burning'!A2838</f>
        <v>305af</v>
      </c>
      <c r="B2838" s="152" t="str">
        <f>'Reported burning'!B2838</f>
        <v>305af.20</v>
      </c>
      <c r="C2838" s="152" t="str">
        <f>'Reported burning'!C2838</f>
        <v>Human, deliberate</v>
      </c>
      <c r="D2838" s="152" t="str">
        <f>'Reported burning'!D2838</f>
        <v>Pyrome management</v>
      </c>
      <c r="E2838" s="152" t="str">
        <f>'Reported burning'!E2838</f>
        <v>Fire suppression agent</v>
      </c>
      <c r="F2838" s="152" t="str">
        <f>'Reported burning'!F2838</f>
        <v>Forest</v>
      </c>
      <c r="G2838" s="152" t="str">
        <f>'Reported burning'!G2838</f>
        <v>Forest</v>
      </c>
      <c r="H2838" s="152" t="str">
        <f>'Reported burning'!H2838</f>
        <v>Presence</v>
      </c>
      <c r="I2838" s="204"/>
      <c r="J2838" s="204"/>
      <c r="K2838" s="204"/>
      <c r="L2838" s="21" t="s">
        <v>2362</v>
      </c>
      <c r="M2838" s="204" t="s">
        <v>2276</v>
      </c>
      <c r="N2838" s="204" t="s">
        <v>2276</v>
      </c>
      <c r="O2838" s="204" t="s">
        <v>2276</v>
      </c>
      <c r="P2838" s="204" t="s">
        <v>2276</v>
      </c>
      <c r="Q2838" s="204" t="s">
        <v>2276</v>
      </c>
      <c r="R2838" s="21" t="s">
        <v>2375</v>
      </c>
      <c r="S2838" s="204" t="s">
        <v>2276</v>
      </c>
      <c r="T2838" s="204" t="s">
        <v>2276</v>
      </c>
      <c r="U2838" s="204" t="s">
        <v>2276</v>
      </c>
      <c r="V2838" s="204" t="s">
        <v>2276</v>
      </c>
      <c r="W2838" s="204" t="s">
        <v>2276</v>
      </c>
      <c r="X2838" s="204" t="s">
        <v>188</v>
      </c>
      <c r="Y2838" s="204" t="s">
        <v>189</v>
      </c>
      <c r="Z2838" s="204" t="s">
        <v>64</v>
      </c>
      <c r="AA2838" s="19" t="s">
        <v>7629</v>
      </c>
      <c r="AB2838" s="204"/>
    </row>
    <row r="2839" spans="1:28" ht="29" customHeight="1">
      <c r="A2839" s="152" t="str">
        <f>'Reported burning'!A2839</f>
        <v>305ah</v>
      </c>
      <c r="B2839" s="152" t="str">
        <f>'Reported burning'!B2839</f>
        <v>305ah.1</v>
      </c>
      <c r="C2839" s="152" t="str">
        <f>'Reported burning'!C2839</f>
        <v>Human, deliberate</v>
      </c>
      <c r="D2839" s="152" t="str">
        <f>'Reported burning'!D2839</f>
        <v>Pyrome management</v>
      </c>
      <c r="E2839" s="152" t="str">
        <f>'Reported burning'!E2839</f>
        <v>Fire suppression agent</v>
      </c>
      <c r="F2839" s="152" t="str">
        <f>'Reported burning'!F2839</f>
        <v>Forest</v>
      </c>
      <c r="G2839" s="152" t="str">
        <f>'Reported burning'!G2839</f>
        <v>Forest</v>
      </c>
      <c r="H2839" s="152" t="str">
        <f>'Reported burning'!H2839</f>
        <v>Presence</v>
      </c>
      <c r="I2839" s="204"/>
      <c r="J2839" s="204" t="s">
        <v>2276</v>
      </c>
      <c r="K2839" s="204" t="s">
        <v>2276</v>
      </c>
      <c r="L2839" s="21" t="s">
        <v>2362</v>
      </c>
      <c r="M2839" s="204" t="s">
        <v>2276</v>
      </c>
      <c r="N2839" s="204" t="s">
        <v>2276</v>
      </c>
      <c r="O2839" s="204" t="s">
        <v>2276</v>
      </c>
      <c r="P2839" s="204" t="s">
        <v>2276</v>
      </c>
      <c r="Q2839" s="204" t="s">
        <v>2276</v>
      </c>
      <c r="R2839" s="21" t="s">
        <v>2373</v>
      </c>
      <c r="S2839" s="204" t="s">
        <v>2276</v>
      </c>
      <c r="T2839" s="204" t="s">
        <v>2276</v>
      </c>
      <c r="U2839" s="204" t="s">
        <v>2276</v>
      </c>
      <c r="V2839" s="204" t="s">
        <v>2276</v>
      </c>
      <c r="W2839" s="204" t="s">
        <v>2276</v>
      </c>
      <c r="X2839" s="204" t="s">
        <v>68</v>
      </c>
      <c r="Y2839" s="204" t="s">
        <v>86</v>
      </c>
      <c r="Z2839" s="204" t="s">
        <v>76</v>
      </c>
      <c r="AA2839" s="4" t="s">
        <v>7628</v>
      </c>
      <c r="AB2839" s="204"/>
    </row>
    <row r="2840" spans="1:28" s="203" customFormat="1" ht="29" customHeight="1">
      <c r="A2840" s="152" t="str">
        <f>'Reported burning'!A2840</f>
        <v>305ai</v>
      </c>
      <c r="B2840" s="152" t="str">
        <f>'Reported burning'!B2840</f>
        <v>305ai.1</v>
      </c>
      <c r="C2840" s="152" t="str">
        <f>'Reported burning'!C2840</f>
        <v>Human, deliberate</v>
      </c>
      <c r="D2840" s="152" t="str">
        <f>'Reported burning'!D2840</f>
        <v>Pyrome management</v>
      </c>
      <c r="E2840" s="152" t="str">
        <f>'Reported burning'!E2840</f>
        <v>Fire suppression agent</v>
      </c>
      <c r="F2840" s="152" t="str">
        <f>'Reported burning'!F2840</f>
        <v>Forest</v>
      </c>
      <c r="G2840" s="152" t="str">
        <f>'Reported burning'!G2840</f>
        <v>Forest</v>
      </c>
      <c r="H2840" s="152" t="str">
        <f>'Reported burning'!H2840</f>
        <v>Presence</v>
      </c>
      <c r="I2840" s="204"/>
      <c r="J2840" s="204" t="s">
        <v>2276</v>
      </c>
      <c r="K2840" s="204" t="s">
        <v>2276</v>
      </c>
      <c r="L2840" s="21" t="s">
        <v>2362</v>
      </c>
      <c r="M2840" s="204" t="s">
        <v>2276</v>
      </c>
      <c r="N2840" s="204" t="s">
        <v>2276</v>
      </c>
      <c r="O2840" s="204" t="s">
        <v>2276</v>
      </c>
      <c r="P2840" s="204" t="s">
        <v>2276</v>
      </c>
      <c r="Q2840" s="204" t="s">
        <v>2276</v>
      </c>
      <c r="R2840" s="21" t="s">
        <v>2373</v>
      </c>
      <c r="S2840" s="204" t="s">
        <v>2276</v>
      </c>
      <c r="T2840" s="204" t="s">
        <v>2276</v>
      </c>
      <c r="U2840" s="204" t="s">
        <v>2276</v>
      </c>
      <c r="V2840" s="204" t="s">
        <v>2276</v>
      </c>
      <c r="W2840" s="204" t="s">
        <v>2276</v>
      </c>
      <c r="X2840" s="204" t="s">
        <v>35</v>
      </c>
      <c r="Y2840" s="204" t="s">
        <v>38</v>
      </c>
      <c r="Z2840" s="204" t="s">
        <v>64</v>
      </c>
      <c r="AA2840" s="204" t="s">
        <v>7627</v>
      </c>
      <c r="AB2840" s="204"/>
    </row>
    <row r="2841" spans="1:28" ht="24.5" customHeight="1">
      <c r="A2841" s="152" t="str">
        <f>'Reported burning'!A2841</f>
        <v>305ai</v>
      </c>
      <c r="B2841" s="152" t="str">
        <f>'Reported burning'!B2842</f>
        <v>305ai.2</v>
      </c>
      <c r="C2841" s="152" t="str">
        <f>'Reported burning'!C2841</f>
        <v>Human, deliberate</v>
      </c>
      <c r="D2841" s="152" t="str">
        <f>'Reported burning'!D2841</f>
        <v>Pyrome management</v>
      </c>
      <c r="E2841" s="152" t="str">
        <f>'Reported burning'!E2841</f>
        <v>Fire suppression agent</v>
      </c>
      <c r="F2841" s="152" t="str">
        <f>'Reported burning'!F2841</f>
        <v>Shrubland (Mixed forest &amp; grassland)</v>
      </c>
      <c r="G2841" s="152" t="str">
        <f>'Reported burning'!G2841</f>
        <v>Shrubland (Mixed forest &amp; grassland)</v>
      </c>
      <c r="H2841" s="152" t="str">
        <f>'Reported burning'!H2841</f>
        <v>Presence</v>
      </c>
      <c r="I2841" s="204"/>
      <c r="J2841" s="204" t="s">
        <v>2276</v>
      </c>
      <c r="K2841" s="204" t="s">
        <v>2276</v>
      </c>
      <c r="L2841" s="21" t="s">
        <v>2362</v>
      </c>
      <c r="M2841" s="204" t="s">
        <v>2276</v>
      </c>
      <c r="N2841" s="21" t="s">
        <v>2377</v>
      </c>
      <c r="O2841" s="204" t="s">
        <v>2276</v>
      </c>
      <c r="P2841" s="204" t="s">
        <v>2276</v>
      </c>
      <c r="Q2841" s="204" t="s">
        <v>2276</v>
      </c>
      <c r="R2841" s="21" t="s">
        <v>2375</v>
      </c>
      <c r="S2841" s="204" t="s">
        <v>2276</v>
      </c>
      <c r="T2841" s="204" t="s">
        <v>2276</v>
      </c>
      <c r="U2841" s="204" t="s">
        <v>2276</v>
      </c>
      <c r="V2841" s="204" t="s">
        <v>2276</v>
      </c>
      <c r="W2841" s="204" t="s">
        <v>2276</v>
      </c>
      <c r="X2841" s="204" t="s">
        <v>68</v>
      </c>
      <c r="Y2841" s="204" t="s">
        <v>86</v>
      </c>
      <c r="Z2841" s="204" t="s">
        <v>76</v>
      </c>
      <c r="AA2841" s="4" t="s">
        <v>7628</v>
      </c>
      <c r="AB2841" s="204"/>
    </row>
    <row r="2842" spans="1:28" ht="29" customHeight="1">
      <c r="A2842" s="152" t="str">
        <f>'Reported burning'!A2842</f>
        <v>305ah</v>
      </c>
      <c r="B2842" s="152" t="str">
        <f>'Reported burning'!B2841</f>
        <v>305ah.2</v>
      </c>
      <c r="C2842" s="152" t="str">
        <f>'Reported burning'!C2842</f>
        <v>Human, deliberate</v>
      </c>
      <c r="D2842" s="152" t="str">
        <f>'Reported burning'!D2842</f>
        <v>Pyrome management</v>
      </c>
      <c r="E2842" s="152" t="str">
        <f>'Reported burning'!E2842</f>
        <v>Fire suppression agent</v>
      </c>
      <c r="F2842" s="152" t="str">
        <f>'Reported burning'!F2842</f>
        <v>Shrubland (Mixed forest &amp; grassland)</v>
      </c>
      <c r="G2842" s="152" t="str">
        <f>'Reported burning'!G2842</f>
        <v>Shrubland (Mixed forest &amp; grassland)</v>
      </c>
      <c r="H2842" s="152" t="str">
        <f>'Reported burning'!H2842</f>
        <v>Presence</v>
      </c>
      <c r="I2842" s="204"/>
      <c r="J2842" s="204" t="s">
        <v>2276</v>
      </c>
      <c r="K2842" s="204" t="s">
        <v>2276</v>
      </c>
      <c r="L2842" s="21" t="s">
        <v>2362</v>
      </c>
      <c r="M2842" s="204" t="s">
        <v>2276</v>
      </c>
      <c r="N2842" s="21" t="s">
        <v>2377</v>
      </c>
      <c r="O2842" s="204" t="s">
        <v>2276</v>
      </c>
      <c r="P2842" s="204" t="s">
        <v>2276</v>
      </c>
      <c r="Q2842" s="204" t="s">
        <v>2276</v>
      </c>
      <c r="R2842" s="21" t="s">
        <v>2375</v>
      </c>
      <c r="S2842" s="204" t="s">
        <v>2276</v>
      </c>
      <c r="T2842" s="204" t="s">
        <v>2276</v>
      </c>
      <c r="U2842" s="204" t="s">
        <v>2276</v>
      </c>
      <c r="V2842" s="204" t="s">
        <v>2276</v>
      </c>
      <c r="W2842" s="204" t="s">
        <v>2276</v>
      </c>
      <c r="X2842" s="204" t="s">
        <v>35</v>
      </c>
      <c r="Y2842" s="204" t="s">
        <v>38</v>
      </c>
      <c r="Z2842" s="204" t="s">
        <v>64</v>
      </c>
      <c r="AA2842" s="204" t="s">
        <v>7627</v>
      </c>
      <c r="AB2842" s="204"/>
    </row>
    <row r="2843" spans="1:28" ht="32" customHeight="1">
      <c r="A2843" s="156" t="str">
        <f>'Reported burning'!A2843</f>
        <v>306a</v>
      </c>
      <c r="B2843" s="156" t="str">
        <f>'Reported burning'!B2843</f>
        <v>306a.1</v>
      </c>
      <c r="C2843" s="156" t="str">
        <f>'Reported burning'!C2843</f>
        <v>Human, deliberate</v>
      </c>
      <c r="D2843" s="156" t="str">
        <f>'Reported burning'!D2843</f>
        <v>Pyrome management</v>
      </c>
      <c r="E2843" s="156" t="str">
        <f>'Reported burning'!E2843</f>
        <v>Fire suppression agent</v>
      </c>
      <c r="F2843" s="156" t="str">
        <f>'Reported burning'!F2843</f>
        <v>Shrubland (Mixed forest &amp; grassland)</v>
      </c>
      <c r="G2843" s="156" t="str">
        <f>'Reported burning'!G2843</f>
        <v>Shrubland (Mixed forest &amp; grassland)</v>
      </c>
      <c r="H2843" s="156" t="str">
        <f>'Reported burning'!H2843</f>
        <v>Presence</v>
      </c>
      <c r="I2843" s="5"/>
      <c r="J2843" s="5" t="s">
        <v>2276</v>
      </c>
      <c r="K2843" s="21" t="s">
        <v>2362</v>
      </c>
      <c r="L2843" s="21" t="s">
        <v>2362</v>
      </c>
      <c r="M2843" s="21" t="s">
        <v>2385</v>
      </c>
      <c r="N2843" s="21" t="s">
        <v>2385</v>
      </c>
      <c r="O2843" s="204" t="s">
        <v>2276</v>
      </c>
      <c r="P2843" s="204" t="s">
        <v>2276</v>
      </c>
      <c r="Q2843" s="21" t="s">
        <v>2373</v>
      </c>
      <c r="R2843" s="21" t="s">
        <v>2373</v>
      </c>
      <c r="S2843" s="204" t="s">
        <v>2276</v>
      </c>
      <c r="T2843" s="204" t="s">
        <v>2276</v>
      </c>
      <c r="U2843" s="204" t="s">
        <v>2276</v>
      </c>
      <c r="V2843" s="204" t="s">
        <v>2276</v>
      </c>
      <c r="W2843" s="21" t="s">
        <v>2403</v>
      </c>
      <c r="X2843" s="204" t="s">
        <v>2276</v>
      </c>
      <c r="Y2843" s="204" t="s">
        <v>2276</v>
      </c>
      <c r="Z2843" s="204" t="s">
        <v>2276</v>
      </c>
      <c r="AA2843" s="19" t="s">
        <v>7784</v>
      </c>
      <c r="AB2843" s="4" t="s">
        <v>7783</v>
      </c>
    </row>
    <row r="2844" spans="1:28" ht="32" customHeight="1">
      <c r="A2844" s="156" t="str">
        <f>'Reported burning'!A2844</f>
        <v>306a</v>
      </c>
      <c r="B2844" s="156" t="str">
        <f>'Reported burning'!B2844</f>
        <v>306a.2</v>
      </c>
      <c r="C2844" s="156" t="str">
        <f>'Reported burning'!C2844</f>
        <v>Human, deliberate</v>
      </c>
      <c r="D2844" s="156" t="str">
        <f>'Reported burning'!D2844</f>
        <v>Pyrome management</v>
      </c>
      <c r="E2844" s="156" t="str">
        <f>'Reported burning'!E2844</f>
        <v>Fire suppression agent</v>
      </c>
      <c r="F2844" s="156" t="str">
        <f>'Reported burning'!F2844</f>
        <v>Forest</v>
      </c>
      <c r="G2844" s="156" t="str">
        <f>'Reported burning'!G2844</f>
        <v>Forest</v>
      </c>
      <c r="H2844" s="156" t="str">
        <f>'Reported burning'!H2844</f>
        <v>Presence</v>
      </c>
      <c r="I2844" s="5"/>
      <c r="J2844" s="204" t="s">
        <v>2276</v>
      </c>
      <c r="K2844" s="21" t="s">
        <v>2362</v>
      </c>
      <c r="L2844" s="21" t="s">
        <v>2362</v>
      </c>
      <c r="M2844" s="21" t="s">
        <v>2382</v>
      </c>
      <c r="N2844" s="21" t="s">
        <v>2382</v>
      </c>
      <c r="O2844" s="204" t="s">
        <v>2276</v>
      </c>
      <c r="P2844" s="204" t="s">
        <v>2276</v>
      </c>
      <c r="Q2844" s="21" t="s">
        <v>2373</v>
      </c>
      <c r="R2844" s="21" t="s">
        <v>2373</v>
      </c>
      <c r="S2844" s="204" t="s">
        <v>2276</v>
      </c>
      <c r="T2844" s="204" t="s">
        <v>2276</v>
      </c>
      <c r="U2844" s="204" t="s">
        <v>2276</v>
      </c>
      <c r="V2844" s="204" t="s">
        <v>2276</v>
      </c>
      <c r="W2844" s="21" t="s">
        <v>2403</v>
      </c>
      <c r="X2844" s="204" t="s">
        <v>2276</v>
      </c>
      <c r="Y2844" s="204" t="s">
        <v>2276</v>
      </c>
      <c r="Z2844" s="204" t="s">
        <v>2276</v>
      </c>
      <c r="AA2844" s="19" t="s">
        <v>7784</v>
      </c>
      <c r="AB2844" s="4" t="s">
        <v>7783</v>
      </c>
    </row>
    <row r="2845" spans="1:28" ht="38" customHeight="1">
      <c r="A2845" s="156" t="str">
        <f>'Reported burning'!A2845</f>
        <v>306b</v>
      </c>
      <c r="B2845" s="156" t="str">
        <f>'Reported burning'!B2845</f>
        <v>306b.1</v>
      </c>
      <c r="C2845" s="156" t="str">
        <f>'Reported burning'!C2845</f>
        <v>Human, deliberate</v>
      </c>
      <c r="D2845" s="156" t="str">
        <f>'Reported burning'!D2845</f>
        <v>Pyrome management</v>
      </c>
      <c r="E2845" s="156" t="str">
        <f>'Reported burning'!E2845</f>
        <v>Fire suppression agent</v>
      </c>
      <c r="F2845" s="156" t="str">
        <f>'Reported burning'!F2845</f>
        <v>ND</v>
      </c>
      <c r="G2845" s="156" t="str">
        <f>'Reported burning'!G2845</f>
        <v>ND</v>
      </c>
      <c r="H2845" s="156" t="str">
        <f>'Reported burning'!H2845</f>
        <v>Presence</v>
      </c>
      <c r="I2845" s="5"/>
      <c r="J2845" s="204" t="s">
        <v>2276</v>
      </c>
      <c r="K2845" s="38" t="s">
        <v>2276</v>
      </c>
      <c r="L2845" s="38" t="s">
        <v>2276</v>
      </c>
      <c r="M2845" s="38" t="s">
        <v>2276</v>
      </c>
      <c r="N2845" s="38" t="s">
        <v>2276</v>
      </c>
      <c r="O2845" s="38" t="s">
        <v>2276</v>
      </c>
      <c r="P2845" s="103" t="s">
        <v>2376</v>
      </c>
      <c r="Q2845" s="38" t="s">
        <v>2276</v>
      </c>
      <c r="R2845" s="38" t="s">
        <v>2276</v>
      </c>
      <c r="S2845" s="38" t="s">
        <v>2276</v>
      </c>
      <c r="T2845" s="38" t="s">
        <v>2276</v>
      </c>
      <c r="U2845" s="38" t="s">
        <v>2276</v>
      </c>
      <c r="V2845" s="38" t="s">
        <v>2276</v>
      </c>
      <c r="W2845" s="38" t="s">
        <v>2276</v>
      </c>
      <c r="X2845" s="38" t="s">
        <v>2276</v>
      </c>
      <c r="Y2845" s="38" t="s">
        <v>2276</v>
      </c>
      <c r="Z2845" s="38" t="s">
        <v>2276</v>
      </c>
      <c r="AA2845" s="204"/>
      <c r="AB2845" s="204"/>
    </row>
    <row r="2846" spans="1:28" ht="38" customHeight="1">
      <c r="A2846" s="156" t="str">
        <f>'Reported burning'!A2846</f>
        <v>306c</v>
      </c>
      <c r="B2846" s="156" t="str">
        <f>'Reported burning'!B2846</f>
        <v>306c.1</v>
      </c>
      <c r="C2846" s="156" t="str">
        <f>'Reported burning'!C2846</f>
        <v>Human, deliberate</v>
      </c>
      <c r="D2846" s="156" t="str">
        <f>'Reported burning'!D2846</f>
        <v>Pyrome management</v>
      </c>
      <c r="E2846" s="156" t="str">
        <f>'Reported burning'!E2846</f>
        <v>Fire suppression agent</v>
      </c>
      <c r="F2846" s="156" t="str">
        <f>'Reported burning'!F2846</f>
        <v>ND</v>
      </c>
      <c r="G2846" s="156" t="str">
        <f>'Reported burning'!G2846</f>
        <v>ND</v>
      </c>
      <c r="H2846" s="156" t="str">
        <f>'Reported burning'!H2846</f>
        <v>Presence</v>
      </c>
      <c r="I2846" s="5"/>
      <c r="J2846" s="204" t="s">
        <v>2276</v>
      </c>
      <c r="K2846" s="38" t="s">
        <v>2276</v>
      </c>
      <c r="L2846" s="38" t="s">
        <v>2276</v>
      </c>
      <c r="M2846" s="38" t="s">
        <v>2276</v>
      </c>
      <c r="N2846" s="38" t="s">
        <v>2276</v>
      </c>
      <c r="O2846" s="38" t="s">
        <v>2276</v>
      </c>
      <c r="P2846" s="103" t="s">
        <v>2376</v>
      </c>
      <c r="Q2846" s="38" t="s">
        <v>2276</v>
      </c>
      <c r="R2846" s="38" t="s">
        <v>2276</v>
      </c>
      <c r="S2846" s="38" t="s">
        <v>2276</v>
      </c>
      <c r="T2846" s="38" t="s">
        <v>2276</v>
      </c>
      <c r="U2846" s="38" t="s">
        <v>2276</v>
      </c>
      <c r="V2846" s="38" t="s">
        <v>2276</v>
      </c>
      <c r="W2846" s="38" t="s">
        <v>2276</v>
      </c>
      <c r="X2846" s="38" t="s">
        <v>2276</v>
      </c>
      <c r="Y2846" s="38" t="s">
        <v>2276</v>
      </c>
      <c r="Z2846" s="38" t="s">
        <v>2276</v>
      </c>
      <c r="AA2846" s="204"/>
      <c r="AB2846" s="204"/>
    </row>
    <row r="2847" spans="1:28" ht="31" customHeight="1">
      <c r="A2847" s="156" t="str">
        <f>'Reported burning'!A2847</f>
        <v>306d</v>
      </c>
      <c r="B2847" s="156" t="str">
        <f>'Reported burning'!B2847</f>
        <v>306d.1</v>
      </c>
      <c r="C2847" s="156" t="str">
        <f>'Reported burning'!C2847</f>
        <v>Human, deliberate</v>
      </c>
      <c r="D2847" s="156" t="str">
        <f>'Reported burning'!D2847</f>
        <v>Pyrome management</v>
      </c>
      <c r="E2847" s="156" t="str">
        <f>'Reported burning'!E2847</f>
        <v>Fire suppression agent</v>
      </c>
      <c r="F2847" s="156" t="str">
        <f>'Reported burning'!F2847</f>
        <v>ND</v>
      </c>
      <c r="G2847" s="156" t="str">
        <f>'Reported burning'!G2847</f>
        <v>ND</v>
      </c>
      <c r="H2847" s="156" t="str">
        <f>'Reported burning'!H2847</f>
        <v>Presence</v>
      </c>
      <c r="I2847" s="5"/>
      <c r="J2847" s="204" t="s">
        <v>2276</v>
      </c>
      <c r="K2847" s="38" t="s">
        <v>2276</v>
      </c>
      <c r="L2847" s="38" t="s">
        <v>2276</v>
      </c>
      <c r="M2847" s="38" t="s">
        <v>2276</v>
      </c>
      <c r="N2847" s="38" t="s">
        <v>2276</v>
      </c>
      <c r="O2847" s="38" t="s">
        <v>2276</v>
      </c>
      <c r="P2847" s="103" t="s">
        <v>2376</v>
      </c>
      <c r="Q2847" s="38" t="s">
        <v>2276</v>
      </c>
      <c r="R2847" s="38" t="s">
        <v>2276</v>
      </c>
      <c r="S2847" s="38" t="s">
        <v>2276</v>
      </c>
      <c r="T2847" s="38" t="s">
        <v>2276</v>
      </c>
      <c r="U2847" s="38" t="s">
        <v>2276</v>
      </c>
      <c r="V2847" s="38" t="s">
        <v>2276</v>
      </c>
      <c r="W2847" s="38" t="s">
        <v>2276</v>
      </c>
      <c r="X2847" s="38" t="s">
        <v>2276</v>
      </c>
      <c r="Y2847" s="38" t="s">
        <v>2276</v>
      </c>
      <c r="Z2847" s="38" t="s">
        <v>2276</v>
      </c>
      <c r="AA2847" s="204"/>
      <c r="AB2847" s="204"/>
    </row>
    <row r="2848" spans="1:28" ht="31" customHeight="1">
      <c r="A2848" s="156" t="str">
        <f>'Reported burning'!A2848</f>
        <v>306e</v>
      </c>
      <c r="B2848" s="156" t="str">
        <f>'Reported burning'!B2848</f>
        <v>306e.1</v>
      </c>
      <c r="C2848" s="156" t="str">
        <f>'Reported burning'!C2848</f>
        <v>Human, deliberate</v>
      </c>
      <c r="D2848" s="156" t="str">
        <f>'Reported burning'!D2848</f>
        <v>Pyrome management</v>
      </c>
      <c r="E2848" s="156" t="str">
        <f>'Reported burning'!E2848</f>
        <v>Fire suppression agent</v>
      </c>
      <c r="F2848" s="156" t="str">
        <f>'Reported burning'!F2848</f>
        <v>ND</v>
      </c>
      <c r="G2848" s="156" t="str">
        <f>'Reported burning'!G2848</f>
        <v>ND</v>
      </c>
      <c r="H2848" s="156" t="str">
        <f>'Reported burning'!H2848</f>
        <v>Presence</v>
      </c>
      <c r="I2848" s="5"/>
      <c r="J2848" s="204" t="s">
        <v>2276</v>
      </c>
      <c r="K2848" s="38" t="s">
        <v>2276</v>
      </c>
      <c r="L2848" s="38" t="s">
        <v>2276</v>
      </c>
      <c r="M2848" s="38" t="s">
        <v>2276</v>
      </c>
      <c r="N2848" s="38" t="s">
        <v>2276</v>
      </c>
      <c r="O2848" s="38" t="s">
        <v>2276</v>
      </c>
      <c r="P2848" s="103" t="s">
        <v>2377</v>
      </c>
      <c r="Q2848" s="38" t="s">
        <v>2276</v>
      </c>
      <c r="R2848" s="38" t="s">
        <v>2276</v>
      </c>
      <c r="S2848" s="38" t="s">
        <v>2276</v>
      </c>
      <c r="T2848" s="38" t="s">
        <v>2276</v>
      </c>
      <c r="U2848" s="38" t="s">
        <v>2276</v>
      </c>
      <c r="V2848" s="38" t="s">
        <v>2276</v>
      </c>
      <c r="W2848" s="38" t="s">
        <v>2276</v>
      </c>
      <c r="X2848" s="38" t="s">
        <v>2276</v>
      </c>
      <c r="Y2848" s="38" t="s">
        <v>2276</v>
      </c>
      <c r="Z2848" s="38" t="s">
        <v>2276</v>
      </c>
      <c r="AA2848" s="204"/>
      <c r="AB2848" s="204"/>
    </row>
    <row r="2849" spans="1:28" ht="31" customHeight="1">
      <c r="A2849" s="156" t="str">
        <f>'Reported burning'!A2849</f>
        <v>306f</v>
      </c>
      <c r="B2849" s="156" t="str">
        <f>'Reported burning'!B2849</f>
        <v>306f.1</v>
      </c>
      <c r="C2849" s="156" t="str">
        <f>'Reported burning'!C2849</f>
        <v>Human, deliberate</v>
      </c>
      <c r="D2849" s="156" t="str">
        <f>'Reported burning'!D2849</f>
        <v>Pyrome management</v>
      </c>
      <c r="E2849" s="156" t="str">
        <f>'Reported burning'!E2849</f>
        <v>Fire suppression agent</v>
      </c>
      <c r="F2849" s="156" t="str">
        <f>'Reported burning'!F2849</f>
        <v>ND</v>
      </c>
      <c r="G2849" s="156" t="str">
        <f>'Reported burning'!G2849</f>
        <v>ND</v>
      </c>
      <c r="H2849" s="156" t="str">
        <f>'Reported burning'!H2849</f>
        <v>Presence</v>
      </c>
      <c r="I2849" s="5"/>
      <c r="J2849" s="204" t="s">
        <v>2276</v>
      </c>
      <c r="K2849" s="38" t="s">
        <v>2276</v>
      </c>
      <c r="L2849" s="38" t="s">
        <v>2276</v>
      </c>
      <c r="M2849" s="38" t="s">
        <v>2276</v>
      </c>
      <c r="N2849" s="38" t="s">
        <v>2276</v>
      </c>
      <c r="O2849" s="38" t="s">
        <v>2276</v>
      </c>
      <c r="P2849" s="103" t="s">
        <v>2376</v>
      </c>
      <c r="Q2849" s="38" t="s">
        <v>2276</v>
      </c>
      <c r="R2849" s="38" t="s">
        <v>2276</v>
      </c>
      <c r="S2849" s="38" t="s">
        <v>2276</v>
      </c>
      <c r="T2849" s="38" t="s">
        <v>2276</v>
      </c>
      <c r="U2849" s="38" t="s">
        <v>2276</v>
      </c>
      <c r="V2849" s="38" t="s">
        <v>2276</v>
      </c>
      <c r="W2849" s="38" t="s">
        <v>2276</v>
      </c>
      <c r="X2849" s="38" t="s">
        <v>2276</v>
      </c>
      <c r="Y2849" s="38" t="s">
        <v>2276</v>
      </c>
      <c r="Z2849" s="38" t="s">
        <v>2276</v>
      </c>
      <c r="AA2849" s="204"/>
      <c r="AB2849" s="204"/>
    </row>
    <row r="2850" spans="1:28" ht="31" customHeight="1">
      <c r="A2850" s="156" t="str">
        <f>'Reported burning'!A2850</f>
        <v>306g</v>
      </c>
      <c r="B2850" s="156" t="str">
        <f>'Reported burning'!B2850</f>
        <v>306g.1</v>
      </c>
      <c r="C2850" s="156" t="str">
        <f>'Reported burning'!C2850</f>
        <v>Human, deliberate</v>
      </c>
      <c r="D2850" s="156" t="str">
        <f>'Reported burning'!D2850</f>
        <v>Pyrome management</v>
      </c>
      <c r="E2850" s="156" t="str">
        <f>'Reported burning'!E2850</f>
        <v>Fire suppression agent</v>
      </c>
      <c r="F2850" s="156" t="str">
        <f>'Reported burning'!F2850</f>
        <v>ND</v>
      </c>
      <c r="G2850" s="156" t="str">
        <f>'Reported burning'!G2850</f>
        <v>ND</v>
      </c>
      <c r="H2850" s="156" t="str">
        <f>'Reported burning'!H2850</f>
        <v>Presence</v>
      </c>
      <c r="I2850" s="5"/>
      <c r="J2850" s="204" t="s">
        <v>2276</v>
      </c>
      <c r="K2850" s="38" t="s">
        <v>2276</v>
      </c>
      <c r="L2850" s="38" t="s">
        <v>2276</v>
      </c>
      <c r="M2850" s="38" t="s">
        <v>2276</v>
      </c>
      <c r="N2850" s="38" t="s">
        <v>2276</v>
      </c>
      <c r="O2850" s="38" t="s">
        <v>2276</v>
      </c>
      <c r="P2850" s="103" t="s">
        <v>2376</v>
      </c>
      <c r="Q2850" s="38" t="s">
        <v>2276</v>
      </c>
      <c r="R2850" s="38" t="s">
        <v>2276</v>
      </c>
      <c r="S2850" s="38" t="s">
        <v>2276</v>
      </c>
      <c r="T2850" s="38" t="s">
        <v>2276</v>
      </c>
      <c r="U2850" s="38" t="s">
        <v>2276</v>
      </c>
      <c r="V2850" s="38" t="s">
        <v>2276</v>
      </c>
      <c r="W2850" s="38" t="s">
        <v>2276</v>
      </c>
      <c r="X2850" s="38" t="s">
        <v>2276</v>
      </c>
      <c r="Y2850" s="38" t="s">
        <v>2276</v>
      </c>
      <c r="Z2850" s="38" t="s">
        <v>2276</v>
      </c>
      <c r="AA2850" s="204"/>
      <c r="AB2850" s="204"/>
    </row>
    <row r="2851" spans="1:28" ht="31" customHeight="1">
      <c r="A2851" s="156" t="str">
        <f>'Reported burning'!A2851</f>
        <v>306h</v>
      </c>
      <c r="B2851" s="156" t="str">
        <f>'Reported burning'!B2851</f>
        <v>306h.1</v>
      </c>
      <c r="C2851" s="156" t="str">
        <f>'Reported burning'!C2851</f>
        <v>Human, deliberate</v>
      </c>
      <c r="D2851" s="156" t="str">
        <f>'Reported burning'!D2851</f>
        <v>Pyrome management</v>
      </c>
      <c r="E2851" s="156" t="str">
        <f>'Reported burning'!E2851</f>
        <v>Fire suppression agent</v>
      </c>
      <c r="F2851" s="156" t="str">
        <f>'Reported burning'!F2851</f>
        <v>ND</v>
      </c>
      <c r="G2851" s="156" t="str">
        <f>'Reported burning'!G2851</f>
        <v>ND</v>
      </c>
      <c r="H2851" s="156" t="str">
        <f>'Reported burning'!H2851</f>
        <v>Presence</v>
      </c>
      <c r="I2851" s="5"/>
      <c r="J2851" s="204" t="s">
        <v>2276</v>
      </c>
      <c r="K2851" s="38" t="s">
        <v>2276</v>
      </c>
      <c r="L2851" s="38" t="s">
        <v>2276</v>
      </c>
      <c r="M2851" s="38" t="s">
        <v>2276</v>
      </c>
      <c r="N2851" s="38" t="s">
        <v>2276</v>
      </c>
      <c r="O2851" s="38" t="s">
        <v>2276</v>
      </c>
      <c r="P2851" s="103" t="s">
        <v>2377</v>
      </c>
      <c r="Q2851" s="38" t="s">
        <v>2276</v>
      </c>
      <c r="R2851" s="38" t="s">
        <v>2276</v>
      </c>
      <c r="S2851" s="38" t="s">
        <v>2276</v>
      </c>
      <c r="T2851" s="38" t="s">
        <v>2276</v>
      </c>
      <c r="U2851" s="38" t="s">
        <v>2276</v>
      </c>
      <c r="V2851" s="38" t="s">
        <v>2276</v>
      </c>
      <c r="W2851" s="38" t="s">
        <v>2276</v>
      </c>
      <c r="X2851" s="38" t="s">
        <v>2276</v>
      </c>
      <c r="Y2851" s="38" t="s">
        <v>2276</v>
      </c>
      <c r="Z2851" s="38" t="s">
        <v>2276</v>
      </c>
      <c r="AA2851" s="204"/>
      <c r="AB2851" s="204"/>
    </row>
    <row r="2852" spans="1:28" ht="31" customHeight="1">
      <c r="A2852" s="156" t="str">
        <f>'Reported burning'!A2852</f>
        <v>306i</v>
      </c>
      <c r="B2852" s="156" t="str">
        <f>'Reported burning'!B2852</f>
        <v>306i.1</v>
      </c>
      <c r="C2852" s="156" t="str">
        <f>'Reported burning'!C2852</f>
        <v>Human, deliberate</v>
      </c>
      <c r="D2852" s="156" t="str">
        <f>'Reported burning'!D2852</f>
        <v>Pyrome management</v>
      </c>
      <c r="E2852" s="156" t="str">
        <f>'Reported burning'!E2852</f>
        <v>Fire suppression agent</v>
      </c>
      <c r="F2852" s="156" t="str">
        <f>'Reported burning'!F2852</f>
        <v>ND</v>
      </c>
      <c r="G2852" s="156" t="str">
        <f>'Reported burning'!G2852</f>
        <v>ND</v>
      </c>
      <c r="H2852" s="156" t="str">
        <f>'Reported burning'!H2852</f>
        <v>Presence</v>
      </c>
      <c r="I2852" s="5"/>
      <c r="J2852" s="204" t="s">
        <v>2276</v>
      </c>
      <c r="K2852" s="38" t="s">
        <v>2276</v>
      </c>
      <c r="L2852" s="38" t="s">
        <v>2276</v>
      </c>
      <c r="M2852" s="38" t="s">
        <v>2276</v>
      </c>
      <c r="N2852" s="38" t="s">
        <v>2276</v>
      </c>
      <c r="O2852" s="38" t="s">
        <v>2276</v>
      </c>
      <c r="P2852" s="103" t="s">
        <v>2376</v>
      </c>
      <c r="Q2852" s="38" t="s">
        <v>2276</v>
      </c>
      <c r="R2852" s="38" t="s">
        <v>2276</v>
      </c>
      <c r="S2852" s="38" t="s">
        <v>2276</v>
      </c>
      <c r="T2852" s="38" t="s">
        <v>2276</v>
      </c>
      <c r="U2852" s="38" t="s">
        <v>2276</v>
      </c>
      <c r="V2852" s="38" t="s">
        <v>2276</v>
      </c>
      <c r="W2852" s="38" t="s">
        <v>2276</v>
      </c>
      <c r="X2852" s="38" t="s">
        <v>2276</v>
      </c>
      <c r="Y2852" s="38" t="s">
        <v>2276</v>
      </c>
      <c r="Z2852" s="38" t="s">
        <v>2276</v>
      </c>
      <c r="AA2852" s="204"/>
      <c r="AB2852" s="204"/>
    </row>
    <row r="2853" spans="1:28" ht="31" customHeight="1">
      <c r="A2853" s="156" t="str">
        <f>'Reported burning'!A2853</f>
        <v>306j</v>
      </c>
      <c r="B2853" s="156" t="str">
        <f>'Reported burning'!B2853</f>
        <v>306j.1</v>
      </c>
      <c r="C2853" s="156" t="str">
        <f>'Reported burning'!C2853</f>
        <v>Human, deliberate</v>
      </c>
      <c r="D2853" s="156" t="str">
        <f>'Reported burning'!D2853</f>
        <v>Pyrome management</v>
      </c>
      <c r="E2853" s="156" t="str">
        <f>'Reported burning'!E2853</f>
        <v>Fire suppression agent</v>
      </c>
      <c r="F2853" s="156" t="str">
        <f>'Reported burning'!F2853</f>
        <v>ND</v>
      </c>
      <c r="G2853" s="156" t="str">
        <f>'Reported burning'!G2853</f>
        <v>ND</v>
      </c>
      <c r="H2853" s="156" t="str">
        <f>'Reported burning'!H2853</f>
        <v>Presence</v>
      </c>
      <c r="I2853" s="5"/>
      <c r="J2853" s="204" t="s">
        <v>2276</v>
      </c>
      <c r="K2853" s="38" t="s">
        <v>2276</v>
      </c>
      <c r="L2853" s="38" t="s">
        <v>2276</v>
      </c>
      <c r="M2853" s="38" t="s">
        <v>2276</v>
      </c>
      <c r="N2853" s="38" t="s">
        <v>2276</v>
      </c>
      <c r="O2853" s="38" t="s">
        <v>2276</v>
      </c>
      <c r="P2853" s="103" t="s">
        <v>2377</v>
      </c>
      <c r="Q2853" s="38" t="s">
        <v>2276</v>
      </c>
      <c r="R2853" s="38" t="s">
        <v>2276</v>
      </c>
      <c r="S2853" s="38" t="s">
        <v>2276</v>
      </c>
      <c r="T2853" s="38" t="s">
        <v>2276</v>
      </c>
      <c r="U2853" s="38" t="s">
        <v>2276</v>
      </c>
      <c r="V2853" s="38" t="s">
        <v>2276</v>
      </c>
      <c r="W2853" s="38" t="s">
        <v>2276</v>
      </c>
      <c r="X2853" s="38" t="s">
        <v>2276</v>
      </c>
      <c r="Y2853" s="38" t="s">
        <v>2276</v>
      </c>
      <c r="Z2853" s="38" t="s">
        <v>2276</v>
      </c>
      <c r="AA2853" s="204"/>
      <c r="AB2853" s="204"/>
    </row>
    <row r="2854" spans="1:28" ht="31" customHeight="1">
      <c r="A2854" s="156" t="str">
        <f>'Reported burning'!A2854</f>
        <v>306k</v>
      </c>
      <c r="B2854" s="156" t="str">
        <f>'Reported burning'!B2854</f>
        <v>306k.1</v>
      </c>
      <c r="C2854" s="156" t="str">
        <f>'Reported burning'!C2854</f>
        <v>Human, deliberate</v>
      </c>
      <c r="D2854" s="156" t="str">
        <f>'Reported burning'!D2854</f>
        <v>Pyrome management</v>
      </c>
      <c r="E2854" s="156" t="str">
        <f>'Reported burning'!E2854</f>
        <v>Fire suppression agent</v>
      </c>
      <c r="F2854" s="156" t="str">
        <f>'Reported burning'!F2854</f>
        <v>ND</v>
      </c>
      <c r="G2854" s="156" t="str">
        <f>'Reported burning'!G2854</f>
        <v>ND</v>
      </c>
      <c r="H2854" s="156" t="str">
        <f>'Reported burning'!H2854</f>
        <v>Presence</v>
      </c>
      <c r="I2854" s="5"/>
      <c r="J2854" s="204" t="s">
        <v>2276</v>
      </c>
      <c r="K2854" s="38" t="s">
        <v>2276</v>
      </c>
      <c r="L2854" s="38" t="s">
        <v>2276</v>
      </c>
      <c r="M2854" s="38" t="s">
        <v>2276</v>
      </c>
      <c r="N2854" s="38" t="s">
        <v>2276</v>
      </c>
      <c r="O2854" s="38" t="s">
        <v>2276</v>
      </c>
      <c r="P2854" s="103" t="s">
        <v>2377</v>
      </c>
      <c r="Q2854" s="38" t="s">
        <v>2276</v>
      </c>
      <c r="R2854" s="38" t="s">
        <v>2276</v>
      </c>
      <c r="S2854" s="38" t="s">
        <v>2276</v>
      </c>
      <c r="T2854" s="38" t="s">
        <v>2276</v>
      </c>
      <c r="U2854" s="38" t="s">
        <v>2276</v>
      </c>
      <c r="V2854" s="38" t="s">
        <v>2276</v>
      </c>
      <c r="W2854" s="38" t="s">
        <v>2276</v>
      </c>
      <c r="X2854" s="38" t="s">
        <v>2276</v>
      </c>
      <c r="Y2854" s="38" t="s">
        <v>2276</v>
      </c>
      <c r="Z2854" s="38" t="s">
        <v>2276</v>
      </c>
      <c r="AA2854" s="204"/>
      <c r="AB2854" s="204"/>
    </row>
    <row r="2855" spans="1:28" ht="31" customHeight="1">
      <c r="A2855" s="156" t="str">
        <f>'Reported burning'!A2855</f>
        <v>306l</v>
      </c>
      <c r="B2855" s="156" t="str">
        <f>'Reported burning'!B2855</f>
        <v>306l.1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38" t="s">
        <v>2276</v>
      </c>
      <c r="L2855" s="38" t="s">
        <v>2276</v>
      </c>
      <c r="M2855" s="38" t="s">
        <v>2276</v>
      </c>
      <c r="N2855" s="38" t="s">
        <v>2276</v>
      </c>
      <c r="O2855" s="38" t="s">
        <v>2276</v>
      </c>
      <c r="P2855" s="103" t="s">
        <v>2380</v>
      </c>
      <c r="Q2855" s="38" t="s">
        <v>2276</v>
      </c>
      <c r="R2855" s="38" t="s">
        <v>2276</v>
      </c>
      <c r="S2855" s="38" t="s">
        <v>2276</v>
      </c>
      <c r="T2855" s="38" t="s">
        <v>2276</v>
      </c>
      <c r="U2855" s="38" t="s">
        <v>2276</v>
      </c>
      <c r="V2855" s="38" t="s">
        <v>2276</v>
      </c>
      <c r="W2855" s="38" t="s">
        <v>2276</v>
      </c>
      <c r="X2855" s="38" t="s">
        <v>2276</v>
      </c>
      <c r="Y2855" s="38" t="s">
        <v>2276</v>
      </c>
      <c r="Z2855" s="38" t="s">
        <v>2276</v>
      </c>
      <c r="AA2855" s="204"/>
      <c r="AB2855" s="204"/>
    </row>
    <row r="2856" spans="1:28" ht="31" customHeight="1">
      <c r="A2856" s="185" t="str">
        <f>'Reported burning'!A2856</f>
        <v>306m</v>
      </c>
      <c r="B2856" s="185" t="str">
        <f>'Reported burning'!B2856</f>
        <v>306m.1</v>
      </c>
      <c r="C2856" s="185" t="str">
        <f>'Reported burning'!C2856</f>
        <v>Human, deliberate</v>
      </c>
      <c r="D2856" s="185" t="str">
        <f>'Reported burning'!D2856</f>
        <v>Pyrome management</v>
      </c>
      <c r="E2856" s="185" t="str">
        <f>'Reported burning'!E2856</f>
        <v>Fire suppression agent</v>
      </c>
      <c r="F2856" s="185" t="str">
        <f>'Reported burning'!F2856</f>
        <v>ND</v>
      </c>
      <c r="G2856" s="185" t="str">
        <f>'Reported burning'!G2856</f>
        <v>ND</v>
      </c>
      <c r="H2856" s="185" t="str">
        <f>'Reported burning'!H2856</f>
        <v>Presence</v>
      </c>
      <c r="I2856" s="32"/>
      <c r="J2856" s="38" t="s">
        <v>2276</v>
      </c>
      <c r="K2856" s="38" t="s">
        <v>2276</v>
      </c>
      <c r="L2856" s="38" t="s">
        <v>2276</v>
      </c>
      <c r="M2856" s="38" t="s">
        <v>2276</v>
      </c>
      <c r="N2856" s="38" t="s">
        <v>2276</v>
      </c>
      <c r="O2856" s="38" t="s">
        <v>2276</v>
      </c>
      <c r="P2856" s="103" t="s">
        <v>2376</v>
      </c>
      <c r="Q2856" s="38" t="s">
        <v>2276</v>
      </c>
      <c r="R2856" s="38" t="s">
        <v>2276</v>
      </c>
      <c r="S2856" s="38" t="s">
        <v>2276</v>
      </c>
      <c r="T2856" s="38" t="s">
        <v>2276</v>
      </c>
      <c r="U2856" s="38" t="s">
        <v>2276</v>
      </c>
      <c r="V2856" s="38" t="s">
        <v>2276</v>
      </c>
      <c r="W2856" s="38" t="s">
        <v>2276</v>
      </c>
      <c r="X2856" s="38" t="s">
        <v>2276</v>
      </c>
      <c r="Y2856" s="38" t="s">
        <v>2276</v>
      </c>
      <c r="Z2856" s="38" t="s">
        <v>2276</v>
      </c>
      <c r="AA2856" s="38"/>
      <c r="AB2856" s="38"/>
    </row>
    <row r="2857" spans="1:28" ht="31" customHeight="1">
      <c r="A2857" s="152" t="str">
        <f>'Reported burning'!A2857</f>
        <v>306n</v>
      </c>
      <c r="B2857" s="152" t="str">
        <f>'Reported burning'!B2857</f>
        <v>306n.1</v>
      </c>
      <c r="C2857" s="152" t="str">
        <f>'Reported burning'!C2857</f>
        <v>Human, deliberate</v>
      </c>
      <c r="D2857" s="152" t="str">
        <f>'Reported burning'!D2857</f>
        <v>Pyrome management</v>
      </c>
      <c r="E2857" s="152" t="str">
        <f>'Reported burning'!E2857</f>
        <v>Fire suppression agent</v>
      </c>
      <c r="F2857" s="152" t="str">
        <f>'Reported burning'!F2857</f>
        <v>ND</v>
      </c>
      <c r="G2857" s="152" t="str">
        <f>'Reported burning'!G2857</f>
        <v>ND</v>
      </c>
      <c r="H2857" s="152" t="str">
        <f>'Reported burning'!H2857</f>
        <v>Presence</v>
      </c>
      <c r="I2857" s="204"/>
      <c r="J2857" s="38" t="s">
        <v>2276</v>
      </c>
      <c r="K2857" s="38" t="s">
        <v>2276</v>
      </c>
      <c r="L2857" s="38" t="s">
        <v>2276</v>
      </c>
      <c r="M2857" s="38" t="s">
        <v>2276</v>
      </c>
      <c r="N2857" s="38" t="s">
        <v>2276</v>
      </c>
      <c r="O2857" s="38" t="s">
        <v>2276</v>
      </c>
      <c r="P2857" s="103" t="s">
        <v>2381</v>
      </c>
      <c r="Q2857" s="38" t="s">
        <v>2276</v>
      </c>
      <c r="R2857" s="38" t="s">
        <v>2276</v>
      </c>
      <c r="S2857" s="38" t="s">
        <v>2276</v>
      </c>
      <c r="T2857" s="38" t="s">
        <v>2276</v>
      </c>
      <c r="U2857" s="38" t="s">
        <v>2276</v>
      </c>
      <c r="V2857" s="38" t="s">
        <v>2276</v>
      </c>
      <c r="W2857" s="38" t="s">
        <v>2276</v>
      </c>
      <c r="X2857" s="38" t="s">
        <v>2276</v>
      </c>
      <c r="Y2857" s="38" t="s">
        <v>2276</v>
      </c>
      <c r="Z2857" s="38" t="s">
        <v>2276</v>
      </c>
      <c r="AA2857" s="204"/>
      <c r="AB2857" s="204"/>
    </row>
    <row r="2858" spans="1:28" ht="31" customHeight="1">
      <c r="A2858" s="152" t="str">
        <f>'Reported burning'!A2858</f>
        <v>306o</v>
      </c>
      <c r="B2858" s="152" t="str">
        <f>'Reported burning'!B2858</f>
        <v>306o.1</v>
      </c>
      <c r="C2858" s="152" t="str">
        <f>'Reported burning'!C2858</f>
        <v>Human, deliberate</v>
      </c>
      <c r="D2858" s="152" t="str">
        <f>'Reported burning'!D2858</f>
        <v>Pyrome management</v>
      </c>
      <c r="E2858" s="152" t="str">
        <f>'Reported burning'!E2858</f>
        <v>Fire suppression agent</v>
      </c>
      <c r="F2858" s="152" t="str">
        <f>'Reported burning'!F2858</f>
        <v>ND</v>
      </c>
      <c r="G2858" s="152" t="str">
        <f>'Reported burning'!G2858</f>
        <v>ND</v>
      </c>
      <c r="H2858" s="152" t="str">
        <f>'Reported burning'!H2858</f>
        <v>Presence</v>
      </c>
      <c r="I2858" s="204"/>
      <c r="J2858" s="38" t="s">
        <v>2276</v>
      </c>
      <c r="K2858" s="38" t="s">
        <v>2276</v>
      </c>
      <c r="L2858" s="38" t="s">
        <v>2276</v>
      </c>
      <c r="M2858" s="38" t="s">
        <v>2276</v>
      </c>
      <c r="N2858" s="38" t="s">
        <v>2276</v>
      </c>
      <c r="O2858" s="38" t="s">
        <v>2276</v>
      </c>
      <c r="P2858" s="103" t="s">
        <v>2378</v>
      </c>
      <c r="Q2858" s="38" t="s">
        <v>2276</v>
      </c>
      <c r="R2858" s="38" t="s">
        <v>2276</v>
      </c>
      <c r="S2858" s="38" t="s">
        <v>2276</v>
      </c>
      <c r="T2858" s="38" t="s">
        <v>2276</v>
      </c>
      <c r="U2858" s="38" t="s">
        <v>2276</v>
      </c>
      <c r="V2858" s="38" t="s">
        <v>2276</v>
      </c>
      <c r="W2858" s="38" t="s">
        <v>2276</v>
      </c>
      <c r="X2858" s="38" t="s">
        <v>2276</v>
      </c>
      <c r="Y2858" s="38" t="s">
        <v>2276</v>
      </c>
      <c r="Z2858" s="38" t="s">
        <v>2276</v>
      </c>
      <c r="AA2858" s="204"/>
      <c r="AB2858" s="204"/>
    </row>
    <row r="2859" spans="1:28" ht="31" customHeight="1">
      <c r="A2859" s="152" t="str">
        <f>'Reported burning'!A2859</f>
        <v>306p</v>
      </c>
      <c r="B2859" s="152" t="str">
        <f>'Reported burning'!B2859</f>
        <v>306p.1</v>
      </c>
      <c r="C2859" s="152" t="str">
        <f>'Reported burning'!C2859</f>
        <v>Human, deliberate</v>
      </c>
      <c r="D2859" s="152" t="str">
        <f>'Reported burning'!D2859</f>
        <v>Pyrome management</v>
      </c>
      <c r="E2859" s="152" t="str">
        <f>'Reported burning'!E2859</f>
        <v>Fire suppression agent</v>
      </c>
      <c r="F2859" s="152" t="str">
        <f>'Reported burning'!F2859</f>
        <v>ND</v>
      </c>
      <c r="G2859" s="152" t="str">
        <f>'Reported burning'!G2859</f>
        <v>ND</v>
      </c>
      <c r="H2859" s="152" t="str">
        <f>'Reported burning'!H2859</f>
        <v>Presence</v>
      </c>
      <c r="I2859" s="204"/>
      <c r="J2859" s="38" t="s">
        <v>2276</v>
      </c>
      <c r="K2859" s="38" t="s">
        <v>2276</v>
      </c>
      <c r="L2859" s="38" t="s">
        <v>2276</v>
      </c>
      <c r="M2859" s="38" t="s">
        <v>2276</v>
      </c>
      <c r="N2859" s="38" t="s">
        <v>2276</v>
      </c>
      <c r="O2859" s="38" t="s">
        <v>2276</v>
      </c>
      <c r="P2859" s="103" t="s">
        <v>2378</v>
      </c>
      <c r="Q2859" s="38" t="s">
        <v>2276</v>
      </c>
      <c r="R2859" s="38" t="s">
        <v>2276</v>
      </c>
      <c r="S2859" s="38" t="s">
        <v>2276</v>
      </c>
      <c r="T2859" s="38" t="s">
        <v>2276</v>
      </c>
      <c r="U2859" s="38" t="s">
        <v>2276</v>
      </c>
      <c r="V2859" s="38" t="s">
        <v>2276</v>
      </c>
      <c r="W2859" s="38" t="s">
        <v>2276</v>
      </c>
      <c r="X2859" s="38" t="s">
        <v>2276</v>
      </c>
      <c r="Y2859" s="38" t="s">
        <v>2276</v>
      </c>
      <c r="Z2859" s="38" t="s">
        <v>2276</v>
      </c>
      <c r="AA2859" s="204"/>
      <c r="AB2859" s="204"/>
    </row>
    <row r="2860" spans="1:28" ht="31" customHeight="1">
      <c r="A2860" s="152" t="str">
        <f>'Reported burning'!A2860</f>
        <v>306q</v>
      </c>
      <c r="B2860" s="152" t="str">
        <f>'Reported burning'!B2860</f>
        <v>306q.1</v>
      </c>
      <c r="C2860" s="152" t="str">
        <f>'Reported burning'!C2860</f>
        <v>Human, deliberate</v>
      </c>
      <c r="D2860" s="152" t="str">
        <f>'Reported burning'!D2860</f>
        <v>Pyrome management</v>
      </c>
      <c r="E2860" s="152" t="str">
        <f>'Reported burning'!E2860</f>
        <v>Fire suppression agent</v>
      </c>
      <c r="F2860" s="152" t="str">
        <f>'Reported burning'!F2860</f>
        <v>ND</v>
      </c>
      <c r="G2860" s="152" t="str">
        <f>'Reported burning'!G2860</f>
        <v>ND</v>
      </c>
      <c r="H2860" s="152" t="str">
        <f>'Reported burning'!H2860</f>
        <v>Presence</v>
      </c>
      <c r="I2860" s="204"/>
      <c r="J2860" s="38" t="s">
        <v>2276</v>
      </c>
      <c r="K2860" s="38" t="s">
        <v>2276</v>
      </c>
      <c r="L2860" s="38" t="s">
        <v>2276</v>
      </c>
      <c r="M2860" s="38" t="s">
        <v>2276</v>
      </c>
      <c r="N2860" s="38" t="s">
        <v>2276</v>
      </c>
      <c r="O2860" s="38" t="s">
        <v>2276</v>
      </c>
      <c r="P2860" s="103" t="s">
        <v>2379</v>
      </c>
      <c r="Q2860" s="38" t="s">
        <v>2276</v>
      </c>
      <c r="R2860" s="38" t="s">
        <v>2276</v>
      </c>
      <c r="S2860" s="38" t="s">
        <v>2276</v>
      </c>
      <c r="T2860" s="38" t="s">
        <v>2276</v>
      </c>
      <c r="U2860" s="38" t="s">
        <v>2276</v>
      </c>
      <c r="V2860" s="38" t="s">
        <v>2276</v>
      </c>
      <c r="W2860" s="38" t="s">
        <v>2276</v>
      </c>
      <c r="X2860" s="38" t="s">
        <v>2276</v>
      </c>
      <c r="Y2860" s="38" t="s">
        <v>2276</v>
      </c>
      <c r="Z2860" s="38" t="s">
        <v>2276</v>
      </c>
      <c r="AA2860" s="204"/>
      <c r="AB2860" s="204"/>
    </row>
    <row r="2861" spans="1:28" ht="31" customHeight="1">
      <c r="A2861" s="152" t="str">
        <f>'Reported burning'!A2861</f>
        <v>306r</v>
      </c>
      <c r="B2861" s="152" t="str">
        <f>'Reported burning'!B2861</f>
        <v>306r.1</v>
      </c>
      <c r="C2861" s="152" t="str">
        <f>'Reported burning'!C2861</f>
        <v>Human, deliberate</v>
      </c>
      <c r="D2861" s="152" t="str">
        <f>'Reported burning'!D2861</f>
        <v>Pyrome management</v>
      </c>
      <c r="E2861" s="152" t="str">
        <f>'Reported burning'!E2861</f>
        <v>Fire suppression agent</v>
      </c>
      <c r="F2861" s="152" t="str">
        <f>'Reported burning'!F2861</f>
        <v>ND</v>
      </c>
      <c r="G2861" s="152" t="str">
        <f>'Reported burning'!G2861</f>
        <v>ND</v>
      </c>
      <c r="H2861" s="152" t="str">
        <f>'Reported burning'!H2861</f>
        <v>Presence</v>
      </c>
      <c r="I2861" s="204"/>
      <c r="J2861" s="38" t="s">
        <v>2276</v>
      </c>
      <c r="K2861" s="38" t="s">
        <v>2276</v>
      </c>
      <c r="L2861" s="38" t="s">
        <v>2276</v>
      </c>
      <c r="M2861" s="38" t="s">
        <v>2276</v>
      </c>
      <c r="N2861" s="38" t="s">
        <v>2276</v>
      </c>
      <c r="O2861" s="38" t="s">
        <v>2276</v>
      </c>
      <c r="P2861" s="103" t="s">
        <v>2380</v>
      </c>
      <c r="Q2861" s="38" t="s">
        <v>2276</v>
      </c>
      <c r="R2861" s="38" t="s">
        <v>2276</v>
      </c>
      <c r="S2861" s="38" t="s">
        <v>2276</v>
      </c>
      <c r="T2861" s="38" t="s">
        <v>2276</v>
      </c>
      <c r="U2861" s="38" t="s">
        <v>2276</v>
      </c>
      <c r="V2861" s="38" t="s">
        <v>2276</v>
      </c>
      <c r="W2861" s="38" t="s">
        <v>2276</v>
      </c>
      <c r="X2861" s="38" t="s">
        <v>2276</v>
      </c>
      <c r="Y2861" s="38" t="s">
        <v>2276</v>
      </c>
      <c r="Z2861" s="38" t="s">
        <v>2276</v>
      </c>
      <c r="AA2861" s="204"/>
      <c r="AB2861" s="204"/>
    </row>
    <row r="2862" spans="1:28" ht="31" customHeight="1">
      <c r="A2862" s="152" t="str">
        <f>'Reported burning'!A2862</f>
        <v>306s</v>
      </c>
      <c r="B2862" s="152" t="str">
        <f>'Reported burning'!B2862</f>
        <v>306s.1</v>
      </c>
      <c r="C2862" s="152" t="str">
        <f>'Reported burning'!C2862</f>
        <v>Human, deliberate</v>
      </c>
      <c r="D2862" s="152" t="str">
        <f>'Reported burning'!D2862</f>
        <v>Pyrome management</v>
      </c>
      <c r="E2862" s="152" t="str">
        <f>'Reported burning'!E2862</f>
        <v>Fire suppression agent</v>
      </c>
      <c r="F2862" s="152" t="str">
        <f>'Reported burning'!F2862</f>
        <v>ND</v>
      </c>
      <c r="G2862" s="152" t="str">
        <f>'Reported burning'!G2862</f>
        <v>ND</v>
      </c>
      <c r="H2862" s="152" t="str">
        <f>'Reported burning'!H2862</f>
        <v>Presence</v>
      </c>
      <c r="I2862" s="204"/>
      <c r="J2862" s="38" t="s">
        <v>2276</v>
      </c>
      <c r="K2862" s="38" t="s">
        <v>2276</v>
      </c>
      <c r="L2862" s="38" t="s">
        <v>2276</v>
      </c>
      <c r="M2862" s="38" t="s">
        <v>2276</v>
      </c>
      <c r="N2862" s="38" t="s">
        <v>2276</v>
      </c>
      <c r="O2862" s="38" t="s">
        <v>2276</v>
      </c>
      <c r="P2862" s="103" t="s">
        <v>2377</v>
      </c>
      <c r="Q2862" s="38" t="s">
        <v>2276</v>
      </c>
      <c r="R2862" s="38" t="s">
        <v>2276</v>
      </c>
      <c r="S2862" s="38" t="s">
        <v>2276</v>
      </c>
      <c r="T2862" s="38" t="s">
        <v>2276</v>
      </c>
      <c r="U2862" s="38" t="s">
        <v>2276</v>
      </c>
      <c r="V2862" s="38" t="s">
        <v>2276</v>
      </c>
      <c r="W2862" s="38" t="s">
        <v>2276</v>
      </c>
      <c r="X2862" s="38" t="s">
        <v>2276</v>
      </c>
      <c r="Y2862" s="38" t="s">
        <v>2276</v>
      </c>
      <c r="Z2862" s="38" t="s">
        <v>2276</v>
      </c>
      <c r="AA2862" s="204"/>
      <c r="AB2862" s="204"/>
    </row>
    <row r="2863" spans="1:28" ht="31" customHeight="1">
      <c r="A2863" s="152" t="str">
        <f>'Reported burning'!A2863</f>
        <v>306t</v>
      </c>
      <c r="B2863" s="152" t="str">
        <f>'Reported burning'!B2863</f>
        <v>306t.1</v>
      </c>
      <c r="C2863" s="152" t="str">
        <f>'Reported burning'!C2863</f>
        <v>Human, deliberate</v>
      </c>
      <c r="D2863" s="152" t="str">
        <f>'Reported burning'!D2863</f>
        <v>Pyrome management</v>
      </c>
      <c r="E2863" s="152" t="str">
        <f>'Reported burning'!E2863</f>
        <v>Fire suppression agent</v>
      </c>
      <c r="F2863" s="152" t="str">
        <f>'Reported burning'!F2863</f>
        <v>ND</v>
      </c>
      <c r="G2863" s="152" t="str">
        <f>'Reported burning'!G2863</f>
        <v>ND</v>
      </c>
      <c r="H2863" s="152" t="str">
        <f>'Reported burning'!H2863</f>
        <v>Presence</v>
      </c>
      <c r="I2863" s="204"/>
      <c r="J2863" s="38" t="s">
        <v>2276</v>
      </c>
      <c r="K2863" s="38" t="s">
        <v>2276</v>
      </c>
      <c r="L2863" s="38" t="s">
        <v>2276</v>
      </c>
      <c r="M2863" s="38" t="s">
        <v>2276</v>
      </c>
      <c r="N2863" s="38" t="s">
        <v>2276</v>
      </c>
      <c r="O2863" s="38" t="s">
        <v>2276</v>
      </c>
      <c r="P2863" s="103" t="s">
        <v>2378</v>
      </c>
      <c r="Q2863" s="38" t="s">
        <v>2276</v>
      </c>
      <c r="R2863" s="38" t="s">
        <v>2276</v>
      </c>
      <c r="S2863" s="38" t="s">
        <v>2276</v>
      </c>
      <c r="T2863" s="38" t="s">
        <v>2276</v>
      </c>
      <c r="U2863" s="38" t="s">
        <v>2276</v>
      </c>
      <c r="V2863" s="38" t="s">
        <v>2276</v>
      </c>
      <c r="W2863" s="38" t="s">
        <v>2276</v>
      </c>
      <c r="X2863" s="38" t="s">
        <v>2276</v>
      </c>
      <c r="Y2863" s="38" t="s">
        <v>2276</v>
      </c>
      <c r="Z2863" s="38" t="s">
        <v>2276</v>
      </c>
      <c r="AA2863" s="204"/>
      <c r="AB2863" s="204"/>
    </row>
    <row r="2864" spans="1:28" ht="31" customHeight="1">
      <c r="A2864" s="152" t="str">
        <f>'Reported burning'!A2864</f>
        <v>306u</v>
      </c>
      <c r="B2864" s="152" t="str">
        <f>'Reported burning'!B2864</f>
        <v>306u.1</v>
      </c>
      <c r="C2864" s="152" t="str">
        <f>'Reported burning'!C2864</f>
        <v>Human, deliberate</v>
      </c>
      <c r="D2864" s="152" t="str">
        <f>'Reported burning'!D2864</f>
        <v>Pyrome management</v>
      </c>
      <c r="E2864" s="152" t="str">
        <f>'Reported burning'!E2864</f>
        <v>Fire suppression agent</v>
      </c>
      <c r="F2864" s="152" t="str">
        <f>'Reported burning'!F2864</f>
        <v>ND</v>
      </c>
      <c r="G2864" s="152" t="str">
        <f>'Reported burning'!G2864</f>
        <v>ND</v>
      </c>
      <c r="H2864" s="152" t="str">
        <f>'Reported burning'!H2864</f>
        <v>Presence</v>
      </c>
      <c r="I2864" s="204"/>
      <c r="J2864" s="38" t="s">
        <v>2276</v>
      </c>
      <c r="K2864" s="38" t="s">
        <v>2276</v>
      </c>
      <c r="L2864" s="38" t="s">
        <v>2276</v>
      </c>
      <c r="M2864" s="38" t="s">
        <v>2276</v>
      </c>
      <c r="N2864" s="38" t="s">
        <v>2276</v>
      </c>
      <c r="O2864" s="38" t="s">
        <v>2276</v>
      </c>
      <c r="P2864" s="103" t="s">
        <v>2377</v>
      </c>
      <c r="Q2864" s="38" t="s">
        <v>2276</v>
      </c>
      <c r="R2864" s="38" t="s">
        <v>2276</v>
      </c>
      <c r="S2864" s="38" t="s">
        <v>2276</v>
      </c>
      <c r="T2864" s="38" t="s">
        <v>2276</v>
      </c>
      <c r="U2864" s="38" t="s">
        <v>2276</v>
      </c>
      <c r="V2864" s="38" t="s">
        <v>2276</v>
      </c>
      <c r="W2864" s="38" t="s">
        <v>2276</v>
      </c>
      <c r="X2864" s="38" t="s">
        <v>2276</v>
      </c>
      <c r="Y2864" s="38" t="s">
        <v>2276</v>
      </c>
      <c r="Z2864" s="38" t="s">
        <v>2276</v>
      </c>
      <c r="AA2864" s="204"/>
      <c r="AB2864" s="204"/>
    </row>
    <row r="2865" spans="1:28" ht="31" customHeight="1">
      <c r="A2865" s="152" t="str">
        <f>'Reported burning'!A2865</f>
        <v>306v</v>
      </c>
      <c r="B2865" s="152" t="str">
        <f>'Reported burning'!B2865</f>
        <v>306v.1</v>
      </c>
      <c r="C2865" s="152" t="str">
        <f>'Reported burning'!C2865</f>
        <v>Human, deliberate</v>
      </c>
      <c r="D2865" s="152" t="str">
        <f>'Reported burning'!D2865</f>
        <v>Pyrome management</v>
      </c>
      <c r="E2865" s="152" t="str">
        <f>'Reported burning'!E2865</f>
        <v>Fire suppression agent</v>
      </c>
      <c r="F2865" s="152" t="str">
        <f>'Reported burning'!F2865</f>
        <v>ND</v>
      </c>
      <c r="G2865" s="152" t="str">
        <f>'Reported burning'!G2865</f>
        <v>ND</v>
      </c>
      <c r="H2865" s="152" t="str">
        <f>'Reported burning'!H2865</f>
        <v>Presence</v>
      </c>
      <c r="I2865" s="204"/>
      <c r="J2865" s="38" t="s">
        <v>2276</v>
      </c>
      <c r="K2865" s="38" t="s">
        <v>2276</v>
      </c>
      <c r="L2865" s="38" t="s">
        <v>2276</v>
      </c>
      <c r="M2865" s="38" t="s">
        <v>2276</v>
      </c>
      <c r="N2865" s="38" t="s">
        <v>2276</v>
      </c>
      <c r="O2865" s="38" t="s">
        <v>2276</v>
      </c>
      <c r="P2865" s="103" t="s">
        <v>2378</v>
      </c>
      <c r="Q2865" s="38" t="s">
        <v>2276</v>
      </c>
      <c r="R2865" s="38" t="s">
        <v>2276</v>
      </c>
      <c r="S2865" s="38" t="s">
        <v>2276</v>
      </c>
      <c r="T2865" s="38" t="s">
        <v>2276</v>
      </c>
      <c r="U2865" s="38" t="s">
        <v>2276</v>
      </c>
      <c r="V2865" s="38" t="s">
        <v>2276</v>
      </c>
      <c r="W2865" s="38" t="s">
        <v>2276</v>
      </c>
      <c r="X2865" s="38" t="s">
        <v>2276</v>
      </c>
      <c r="Y2865" s="38" t="s">
        <v>2276</v>
      </c>
      <c r="Z2865" s="38" t="s">
        <v>2276</v>
      </c>
      <c r="AA2865" s="204"/>
      <c r="AB2865" s="204"/>
    </row>
    <row r="2866" spans="1:28" ht="31" customHeight="1">
      <c r="A2866" s="152" t="str">
        <f>'Reported burning'!A2866</f>
        <v>306w</v>
      </c>
      <c r="B2866" s="152" t="str">
        <f>'Reported burning'!B2866</f>
        <v>306w.1</v>
      </c>
      <c r="C2866" s="152" t="str">
        <f>'Reported burning'!C2866</f>
        <v>Human, deliberate</v>
      </c>
      <c r="D2866" s="152" t="str">
        <f>'Reported burning'!D2866</f>
        <v>Pyrome management</v>
      </c>
      <c r="E2866" s="152" t="str">
        <f>'Reported burning'!E2866</f>
        <v>Fire suppression agent</v>
      </c>
      <c r="F2866" s="152" t="str">
        <f>'Reported burning'!F2866</f>
        <v>ND</v>
      </c>
      <c r="G2866" s="152" t="str">
        <f>'Reported burning'!G2866</f>
        <v>ND</v>
      </c>
      <c r="H2866" s="152" t="str">
        <f>'Reported burning'!H2866</f>
        <v>Presence</v>
      </c>
      <c r="I2866" s="204"/>
      <c r="J2866" s="38" t="s">
        <v>2276</v>
      </c>
      <c r="K2866" s="38" t="s">
        <v>2276</v>
      </c>
      <c r="L2866" s="38" t="s">
        <v>2276</v>
      </c>
      <c r="M2866" s="38" t="s">
        <v>2276</v>
      </c>
      <c r="N2866" s="38" t="s">
        <v>2276</v>
      </c>
      <c r="O2866" s="38" t="s">
        <v>2276</v>
      </c>
      <c r="P2866" s="103" t="s">
        <v>2377</v>
      </c>
      <c r="Q2866" s="38" t="s">
        <v>2276</v>
      </c>
      <c r="R2866" s="38" t="s">
        <v>2276</v>
      </c>
      <c r="S2866" s="38" t="s">
        <v>2276</v>
      </c>
      <c r="T2866" s="38" t="s">
        <v>2276</v>
      </c>
      <c r="U2866" s="38" t="s">
        <v>2276</v>
      </c>
      <c r="V2866" s="38" t="s">
        <v>2276</v>
      </c>
      <c r="W2866" s="38" t="s">
        <v>2276</v>
      </c>
      <c r="X2866" s="38" t="s">
        <v>2276</v>
      </c>
      <c r="Y2866" s="38" t="s">
        <v>2276</v>
      </c>
      <c r="Z2866" s="38" t="s">
        <v>2276</v>
      </c>
      <c r="AA2866" s="204"/>
      <c r="AB2866" s="204"/>
    </row>
    <row r="2867" spans="1:28" ht="31" customHeight="1">
      <c r="A2867" s="152" t="str">
        <f>'Reported burning'!A2867</f>
        <v>306x</v>
      </c>
      <c r="B2867" s="152" t="str">
        <f>'Reported burning'!B2867</f>
        <v>306x.1</v>
      </c>
      <c r="C2867" s="152" t="str">
        <f>'Reported burning'!C2867</f>
        <v>Human, deliberate</v>
      </c>
      <c r="D2867" s="152" t="str">
        <f>'Reported burning'!D2867</f>
        <v>Pyrome management</v>
      </c>
      <c r="E2867" s="152" t="str">
        <f>'Reported burning'!E2867</f>
        <v>Fire suppression agent</v>
      </c>
      <c r="F2867" s="152" t="str">
        <f>'Reported burning'!F2867</f>
        <v>ND</v>
      </c>
      <c r="G2867" s="152" t="str">
        <f>'Reported burning'!G2867</f>
        <v>ND</v>
      </c>
      <c r="H2867" s="152" t="str">
        <f>'Reported burning'!H2867</f>
        <v>Presence</v>
      </c>
      <c r="I2867" s="204"/>
      <c r="J2867" s="38" t="s">
        <v>2276</v>
      </c>
      <c r="K2867" s="38" t="s">
        <v>2276</v>
      </c>
      <c r="L2867" s="38" t="s">
        <v>2276</v>
      </c>
      <c r="M2867" s="38" t="s">
        <v>2276</v>
      </c>
      <c r="N2867" s="38" t="s">
        <v>2276</v>
      </c>
      <c r="O2867" s="38" t="s">
        <v>2276</v>
      </c>
      <c r="P2867" s="103" t="s">
        <v>2378</v>
      </c>
      <c r="Q2867" s="38" t="s">
        <v>2276</v>
      </c>
      <c r="R2867" s="38" t="s">
        <v>2276</v>
      </c>
      <c r="S2867" s="38" t="s">
        <v>2276</v>
      </c>
      <c r="T2867" s="38" t="s">
        <v>2276</v>
      </c>
      <c r="U2867" s="38" t="s">
        <v>2276</v>
      </c>
      <c r="V2867" s="38" t="s">
        <v>2276</v>
      </c>
      <c r="W2867" s="38" t="s">
        <v>2276</v>
      </c>
      <c r="X2867" s="38" t="s">
        <v>2276</v>
      </c>
      <c r="Y2867" s="38" t="s">
        <v>2276</v>
      </c>
      <c r="Z2867" s="38" t="s">
        <v>2276</v>
      </c>
      <c r="AA2867" s="204"/>
      <c r="AB2867" s="204"/>
    </row>
    <row r="2868" spans="1:28" ht="31" customHeight="1">
      <c r="A2868" s="152" t="str">
        <f>'Reported burning'!A2868</f>
        <v>306y</v>
      </c>
      <c r="B2868" s="152" t="str">
        <f>'Reported burning'!B2868</f>
        <v>306y.1</v>
      </c>
      <c r="C2868" s="152" t="str">
        <f>'Reported burning'!C2868</f>
        <v>Human, deliberate</v>
      </c>
      <c r="D2868" s="152" t="str">
        <f>'Reported burning'!D2868</f>
        <v>Pyrome management</v>
      </c>
      <c r="E2868" s="152" t="str">
        <f>'Reported burning'!E2868</f>
        <v>Fire suppression agent</v>
      </c>
      <c r="F2868" s="152" t="str">
        <f>'Reported burning'!F2868</f>
        <v>ND</v>
      </c>
      <c r="G2868" s="152" t="str">
        <f>'Reported burning'!G2868</f>
        <v>ND</v>
      </c>
      <c r="H2868" s="152" t="str">
        <f>'Reported burning'!H2868</f>
        <v>Presence</v>
      </c>
      <c r="I2868" s="204"/>
      <c r="J2868" s="38" t="s">
        <v>2276</v>
      </c>
      <c r="K2868" s="38" t="s">
        <v>2276</v>
      </c>
      <c r="L2868" s="38" t="s">
        <v>2276</v>
      </c>
      <c r="M2868" s="38" t="s">
        <v>2276</v>
      </c>
      <c r="N2868" s="38" t="s">
        <v>2276</v>
      </c>
      <c r="O2868" s="38" t="s">
        <v>2276</v>
      </c>
      <c r="P2868" s="103" t="s">
        <v>2379</v>
      </c>
      <c r="Q2868" s="38" t="s">
        <v>2276</v>
      </c>
      <c r="R2868" s="38" t="s">
        <v>2276</v>
      </c>
      <c r="S2868" s="38" t="s">
        <v>2276</v>
      </c>
      <c r="T2868" s="38" t="s">
        <v>2276</v>
      </c>
      <c r="U2868" s="38" t="s">
        <v>2276</v>
      </c>
      <c r="V2868" s="38" t="s">
        <v>2276</v>
      </c>
      <c r="W2868" s="38" t="s">
        <v>2276</v>
      </c>
      <c r="X2868" s="38" t="s">
        <v>2276</v>
      </c>
      <c r="Y2868" s="38" t="s">
        <v>2276</v>
      </c>
      <c r="Z2868" s="38" t="s">
        <v>2276</v>
      </c>
      <c r="AA2868" s="204"/>
      <c r="AB2868" s="204"/>
    </row>
    <row r="2869" spans="1:28" ht="31" customHeight="1">
      <c r="A2869" s="152" t="str">
        <f>'Reported burning'!A2869</f>
        <v>306z</v>
      </c>
      <c r="B2869" s="152" t="str">
        <f>'Reported burning'!B2869</f>
        <v>306z.1</v>
      </c>
      <c r="C2869" s="152" t="str">
        <f>'Reported burning'!C2869</f>
        <v>Human, deliberate</v>
      </c>
      <c r="D2869" s="152" t="str">
        <f>'Reported burning'!D2869</f>
        <v>Pyrome management</v>
      </c>
      <c r="E2869" s="152" t="str">
        <f>'Reported burning'!E2869</f>
        <v>Fire suppression agent</v>
      </c>
      <c r="F2869" s="152" t="str">
        <f>'Reported burning'!F2869</f>
        <v>ND</v>
      </c>
      <c r="G2869" s="152" t="str">
        <f>'Reported burning'!G2869</f>
        <v>ND</v>
      </c>
      <c r="H2869" s="152" t="str">
        <f>'Reported burning'!H2869</f>
        <v>Presence</v>
      </c>
      <c r="I2869" s="204"/>
      <c r="J2869" s="38" t="s">
        <v>2276</v>
      </c>
      <c r="K2869" s="38" t="s">
        <v>2276</v>
      </c>
      <c r="L2869" s="38" t="s">
        <v>2276</v>
      </c>
      <c r="M2869" s="38" t="s">
        <v>2276</v>
      </c>
      <c r="N2869" s="38" t="s">
        <v>2276</v>
      </c>
      <c r="O2869" s="38" t="s">
        <v>2276</v>
      </c>
      <c r="P2869" s="103" t="s">
        <v>2380</v>
      </c>
      <c r="Q2869" s="38" t="s">
        <v>2276</v>
      </c>
      <c r="R2869" s="38" t="s">
        <v>2276</v>
      </c>
      <c r="S2869" s="38" t="s">
        <v>2276</v>
      </c>
      <c r="T2869" s="38" t="s">
        <v>2276</v>
      </c>
      <c r="U2869" s="38" t="s">
        <v>2276</v>
      </c>
      <c r="V2869" s="38" t="s">
        <v>2276</v>
      </c>
      <c r="W2869" s="38" t="s">
        <v>2276</v>
      </c>
      <c r="X2869" s="38" t="s">
        <v>2276</v>
      </c>
      <c r="Y2869" s="38" t="s">
        <v>2276</v>
      </c>
      <c r="Z2869" s="38" t="s">
        <v>2276</v>
      </c>
      <c r="AA2869" s="204"/>
      <c r="AB2869" s="204"/>
    </row>
    <row r="2870" spans="1:28" ht="31" customHeight="1">
      <c r="A2870" s="152" t="str">
        <f>'Reported burning'!A2870</f>
        <v>306aa</v>
      </c>
      <c r="B2870" s="152" t="str">
        <f>'Reported burning'!B2870</f>
        <v>306aa.1</v>
      </c>
      <c r="C2870" s="152" t="str">
        <f>'Reported burning'!C2870</f>
        <v>Human, deliberate</v>
      </c>
      <c r="D2870" s="152" t="str">
        <f>'Reported burning'!D2870</f>
        <v>Pyrome management</v>
      </c>
      <c r="E2870" s="152" t="str">
        <f>'Reported burning'!E2870</f>
        <v>Fire suppression agent</v>
      </c>
      <c r="F2870" s="152" t="str">
        <f>'Reported burning'!F2870</f>
        <v>ND</v>
      </c>
      <c r="G2870" s="152" t="str">
        <f>'Reported burning'!G2870</f>
        <v>ND</v>
      </c>
      <c r="H2870" s="152" t="str">
        <f>'Reported burning'!H2870</f>
        <v>Presence</v>
      </c>
      <c r="I2870" s="204"/>
      <c r="J2870" s="38" t="s">
        <v>2276</v>
      </c>
      <c r="K2870" s="38" t="s">
        <v>2276</v>
      </c>
      <c r="L2870" s="38" t="s">
        <v>2276</v>
      </c>
      <c r="M2870" s="38" t="s">
        <v>2276</v>
      </c>
      <c r="N2870" s="38" t="s">
        <v>2276</v>
      </c>
      <c r="O2870" s="38" t="s">
        <v>2276</v>
      </c>
      <c r="P2870" s="103" t="s">
        <v>2378</v>
      </c>
      <c r="Q2870" s="38" t="s">
        <v>2276</v>
      </c>
      <c r="R2870" s="38" t="s">
        <v>2276</v>
      </c>
      <c r="S2870" s="38" t="s">
        <v>2276</v>
      </c>
      <c r="T2870" s="38" t="s">
        <v>2276</v>
      </c>
      <c r="U2870" s="38" t="s">
        <v>2276</v>
      </c>
      <c r="V2870" s="38" t="s">
        <v>2276</v>
      </c>
      <c r="W2870" s="38" t="s">
        <v>2276</v>
      </c>
      <c r="X2870" s="38" t="s">
        <v>2276</v>
      </c>
      <c r="Y2870" s="38" t="s">
        <v>2276</v>
      </c>
      <c r="Z2870" s="38" t="s">
        <v>2276</v>
      </c>
      <c r="AA2870" s="204"/>
      <c r="AB2870" s="204"/>
    </row>
    <row r="2871" spans="1:28" ht="31" customHeight="1">
      <c r="A2871" s="152" t="str">
        <f>'Reported burning'!A2871</f>
        <v>306ab</v>
      </c>
      <c r="B2871" s="152" t="str">
        <f>'Reported burning'!B2871</f>
        <v>306ab.1</v>
      </c>
      <c r="C2871" s="152" t="str">
        <f>'Reported burning'!C2871</f>
        <v>Human, deliberate</v>
      </c>
      <c r="D2871" s="152" t="str">
        <f>'Reported burning'!D2871</f>
        <v>Pyrome management</v>
      </c>
      <c r="E2871" s="152" t="str">
        <f>'Reported burning'!E2871</f>
        <v>Fire suppression agent</v>
      </c>
      <c r="F2871" s="152" t="str">
        <f>'Reported burning'!F2871</f>
        <v>ND</v>
      </c>
      <c r="G2871" s="152" t="str">
        <f>'Reported burning'!G2871</f>
        <v>ND</v>
      </c>
      <c r="H2871" s="152" t="str">
        <f>'Reported burning'!H2871</f>
        <v>Presence</v>
      </c>
      <c r="I2871" s="204"/>
      <c r="J2871" s="38" t="s">
        <v>2276</v>
      </c>
      <c r="K2871" s="38" t="s">
        <v>2276</v>
      </c>
      <c r="L2871" s="38" t="s">
        <v>2276</v>
      </c>
      <c r="M2871" s="38" t="s">
        <v>2276</v>
      </c>
      <c r="N2871" s="38" t="s">
        <v>2276</v>
      </c>
      <c r="O2871" s="38" t="s">
        <v>2276</v>
      </c>
      <c r="P2871" s="103" t="s">
        <v>2377</v>
      </c>
      <c r="Q2871" s="38" t="s">
        <v>2276</v>
      </c>
      <c r="R2871" s="38" t="s">
        <v>2276</v>
      </c>
      <c r="S2871" s="38" t="s">
        <v>2276</v>
      </c>
      <c r="T2871" s="38" t="s">
        <v>2276</v>
      </c>
      <c r="U2871" s="38" t="s">
        <v>2276</v>
      </c>
      <c r="V2871" s="38" t="s">
        <v>2276</v>
      </c>
      <c r="W2871" s="38" t="s">
        <v>2276</v>
      </c>
      <c r="X2871" s="38" t="s">
        <v>2276</v>
      </c>
      <c r="Y2871" s="38" t="s">
        <v>2276</v>
      </c>
      <c r="Z2871" s="38" t="s">
        <v>2276</v>
      </c>
      <c r="AA2871" s="204"/>
      <c r="AB2871" s="204"/>
    </row>
    <row r="2872" spans="1:28" ht="31" customHeight="1">
      <c r="A2872" s="152" t="str">
        <f>'Reported burning'!A2872</f>
        <v>306ac</v>
      </c>
      <c r="B2872" s="152" t="str">
        <f>'Reported burning'!B2872</f>
        <v>306ac.1</v>
      </c>
      <c r="C2872" s="152" t="str">
        <f>'Reported burning'!C2872</f>
        <v>Human, deliberate</v>
      </c>
      <c r="D2872" s="152" t="str">
        <f>'Reported burning'!D2872</f>
        <v>Pyrome management</v>
      </c>
      <c r="E2872" s="152" t="str">
        <f>'Reported burning'!E2872</f>
        <v>Fire suppression agent</v>
      </c>
      <c r="F2872" s="152" t="str">
        <f>'Reported burning'!F2872</f>
        <v>ND</v>
      </c>
      <c r="G2872" s="152" t="str">
        <f>'Reported burning'!G2872</f>
        <v>ND</v>
      </c>
      <c r="H2872" s="152" t="str">
        <f>'Reported burning'!H2872</f>
        <v>Presence</v>
      </c>
      <c r="I2872" s="204"/>
      <c r="J2872" s="38" t="s">
        <v>2276</v>
      </c>
      <c r="K2872" s="38" t="s">
        <v>2276</v>
      </c>
      <c r="L2872" s="38" t="s">
        <v>2276</v>
      </c>
      <c r="M2872" s="38" t="s">
        <v>2276</v>
      </c>
      <c r="N2872" s="38" t="s">
        <v>2276</v>
      </c>
      <c r="O2872" s="38" t="s">
        <v>2276</v>
      </c>
      <c r="P2872" s="103" t="s">
        <v>2377</v>
      </c>
      <c r="Q2872" s="38" t="s">
        <v>2276</v>
      </c>
      <c r="R2872" s="38" t="s">
        <v>2276</v>
      </c>
      <c r="S2872" s="38" t="s">
        <v>2276</v>
      </c>
      <c r="T2872" s="38" t="s">
        <v>2276</v>
      </c>
      <c r="U2872" s="38" t="s">
        <v>2276</v>
      </c>
      <c r="V2872" s="38" t="s">
        <v>2276</v>
      </c>
      <c r="W2872" s="38" t="s">
        <v>2276</v>
      </c>
      <c r="X2872" s="38" t="s">
        <v>2276</v>
      </c>
      <c r="Y2872" s="38" t="s">
        <v>2276</v>
      </c>
      <c r="Z2872" s="38" t="s">
        <v>2276</v>
      </c>
      <c r="AA2872" s="204"/>
      <c r="AB2872" s="204"/>
    </row>
    <row r="2873" spans="1:28" ht="31" customHeight="1">
      <c r="A2873" s="152" t="str">
        <f>'Reported burning'!A2873</f>
        <v>306ad</v>
      </c>
      <c r="B2873" s="152" t="str">
        <f>'Reported burning'!B2873</f>
        <v>306ad.1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38" t="s">
        <v>2276</v>
      </c>
      <c r="K2873" s="38" t="s">
        <v>2276</v>
      </c>
      <c r="L2873" s="38" t="s">
        <v>2276</v>
      </c>
      <c r="M2873" s="38" t="s">
        <v>2276</v>
      </c>
      <c r="N2873" s="38" t="s">
        <v>2276</v>
      </c>
      <c r="O2873" s="38" t="s">
        <v>2276</v>
      </c>
      <c r="P2873" s="103" t="s">
        <v>2378</v>
      </c>
      <c r="Q2873" s="38" t="s">
        <v>2276</v>
      </c>
      <c r="R2873" s="38" t="s">
        <v>2276</v>
      </c>
      <c r="S2873" s="38" t="s">
        <v>2276</v>
      </c>
      <c r="T2873" s="38" t="s">
        <v>2276</v>
      </c>
      <c r="U2873" s="38" t="s">
        <v>2276</v>
      </c>
      <c r="V2873" s="38" t="s">
        <v>2276</v>
      </c>
      <c r="W2873" s="38" t="s">
        <v>2276</v>
      </c>
      <c r="X2873" s="38" t="s">
        <v>2276</v>
      </c>
      <c r="Y2873" s="38" t="s">
        <v>2276</v>
      </c>
      <c r="Z2873" s="38" t="s">
        <v>2276</v>
      </c>
      <c r="AA2873" s="204"/>
      <c r="AB2873" s="204"/>
    </row>
    <row r="2874" spans="1:28" ht="31" customHeight="1">
      <c r="A2874" s="152" t="str">
        <f>'Reported burning'!A2874</f>
        <v>306ae</v>
      </c>
      <c r="B2874" s="152" t="str">
        <f>'Reported burning'!B2874</f>
        <v>306ae.1</v>
      </c>
      <c r="C2874" s="152" t="str">
        <f>'Reported burning'!C2874</f>
        <v>Human, deliberate</v>
      </c>
      <c r="D2874" s="152" t="str">
        <f>'Reported burning'!D2874</f>
        <v>Pyrome management</v>
      </c>
      <c r="E2874" s="152" t="str">
        <f>'Reported burning'!E2874</f>
        <v>Fire suppression agent</v>
      </c>
      <c r="F2874" s="152" t="str">
        <f>'Reported burning'!F2874</f>
        <v>ND</v>
      </c>
      <c r="G2874" s="152" t="str">
        <f>'Reported burning'!G2874</f>
        <v>ND</v>
      </c>
      <c r="H2874" s="152" t="str">
        <f>'Reported burning'!H2874</f>
        <v>Presence</v>
      </c>
      <c r="I2874" s="204"/>
      <c r="J2874" s="38" t="s">
        <v>2276</v>
      </c>
      <c r="K2874" s="38" t="s">
        <v>2276</v>
      </c>
      <c r="L2874" s="38" t="s">
        <v>2276</v>
      </c>
      <c r="M2874" s="38" t="s">
        <v>2276</v>
      </c>
      <c r="N2874" s="38" t="s">
        <v>2276</v>
      </c>
      <c r="O2874" s="38" t="s">
        <v>2276</v>
      </c>
      <c r="P2874" s="103" t="s">
        <v>2378</v>
      </c>
      <c r="Q2874" s="38" t="s">
        <v>2276</v>
      </c>
      <c r="R2874" s="38" t="s">
        <v>2276</v>
      </c>
      <c r="S2874" s="38" t="s">
        <v>2276</v>
      </c>
      <c r="T2874" s="38" t="s">
        <v>2276</v>
      </c>
      <c r="U2874" s="38" t="s">
        <v>2276</v>
      </c>
      <c r="V2874" s="38" t="s">
        <v>2276</v>
      </c>
      <c r="W2874" s="38" t="s">
        <v>2276</v>
      </c>
      <c r="X2874" s="38" t="s">
        <v>2276</v>
      </c>
      <c r="Y2874" s="38" t="s">
        <v>2276</v>
      </c>
      <c r="Z2874" s="38" t="s">
        <v>2276</v>
      </c>
      <c r="AA2874" s="204"/>
      <c r="AB2874" s="204"/>
    </row>
    <row r="2875" spans="1:28" ht="31" customHeight="1">
      <c r="A2875" s="152" t="str">
        <f>'Reported burning'!A2875</f>
        <v>306af</v>
      </c>
      <c r="B2875" s="152" t="str">
        <f>'Reported burning'!B2875</f>
        <v>306af.1</v>
      </c>
      <c r="C2875" s="152" t="str">
        <f>'Reported burning'!C2875</f>
        <v>Human, deliberate</v>
      </c>
      <c r="D2875" s="152" t="str">
        <f>'Reported burning'!D2875</f>
        <v>Pyrome management</v>
      </c>
      <c r="E2875" s="152" t="str">
        <f>'Reported burning'!E2875</f>
        <v>Fire suppression agent</v>
      </c>
      <c r="F2875" s="152" t="str">
        <f>'Reported burning'!F2875</f>
        <v>ND</v>
      </c>
      <c r="G2875" s="152" t="str">
        <f>'Reported burning'!G2875</f>
        <v>ND</v>
      </c>
      <c r="H2875" s="152" t="str">
        <f>'Reported burning'!H2875</f>
        <v>Presence</v>
      </c>
      <c r="I2875" s="204"/>
      <c r="J2875" s="38" t="s">
        <v>2276</v>
      </c>
      <c r="K2875" s="38" t="s">
        <v>2276</v>
      </c>
      <c r="L2875" s="38" t="s">
        <v>2276</v>
      </c>
      <c r="M2875" s="38" t="s">
        <v>2276</v>
      </c>
      <c r="N2875" s="38" t="s">
        <v>2276</v>
      </c>
      <c r="O2875" s="38" t="s">
        <v>2276</v>
      </c>
      <c r="P2875" s="103" t="s">
        <v>2380</v>
      </c>
      <c r="Q2875" s="38" t="s">
        <v>2276</v>
      </c>
      <c r="R2875" s="38" t="s">
        <v>2276</v>
      </c>
      <c r="S2875" s="38" t="s">
        <v>2276</v>
      </c>
      <c r="T2875" s="38" t="s">
        <v>2276</v>
      </c>
      <c r="U2875" s="38" t="s">
        <v>2276</v>
      </c>
      <c r="V2875" s="38" t="s">
        <v>2276</v>
      </c>
      <c r="W2875" s="38" t="s">
        <v>2276</v>
      </c>
      <c r="X2875" s="38" t="s">
        <v>2276</v>
      </c>
      <c r="Y2875" s="38" t="s">
        <v>2276</v>
      </c>
      <c r="Z2875" s="38" t="s">
        <v>2276</v>
      </c>
      <c r="AA2875" s="204"/>
      <c r="AB2875" s="204"/>
    </row>
    <row r="2876" spans="1:28" ht="31" customHeight="1">
      <c r="A2876" s="152" t="str">
        <f>'Reported burning'!A2876</f>
        <v>306ag</v>
      </c>
      <c r="B2876" s="152" t="str">
        <f>'Reported burning'!B2876</f>
        <v>306ag.1</v>
      </c>
      <c r="C2876" s="152" t="str">
        <f>'Reported burning'!C2876</f>
        <v>Human, deliberate</v>
      </c>
      <c r="D2876" s="152" t="str">
        <f>'Reported burning'!D2876</f>
        <v>Pyrome management</v>
      </c>
      <c r="E2876" s="152" t="str">
        <f>'Reported burning'!E2876</f>
        <v>Fire suppression agent</v>
      </c>
      <c r="F2876" s="152" t="str">
        <f>'Reported burning'!F2876</f>
        <v>ND</v>
      </c>
      <c r="G2876" s="152" t="str">
        <f>'Reported burning'!G2876</f>
        <v>ND</v>
      </c>
      <c r="H2876" s="152" t="str">
        <f>'Reported burning'!H2876</f>
        <v>Presence</v>
      </c>
      <c r="I2876" s="204"/>
      <c r="J2876" s="38" t="s">
        <v>2276</v>
      </c>
      <c r="K2876" s="38" t="s">
        <v>2276</v>
      </c>
      <c r="L2876" s="38" t="s">
        <v>2276</v>
      </c>
      <c r="M2876" s="38" t="s">
        <v>2276</v>
      </c>
      <c r="N2876" s="38" t="s">
        <v>2276</v>
      </c>
      <c r="O2876" s="38" t="s">
        <v>2276</v>
      </c>
      <c r="P2876" s="103" t="s">
        <v>2362</v>
      </c>
      <c r="Q2876" s="38" t="s">
        <v>2276</v>
      </c>
      <c r="R2876" s="38" t="s">
        <v>2276</v>
      </c>
      <c r="S2876" s="38" t="s">
        <v>2276</v>
      </c>
      <c r="T2876" s="38" t="s">
        <v>2276</v>
      </c>
      <c r="U2876" s="38" t="s">
        <v>2276</v>
      </c>
      <c r="V2876" s="38" t="s">
        <v>2276</v>
      </c>
      <c r="W2876" s="38" t="s">
        <v>2276</v>
      </c>
      <c r="X2876" s="38" t="s">
        <v>2276</v>
      </c>
      <c r="Y2876" s="38" t="s">
        <v>2276</v>
      </c>
      <c r="Z2876" s="38" t="s">
        <v>2276</v>
      </c>
      <c r="AA2876" s="204"/>
      <c r="AB2876" s="204"/>
    </row>
    <row r="2877" spans="1:28" ht="31" customHeight="1">
      <c r="A2877" s="152" t="str">
        <f>'Reported burning'!A2877</f>
        <v>306ah</v>
      </c>
      <c r="B2877" s="152" t="str">
        <f>'Reported burning'!B2877</f>
        <v>306ah.1</v>
      </c>
      <c r="C2877" s="152" t="str">
        <f>'Reported burning'!C2877</f>
        <v>Human, deliberate</v>
      </c>
      <c r="D2877" s="152" t="str">
        <f>'Reported burning'!D2877</f>
        <v>Pyrome management</v>
      </c>
      <c r="E2877" s="152" t="str">
        <f>'Reported burning'!E2877</f>
        <v>Fire suppression agent</v>
      </c>
      <c r="F2877" s="152" t="str">
        <f>'Reported burning'!F2877</f>
        <v>ND</v>
      </c>
      <c r="G2877" s="152" t="str">
        <f>'Reported burning'!G2877</f>
        <v>ND</v>
      </c>
      <c r="H2877" s="152" t="str">
        <f>'Reported burning'!H2877</f>
        <v>Presence</v>
      </c>
      <c r="I2877" s="204"/>
      <c r="J2877" s="38" t="s">
        <v>2276</v>
      </c>
      <c r="K2877" s="38" t="s">
        <v>2276</v>
      </c>
      <c r="L2877" s="38" t="s">
        <v>2276</v>
      </c>
      <c r="M2877" s="38" t="s">
        <v>2276</v>
      </c>
      <c r="N2877" s="38" t="s">
        <v>2276</v>
      </c>
      <c r="O2877" s="38" t="s">
        <v>2276</v>
      </c>
      <c r="P2877" s="103" t="s">
        <v>2380</v>
      </c>
      <c r="Q2877" s="38" t="s">
        <v>2276</v>
      </c>
      <c r="R2877" s="38" t="s">
        <v>2276</v>
      </c>
      <c r="S2877" s="38" t="s">
        <v>2276</v>
      </c>
      <c r="T2877" s="38" t="s">
        <v>2276</v>
      </c>
      <c r="U2877" s="38" t="s">
        <v>2276</v>
      </c>
      <c r="V2877" s="38" t="s">
        <v>2276</v>
      </c>
      <c r="W2877" s="38" t="s">
        <v>2276</v>
      </c>
      <c r="X2877" s="38" t="s">
        <v>2276</v>
      </c>
      <c r="Y2877" s="38" t="s">
        <v>2276</v>
      </c>
      <c r="Z2877" s="38" t="s">
        <v>2276</v>
      </c>
      <c r="AA2877" s="204"/>
      <c r="AB2877" s="204"/>
    </row>
    <row r="2878" spans="1:28" ht="31" customHeight="1">
      <c r="A2878" s="152" t="str">
        <f>'Reported burning'!A2878</f>
        <v>306ai</v>
      </c>
      <c r="B2878" s="152" t="str">
        <f>'Reported burning'!B2878</f>
        <v>306ai.1</v>
      </c>
      <c r="C2878" s="152" t="str">
        <f>'Reported burning'!C2878</f>
        <v>Human, deliberate</v>
      </c>
      <c r="D2878" s="152" t="str">
        <f>'Reported burning'!D2878</f>
        <v>Pyrome management</v>
      </c>
      <c r="E2878" s="152" t="str">
        <f>'Reported burning'!E2878</f>
        <v>Fire suppression agent</v>
      </c>
      <c r="F2878" s="152" t="str">
        <f>'Reported burning'!F2878</f>
        <v>ND</v>
      </c>
      <c r="G2878" s="152" t="str">
        <f>'Reported burning'!G2878</f>
        <v>ND</v>
      </c>
      <c r="H2878" s="152" t="str">
        <f>'Reported burning'!H2878</f>
        <v>Absence</v>
      </c>
      <c r="I2878" s="204"/>
      <c r="J2878" s="38" t="s">
        <v>2276</v>
      </c>
      <c r="K2878" s="38" t="s">
        <v>2276</v>
      </c>
      <c r="L2878" s="38" t="s">
        <v>2276</v>
      </c>
      <c r="M2878" s="38" t="s">
        <v>2276</v>
      </c>
      <c r="N2878" s="38" t="s">
        <v>2276</v>
      </c>
      <c r="O2878" s="38" t="s">
        <v>2276</v>
      </c>
      <c r="P2878" s="103">
        <v>0</v>
      </c>
      <c r="Q2878" s="38" t="s">
        <v>2276</v>
      </c>
      <c r="R2878" s="38" t="s">
        <v>2276</v>
      </c>
      <c r="S2878" s="38" t="s">
        <v>2276</v>
      </c>
      <c r="T2878" s="38" t="s">
        <v>2276</v>
      </c>
      <c r="U2878" s="38" t="s">
        <v>2276</v>
      </c>
      <c r="V2878" s="38" t="s">
        <v>2276</v>
      </c>
      <c r="W2878" s="38" t="s">
        <v>2276</v>
      </c>
      <c r="X2878" s="38" t="s">
        <v>2276</v>
      </c>
      <c r="Y2878" s="38" t="s">
        <v>2276</v>
      </c>
      <c r="Z2878" s="38" t="s">
        <v>2276</v>
      </c>
      <c r="AA2878" s="204"/>
      <c r="AB2878" s="204"/>
    </row>
    <row r="2879" spans="1:28" ht="31" customHeight="1">
      <c r="A2879" s="152" t="str">
        <f>'Reported burning'!A2879</f>
        <v>306aj</v>
      </c>
      <c r="B2879" s="152" t="str">
        <f>'Reported burning'!B2879</f>
        <v>306aj.1</v>
      </c>
      <c r="C2879" s="152" t="str">
        <f>'Reported burning'!C2879</f>
        <v>Human, deliberate</v>
      </c>
      <c r="D2879" s="152" t="str">
        <f>'Reported burning'!D2879</f>
        <v>Pyrome management</v>
      </c>
      <c r="E2879" s="152" t="str">
        <f>'Reported burning'!E2879</f>
        <v>Fire suppression agent</v>
      </c>
      <c r="F2879" s="152" t="str">
        <f>'Reported burning'!F2879</f>
        <v>ND</v>
      </c>
      <c r="G2879" s="152" t="str">
        <f>'Reported burning'!G2879</f>
        <v>ND</v>
      </c>
      <c r="H2879" s="152" t="str">
        <f>'Reported burning'!H2879</f>
        <v>Presence</v>
      </c>
      <c r="I2879" s="204"/>
      <c r="J2879" s="38" t="s">
        <v>2276</v>
      </c>
      <c r="K2879" s="38" t="s">
        <v>2276</v>
      </c>
      <c r="L2879" s="38" t="s">
        <v>2276</v>
      </c>
      <c r="M2879" s="38" t="s">
        <v>2276</v>
      </c>
      <c r="N2879" s="38" t="s">
        <v>2276</v>
      </c>
      <c r="O2879" s="38" t="s">
        <v>2276</v>
      </c>
      <c r="P2879" s="103" t="s">
        <v>2380</v>
      </c>
      <c r="Q2879" s="38" t="s">
        <v>2276</v>
      </c>
      <c r="R2879" s="38" t="s">
        <v>2276</v>
      </c>
      <c r="S2879" s="38" t="s">
        <v>2276</v>
      </c>
      <c r="T2879" s="38" t="s">
        <v>2276</v>
      </c>
      <c r="U2879" s="38" t="s">
        <v>2276</v>
      </c>
      <c r="V2879" s="38" t="s">
        <v>2276</v>
      </c>
      <c r="W2879" s="38" t="s">
        <v>2276</v>
      </c>
      <c r="X2879" s="38" t="s">
        <v>2276</v>
      </c>
      <c r="Y2879" s="38" t="s">
        <v>2276</v>
      </c>
      <c r="Z2879" s="38" t="s">
        <v>2276</v>
      </c>
      <c r="AA2879" s="204"/>
      <c r="AB2879" s="204"/>
    </row>
    <row r="2880" spans="1:28" ht="31" customHeight="1">
      <c r="A2880" s="152" t="str">
        <f>'Reported burning'!A2880</f>
        <v>306ak</v>
      </c>
      <c r="B2880" s="152" t="str">
        <f>'Reported burning'!B2880</f>
        <v>306ak.1</v>
      </c>
      <c r="C2880" s="152" t="str">
        <f>'Reported burning'!C2880</f>
        <v>Human, deliberate</v>
      </c>
      <c r="D2880" s="152" t="str">
        <f>'Reported burning'!D2880</f>
        <v>Pyrome management</v>
      </c>
      <c r="E2880" s="152" t="str">
        <f>'Reported burning'!E2880</f>
        <v>Fire suppression agent</v>
      </c>
      <c r="F2880" s="152" t="str">
        <f>'Reported burning'!F2880</f>
        <v>ND</v>
      </c>
      <c r="G2880" s="152" t="str">
        <f>'Reported burning'!G2880</f>
        <v>ND</v>
      </c>
      <c r="H2880" s="152" t="str">
        <f>'Reported burning'!H2880</f>
        <v>Presence</v>
      </c>
      <c r="I2880" s="204"/>
      <c r="J2880" s="38" t="s">
        <v>2276</v>
      </c>
      <c r="K2880" s="38" t="s">
        <v>2276</v>
      </c>
      <c r="L2880" s="38" t="s">
        <v>2276</v>
      </c>
      <c r="M2880" s="38" t="s">
        <v>2276</v>
      </c>
      <c r="N2880" s="38" t="s">
        <v>2276</v>
      </c>
      <c r="O2880" s="38" t="s">
        <v>2276</v>
      </c>
      <c r="P2880" s="103" t="s">
        <v>2378</v>
      </c>
      <c r="Q2880" s="38" t="s">
        <v>2276</v>
      </c>
      <c r="R2880" s="38" t="s">
        <v>2276</v>
      </c>
      <c r="S2880" s="38" t="s">
        <v>2276</v>
      </c>
      <c r="T2880" s="38" t="s">
        <v>2276</v>
      </c>
      <c r="U2880" s="38" t="s">
        <v>2276</v>
      </c>
      <c r="V2880" s="38" t="s">
        <v>2276</v>
      </c>
      <c r="W2880" s="38" t="s">
        <v>2276</v>
      </c>
      <c r="X2880" s="38" t="s">
        <v>2276</v>
      </c>
      <c r="Y2880" s="38" t="s">
        <v>2276</v>
      </c>
      <c r="Z2880" s="38" t="s">
        <v>2276</v>
      </c>
      <c r="AA2880" s="204"/>
      <c r="AB2880" s="204"/>
    </row>
    <row r="2881" spans="1:28" ht="31" customHeight="1">
      <c r="A2881" s="152" t="str">
        <f>'Reported burning'!A2881</f>
        <v>306al</v>
      </c>
      <c r="B2881" s="152" t="str">
        <f>'Reported burning'!B2881</f>
        <v>306al.1</v>
      </c>
      <c r="C2881" s="152" t="str">
        <f>'Reported burning'!C2881</f>
        <v>Human, deliberate</v>
      </c>
      <c r="D2881" s="152" t="str">
        <f>'Reported burning'!D2881</f>
        <v>Pyrome management</v>
      </c>
      <c r="E2881" s="152" t="str">
        <f>'Reported burning'!E2881</f>
        <v>Fire suppression agent</v>
      </c>
      <c r="F2881" s="152" t="str">
        <f>'Reported burning'!F2881</f>
        <v>ND</v>
      </c>
      <c r="G2881" s="152" t="str">
        <f>'Reported burning'!G2881</f>
        <v>ND</v>
      </c>
      <c r="H2881" s="152" t="str">
        <f>'Reported burning'!H2881</f>
        <v>Presence</v>
      </c>
      <c r="I2881" s="204"/>
      <c r="J2881" s="38" t="s">
        <v>2276</v>
      </c>
      <c r="K2881" s="38" t="s">
        <v>2276</v>
      </c>
      <c r="L2881" s="38" t="s">
        <v>2276</v>
      </c>
      <c r="M2881" s="38" t="s">
        <v>2276</v>
      </c>
      <c r="N2881" s="38" t="s">
        <v>2276</v>
      </c>
      <c r="O2881" s="38" t="s">
        <v>2276</v>
      </c>
      <c r="P2881" s="103" t="s">
        <v>2380</v>
      </c>
      <c r="Q2881" s="38" t="s">
        <v>2276</v>
      </c>
      <c r="R2881" s="38" t="s">
        <v>2276</v>
      </c>
      <c r="S2881" s="38" t="s">
        <v>2276</v>
      </c>
      <c r="T2881" s="38" t="s">
        <v>2276</v>
      </c>
      <c r="U2881" s="38" t="s">
        <v>2276</v>
      </c>
      <c r="V2881" s="38" t="s">
        <v>2276</v>
      </c>
      <c r="W2881" s="38" t="s">
        <v>2276</v>
      </c>
      <c r="X2881" s="38" t="s">
        <v>2276</v>
      </c>
      <c r="Y2881" s="38" t="s">
        <v>2276</v>
      </c>
      <c r="Z2881" s="38" t="s">
        <v>2276</v>
      </c>
      <c r="AA2881" s="204"/>
      <c r="AB2881" s="204"/>
    </row>
    <row r="2882" spans="1:28" ht="31" customHeight="1">
      <c r="A2882" s="152" t="str">
        <f>'Reported burning'!A2882</f>
        <v>306am</v>
      </c>
      <c r="B2882" s="152" t="str">
        <f>'Reported burning'!B2882</f>
        <v>306am.1</v>
      </c>
      <c r="C2882" s="152" t="str">
        <f>'Reported burning'!C2882</f>
        <v>Human, deliberate</v>
      </c>
      <c r="D2882" s="152" t="str">
        <f>'Reported burning'!D2882</f>
        <v>Pyrome management</v>
      </c>
      <c r="E2882" s="152" t="str">
        <f>'Reported burning'!E2882</f>
        <v>Fire suppression agent</v>
      </c>
      <c r="F2882" s="152" t="str">
        <f>'Reported burning'!F2882</f>
        <v>ND</v>
      </c>
      <c r="G2882" s="152" t="str">
        <f>'Reported burning'!G2882</f>
        <v>ND</v>
      </c>
      <c r="H2882" s="152" t="str">
        <f>'Reported burning'!H2882</f>
        <v>Presence</v>
      </c>
      <c r="I2882" s="204"/>
      <c r="J2882" s="38" t="s">
        <v>2276</v>
      </c>
      <c r="K2882" s="38" t="s">
        <v>2276</v>
      </c>
      <c r="L2882" s="38" t="s">
        <v>2276</v>
      </c>
      <c r="M2882" s="38" t="s">
        <v>2276</v>
      </c>
      <c r="N2882" s="38" t="s">
        <v>2276</v>
      </c>
      <c r="O2882" s="38" t="s">
        <v>2276</v>
      </c>
      <c r="P2882" s="103" t="s">
        <v>2377</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1" customHeight="1">
      <c r="A2883" s="152" t="str">
        <f>'Reported burning'!A2883</f>
        <v>306an</v>
      </c>
      <c r="B2883" s="152" t="str">
        <f>'Reported burning'!B2883</f>
        <v>306an.1</v>
      </c>
      <c r="C2883" s="152" t="str">
        <f>'Reported burning'!C2883</f>
        <v>Human, deliberate</v>
      </c>
      <c r="D2883" s="152" t="str">
        <f>'Reported burning'!D2883</f>
        <v>Pyrome management</v>
      </c>
      <c r="E2883" s="152" t="str">
        <f>'Reported burning'!E2883</f>
        <v>Fire suppression agent</v>
      </c>
      <c r="F2883" s="152" t="str">
        <f>'Reported burning'!F2883</f>
        <v>ND</v>
      </c>
      <c r="G2883" s="152" t="str">
        <f>'Reported burning'!G2883</f>
        <v>ND</v>
      </c>
      <c r="H2883" s="152" t="str">
        <f>'Reported burning'!H2883</f>
        <v>Presence</v>
      </c>
      <c r="I2883" s="204"/>
      <c r="J2883" s="38" t="s">
        <v>2276</v>
      </c>
      <c r="K2883" s="38" t="s">
        <v>2276</v>
      </c>
      <c r="L2883" s="38" t="s">
        <v>2276</v>
      </c>
      <c r="M2883" s="38" t="s">
        <v>2276</v>
      </c>
      <c r="N2883" s="38" t="s">
        <v>2276</v>
      </c>
      <c r="O2883" s="38" t="s">
        <v>2276</v>
      </c>
      <c r="P2883" s="103" t="s">
        <v>2377</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2" t="str">
        <f>'Reported burning'!A2884</f>
        <v>306ao</v>
      </c>
      <c r="B2884" s="152" t="str">
        <f>'Reported burning'!B2884</f>
        <v>306ao.1</v>
      </c>
      <c r="C2884" s="152" t="str">
        <f>'Reported burning'!C2884</f>
        <v>Human, deliberate</v>
      </c>
      <c r="D2884" s="152" t="str">
        <f>'Reported burning'!D2884</f>
        <v>Pyrome management</v>
      </c>
      <c r="E2884" s="152" t="str">
        <f>'Reported burning'!E2884</f>
        <v>Fire suppression agent</v>
      </c>
      <c r="F2884" s="152" t="str">
        <f>'Reported burning'!F2884</f>
        <v>ND</v>
      </c>
      <c r="G2884" s="152" t="str">
        <f>'Reported burning'!G2884</f>
        <v>ND</v>
      </c>
      <c r="H2884" s="152" t="str">
        <f>'Reported burning'!H2884</f>
        <v>Presence</v>
      </c>
      <c r="I2884" s="204"/>
      <c r="J2884" s="38" t="s">
        <v>2276</v>
      </c>
      <c r="K2884" s="38" t="s">
        <v>2276</v>
      </c>
      <c r="L2884" s="38" t="s">
        <v>2276</v>
      </c>
      <c r="M2884" s="38" t="s">
        <v>2276</v>
      </c>
      <c r="N2884" s="38" t="s">
        <v>2276</v>
      </c>
      <c r="O2884" s="38" t="s">
        <v>2276</v>
      </c>
      <c r="P2884" s="103" t="s">
        <v>2377</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2" t="str">
        <f>'Reported burning'!A2885</f>
        <v>306ap</v>
      </c>
      <c r="B2885" s="152" t="str">
        <f>'Reported burning'!B2885</f>
        <v>306ap.1</v>
      </c>
      <c r="C2885" s="152" t="str">
        <f>'Reported burning'!C2885</f>
        <v>Human, deliberate</v>
      </c>
      <c r="D2885" s="152" t="str">
        <f>'Reported burning'!D2885</f>
        <v>Pyrome management</v>
      </c>
      <c r="E2885" s="152" t="str">
        <f>'Reported burning'!E2885</f>
        <v>Fire suppression agent</v>
      </c>
      <c r="F2885" s="152" t="str">
        <f>'Reported burning'!F2885</f>
        <v>ND</v>
      </c>
      <c r="G2885" s="152" t="str">
        <f>'Reported burning'!G2885</f>
        <v>ND</v>
      </c>
      <c r="H2885" s="152" t="str">
        <f>'Reported burning'!H2885</f>
        <v>Presence</v>
      </c>
      <c r="I2885" s="204"/>
      <c r="J2885" s="38"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2" t="str">
        <f>'Reported burning'!A2886</f>
        <v>306aq</v>
      </c>
      <c r="B2886" s="152" t="str">
        <f>'Reported burning'!B2886</f>
        <v>306aq.1</v>
      </c>
      <c r="C2886" s="152" t="str">
        <f>'Reported burning'!C2886</f>
        <v>Human, deliberate</v>
      </c>
      <c r="D2886" s="152" t="str">
        <f>'Reported burning'!D2886</f>
        <v>Pyrome management</v>
      </c>
      <c r="E2886" s="152" t="str">
        <f>'Reported burning'!E2886</f>
        <v>Fire suppression agent</v>
      </c>
      <c r="F2886" s="152" t="str">
        <f>'Reported burning'!F2886</f>
        <v>ND</v>
      </c>
      <c r="G2886" s="152" t="str">
        <f>'Reported burning'!G2886</f>
        <v>ND</v>
      </c>
      <c r="H2886" s="152" t="str">
        <f>'Reported burning'!H2886</f>
        <v>Presence</v>
      </c>
      <c r="I2886" s="204"/>
      <c r="J2886" s="38" t="s">
        <v>2276</v>
      </c>
      <c r="K2886" s="38" t="s">
        <v>2276</v>
      </c>
      <c r="L2886" s="38" t="s">
        <v>2276</v>
      </c>
      <c r="M2886" s="38" t="s">
        <v>2276</v>
      </c>
      <c r="N2886" s="38" t="s">
        <v>2276</v>
      </c>
      <c r="O2886" s="38" t="s">
        <v>2276</v>
      </c>
      <c r="P2886" s="103" t="s">
        <v>2377</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2" t="str">
        <f>'Reported burning'!A2887</f>
        <v>306ar</v>
      </c>
      <c r="B2887" s="152" t="str">
        <f>'Reported burning'!B2887</f>
        <v>306ar.1</v>
      </c>
      <c r="C2887" s="152" t="str">
        <f>'Reported burning'!C2887</f>
        <v>Human, deliberate</v>
      </c>
      <c r="D2887" s="152" t="str">
        <f>'Reported burning'!D2887</f>
        <v>Pyrome management</v>
      </c>
      <c r="E2887" s="152" t="str">
        <f>'Reported burning'!E2887</f>
        <v>Fire suppression agent</v>
      </c>
      <c r="F2887" s="152" t="str">
        <f>'Reported burning'!F2887</f>
        <v>ND</v>
      </c>
      <c r="G2887" s="152" t="str">
        <f>'Reported burning'!G2887</f>
        <v>ND</v>
      </c>
      <c r="H2887" s="152" t="str">
        <f>'Reported burning'!H2887</f>
        <v>Presence</v>
      </c>
      <c r="I2887" s="204"/>
      <c r="J2887" s="38" t="s">
        <v>2276</v>
      </c>
      <c r="K2887" s="38" t="s">
        <v>2276</v>
      </c>
      <c r="L2887" s="38" t="s">
        <v>2276</v>
      </c>
      <c r="M2887" s="38" t="s">
        <v>2276</v>
      </c>
      <c r="N2887" s="38" t="s">
        <v>2276</v>
      </c>
      <c r="O2887" s="38" t="s">
        <v>2276</v>
      </c>
      <c r="P2887" s="103" t="s">
        <v>2377</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2" t="str">
        <f>'Reported burning'!A2888</f>
        <v>306as</v>
      </c>
      <c r="B2888" s="152" t="str">
        <f>'Reported burning'!B2888</f>
        <v>306as.1</v>
      </c>
      <c r="C2888" s="152" t="str">
        <f>'Reported burning'!C2888</f>
        <v>Human, deliberate</v>
      </c>
      <c r="D2888" s="152" t="str">
        <f>'Reported burning'!D2888</f>
        <v>Pyrome management</v>
      </c>
      <c r="E2888" s="152" t="str">
        <f>'Reported burning'!E2888</f>
        <v>Fire suppression agent</v>
      </c>
      <c r="F2888" s="152" t="str">
        <f>'Reported burning'!F2888</f>
        <v>ND</v>
      </c>
      <c r="G2888" s="152" t="str">
        <f>'Reported burning'!G2888</f>
        <v>ND</v>
      </c>
      <c r="H2888" s="152" t="str">
        <f>'Reported burning'!H2888</f>
        <v>Presence</v>
      </c>
      <c r="I2888" s="204"/>
      <c r="J2888" s="38" t="s">
        <v>2276</v>
      </c>
      <c r="K2888" s="38" t="s">
        <v>2276</v>
      </c>
      <c r="L2888" s="38" t="s">
        <v>2276</v>
      </c>
      <c r="M2888" s="38" t="s">
        <v>2276</v>
      </c>
      <c r="N2888" s="38" t="s">
        <v>2276</v>
      </c>
      <c r="O2888" s="38" t="s">
        <v>2276</v>
      </c>
      <c r="P2888" s="103" t="s">
        <v>2376</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2" t="str">
        <f>'Reported burning'!A2889</f>
        <v>306at</v>
      </c>
      <c r="B2889" s="152" t="str">
        <f>'Reported burning'!B2889</f>
        <v>306at.1</v>
      </c>
      <c r="C2889" s="152" t="str">
        <f>'Reported burning'!C2889</f>
        <v>Human, deliberate</v>
      </c>
      <c r="D2889" s="152" t="str">
        <f>'Reported burning'!D2889</f>
        <v>Pyrome management</v>
      </c>
      <c r="E2889" s="152" t="str">
        <f>'Reported burning'!E2889</f>
        <v>Fire suppression agent</v>
      </c>
      <c r="F2889" s="152" t="str">
        <f>'Reported burning'!F2889</f>
        <v>ND</v>
      </c>
      <c r="G2889" s="152" t="str">
        <f>'Reported burning'!G2889</f>
        <v>ND</v>
      </c>
      <c r="H2889" s="152" t="str">
        <f>'Reported burning'!H2889</f>
        <v>Presence</v>
      </c>
      <c r="I2889" s="204"/>
      <c r="J2889" s="38" t="s">
        <v>2276</v>
      </c>
      <c r="K2889" s="38" t="s">
        <v>2276</v>
      </c>
      <c r="L2889" s="38" t="s">
        <v>2276</v>
      </c>
      <c r="M2889" s="38" t="s">
        <v>2276</v>
      </c>
      <c r="N2889" s="38" t="s">
        <v>2276</v>
      </c>
      <c r="O2889" s="38" t="s">
        <v>2276</v>
      </c>
      <c r="P2889" s="103" t="s">
        <v>2380</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2" t="str">
        <f>'Reported burning'!A2890</f>
        <v>306au</v>
      </c>
      <c r="B2890" s="152" t="str">
        <f>'Reported burning'!B2890</f>
        <v>306au.1</v>
      </c>
      <c r="C2890" s="152" t="str">
        <f>'Reported burning'!C2890</f>
        <v>Human, deliberate</v>
      </c>
      <c r="D2890" s="152" t="str">
        <f>'Reported burning'!D2890</f>
        <v>Pyrome management</v>
      </c>
      <c r="E2890" s="152" t="str">
        <f>'Reported burning'!E2890</f>
        <v>Fire suppression agent</v>
      </c>
      <c r="F2890" s="152" t="str">
        <f>'Reported burning'!F2890</f>
        <v>ND</v>
      </c>
      <c r="G2890" s="152" t="str">
        <f>'Reported burning'!G2890</f>
        <v>ND</v>
      </c>
      <c r="H2890" s="152" t="str">
        <f>'Reported burning'!H2890</f>
        <v>Presence</v>
      </c>
      <c r="I2890" s="204"/>
      <c r="J2890" s="38" t="s">
        <v>2276</v>
      </c>
      <c r="K2890" s="38" t="s">
        <v>2276</v>
      </c>
      <c r="L2890" s="38" t="s">
        <v>2276</v>
      </c>
      <c r="M2890" s="38" t="s">
        <v>2276</v>
      </c>
      <c r="N2890" s="38" t="s">
        <v>2276</v>
      </c>
      <c r="O2890" s="38" t="s">
        <v>2276</v>
      </c>
      <c r="P2890" s="103" t="s">
        <v>2380</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2" t="str">
        <f>'Reported burning'!A2891</f>
        <v>306av</v>
      </c>
      <c r="B2891" s="152" t="str">
        <f>'Reported burning'!B2891</f>
        <v>306av.1</v>
      </c>
      <c r="C2891" s="152" t="str">
        <f>'Reported burning'!C2891</f>
        <v>Human, deliberate</v>
      </c>
      <c r="D2891" s="152" t="str">
        <f>'Reported burning'!D2891</f>
        <v>Pyrome management</v>
      </c>
      <c r="E2891" s="152" t="str">
        <f>'Reported burning'!E2891</f>
        <v>Fire suppression agent</v>
      </c>
      <c r="F2891" s="152" t="str">
        <f>'Reported burning'!F2891</f>
        <v>ND</v>
      </c>
      <c r="G2891" s="152" t="str">
        <f>'Reported burning'!G2891</f>
        <v>ND</v>
      </c>
      <c r="H2891" s="152" t="str">
        <f>'Reported burning'!H2891</f>
        <v>Presence</v>
      </c>
      <c r="I2891" s="204"/>
      <c r="J2891" s="38" t="s">
        <v>2276</v>
      </c>
      <c r="K2891" s="38" t="s">
        <v>2276</v>
      </c>
      <c r="L2891" s="38" t="s">
        <v>2276</v>
      </c>
      <c r="M2891" s="38" t="s">
        <v>2276</v>
      </c>
      <c r="N2891" s="38" t="s">
        <v>2276</v>
      </c>
      <c r="O2891" s="38" t="s">
        <v>2276</v>
      </c>
      <c r="P2891" s="103" t="s">
        <v>2380</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2" t="str">
        <f>'Reported burning'!A2892</f>
        <v>306aw</v>
      </c>
      <c r="B2892" s="152" t="str">
        <f>'Reported burning'!B2892</f>
        <v>306aw.1</v>
      </c>
      <c r="C2892" s="152" t="str">
        <f>'Reported burning'!C2892</f>
        <v>Human, deliberate</v>
      </c>
      <c r="D2892" s="152" t="str">
        <f>'Reported burning'!D2892</f>
        <v>Pyrome management</v>
      </c>
      <c r="E2892" s="152" t="str">
        <f>'Reported burning'!E2892</f>
        <v>Fire suppression agent</v>
      </c>
      <c r="F2892" s="152" t="str">
        <f>'Reported burning'!F2892</f>
        <v>ND</v>
      </c>
      <c r="G2892" s="152" t="str">
        <f>'Reported burning'!G2892</f>
        <v>ND</v>
      </c>
      <c r="H2892" s="152" t="str">
        <f>'Reported burning'!H2892</f>
        <v>Presence</v>
      </c>
      <c r="I2892" s="204"/>
      <c r="J2892" s="38" t="s">
        <v>2276</v>
      </c>
      <c r="K2892" s="38" t="s">
        <v>2276</v>
      </c>
      <c r="L2892" s="38" t="s">
        <v>2276</v>
      </c>
      <c r="M2892" s="38" t="s">
        <v>2276</v>
      </c>
      <c r="N2892" s="38" t="s">
        <v>2276</v>
      </c>
      <c r="O2892" s="38" t="s">
        <v>2276</v>
      </c>
      <c r="P2892" s="103" t="s">
        <v>2377</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52" t="str">
        <f>'Reported burning'!A2893</f>
        <v>306ax</v>
      </c>
      <c r="B2893" s="152" t="str">
        <f>'Reported burning'!B2893</f>
        <v>306ax.1</v>
      </c>
      <c r="C2893" s="152" t="str">
        <f>'Reported burning'!C2893</f>
        <v>Human, deliberate</v>
      </c>
      <c r="D2893" s="152" t="str">
        <f>'Reported burning'!D2893</f>
        <v>Pyrome management</v>
      </c>
      <c r="E2893" s="152" t="str">
        <f>'Reported burning'!E2893</f>
        <v>Fire suppression agent</v>
      </c>
      <c r="F2893" s="152" t="str">
        <f>'Reported burning'!F2893</f>
        <v>ND</v>
      </c>
      <c r="G2893" s="152" t="str">
        <f>'Reported burning'!G2893</f>
        <v>ND</v>
      </c>
      <c r="H2893" s="152" t="str">
        <f>'Reported burning'!H2893</f>
        <v>Presence</v>
      </c>
      <c r="I2893" s="204"/>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204"/>
      <c r="AB2893" s="204"/>
    </row>
    <row r="2894" spans="1:28" ht="31" customHeight="1">
      <c r="A2894" s="152" t="str">
        <f>'Reported burning'!A2894</f>
        <v>306ay</v>
      </c>
      <c r="B2894" s="152" t="str">
        <f>'Reported burning'!B2894</f>
        <v>306ay.1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2376</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306az</v>
      </c>
      <c r="B2895" s="152" t="str">
        <f>'Reported burning'!B2895</f>
        <v>306az.1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Absence</v>
      </c>
      <c r="I2895" s="204"/>
      <c r="J2895" s="38" t="s">
        <v>2276</v>
      </c>
      <c r="K2895" s="38" t="s">
        <v>2276</v>
      </c>
      <c r="L2895" s="38" t="s">
        <v>2276</v>
      </c>
      <c r="M2895" s="38" t="s">
        <v>2276</v>
      </c>
      <c r="N2895" s="38" t="s">
        <v>2276</v>
      </c>
      <c r="O2895" s="38" t="s">
        <v>2276</v>
      </c>
      <c r="P2895" s="103">
        <v>0</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306ba</v>
      </c>
      <c r="B2896" s="152" t="str">
        <f>'Reported burning'!B2896</f>
        <v>306ba.1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2379</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306bb</v>
      </c>
      <c r="B2897" s="152" t="str">
        <f>'Reported burning'!B2897</f>
        <v>306bb.1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2377</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306bc</v>
      </c>
      <c r="B2898" s="152" t="str">
        <f>'Reported burning'!B2898</f>
        <v>306bc.1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2377</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306bd</v>
      </c>
      <c r="B2899" s="152" t="str">
        <f>'Reported burning'!B2899</f>
        <v>306bd.1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306be</v>
      </c>
      <c r="B2900" s="152" t="str">
        <f>'Reported burning'!B2900</f>
        <v>306be.1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2376</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306bf</v>
      </c>
      <c r="B2901" s="152" t="str">
        <f>'Reported burning'!B2901</f>
        <v>306bf.1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2378</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306bg</v>
      </c>
      <c r="B2902" s="152" t="str">
        <f>'Reported burning'!B2902</f>
        <v>306bg.1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2376</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306ab</v>
      </c>
      <c r="B2903" s="152" t="str">
        <f>'Reported burning'!B2903</f>
        <v>306ab.1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2378</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306bi</v>
      </c>
      <c r="B2904" s="152" t="str">
        <f>'Reported burning'!B2904</f>
        <v>306bi.1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2379</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306bj</v>
      </c>
      <c r="B2905" s="152" t="str">
        <f>'Reported burning'!B2905</f>
        <v>306bj.1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Absence</v>
      </c>
      <c r="I2905" s="204"/>
      <c r="J2905" s="38" t="s">
        <v>2276</v>
      </c>
      <c r="K2905" s="38" t="s">
        <v>2276</v>
      </c>
      <c r="L2905" s="38" t="s">
        <v>2276</v>
      </c>
      <c r="M2905" s="38" t="s">
        <v>2276</v>
      </c>
      <c r="N2905" s="38" t="s">
        <v>2276</v>
      </c>
      <c r="O2905" s="38" t="s">
        <v>2276</v>
      </c>
      <c r="P2905" s="103">
        <v>0</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306bk</v>
      </c>
      <c r="B2906" s="152" t="str">
        <f>'Reported burning'!B2906</f>
        <v>306bk.1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2376</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306bl</v>
      </c>
      <c r="B2907" s="152" t="str">
        <f>'Reported burning'!B2907</f>
        <v>306bl.1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2376</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306bm</v>
      </c>
      <c r="B2908" s="152" t="str">
        <f>'Reported burning'!B2908</f>
        <v>306bm.1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2376</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306bn</v>
      </c>
      <c r="B2909" s="152" t="str">
        <f>'Reported burning'!B2909</f>
        <v>306bn.1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2376</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306bo</v>
      </c>
      <c r="B2910" s="152" t="str">
        <f>'Reported burning'!B2910</f>
        <v>306bo.1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Absence</v>
      </c>
      <c r="I2910" s="204"/>
      <c r="J2910" s="38" t="s">
        <v>2276</v>
      </c>
      <c r="K2910" s="38" t="s">
        <v>2276</v>
      </c>
      <c r="L2910" s="38" t="s">
        <v>2276</v>
      </c>
      <c r="M2910" s="38" t="s">
        <v>2276</v>
      </c>
      <c r="N2910" s="38" t="s">
        <v>2276</v>
      </c>
      <c r="O2910" s="38" t="s">
        <v>2276</v>
      </c>
      <c r="P2910" s="103">
        <v>0</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223" t="str">
        <f>'Reported burning'!A2911</f>
        <v>306bp</v>
      </c>
      <c r="B2911" s="223" t="str">
        <f>'Reported burning'!B2911</f>
        <v>306bp.1</v>
      </c>
      <c r="C2911" s="223" t="str">
        <f>'Reported burning'!C2911</f>
        <v>Human, deliberate</v>
      </c>
      <c r="D2911" s="223" t="str">
        <f>'Reported burning'!D2911</f>
        <v>Pyrome management</v>
      </c>
      <c r="E2911" s="223" t="str">
        <f>'Reported burning'!E2911</f>
        <v>Fire suppression agent</v>
      </c>
      <c r="F2911" s="223" t="str">
        <f>'Reported burning'!F2911</f>
        <v>ND</v>
      </c>
      <c r="G2911" s="223" t="str">
        <f>'Reported burning'!G2911</f>
        <v>ND</v>
      </c>
      <c r="H2911" s="223" t="str">
        <f>'Reported burning'!H2911</f>
        <v>Presence</v>
      </c>
      <c r="I2911" s="38"/>
      <c r="J2911" s="38" t="s">
        <v>2276</v>
      </c>
      <c r="K2911" s="38" t="s">
        <v>2276</v>
      </c>
      <c r="L2911" s="38" t="s">
        <v>2276</v>
      </c>
      <c r="M2911" s="38" t="s">
        <v>2276</v>
      </c>
      <c r="N2911" s="38" t="s">
        <v>2276</v>
      </c>
      <c r="O2911" s="38" t="s">
        <v>2276</v>
      </c>
      <c r="P2911" s="111" t="s">
        <v>2379</v>
      </c>
      <c r="Q2911" s="38" t="s">
        <v>2276</v>
      </c>
      <c r="R2911" s="38" t="s">
        <v>2276</v>
      </c>
      <c r="S2911" s="38" t="s">
        <v>2276</v>
      </c>
      <c r="T2911" s="38" t="s">
        <v>2276</v>
      </c>
      <c r="U2911" s="38" t="s">
        <v>2276</v>
      </c>
      <c r="V2911" s="38" t="s">
        <v>2276</v>
      </c>
      <c r="W2911" s="38" t="s">
        <v>2276</v>
      </c>
      <c r="X2911" s="38" t="s">
        <v>2276</v>
      </c>
      <c r="Y2911" s="38" t="s">
        <v>2276</v>
      </c>
      <c r="Z2911" s="38" t="s">
        <v>2276</v>
      </c>
      <c r="AA2911" s="38"/>
      <c r="AB2911" s="38"/>
    </row>
    <row r="2912" spans="1:28" ht="31" customHeight="1">
      <c r="A2912" s="152" t="str">
        <f>'Reported burning'!A2912</f>
        <v>308a</v>
      </c>
      <c r="B2912" s="152" t="str">
        <f>'Reported burning'!B2912</f>
        <v>308a.1</v>
      </c>
      <c r="C2912" s="152" t="str">
        <f>'Reported burning'!C2912</f>
        <v>Human, deliberate</v>
      </c>
      <c r="D2912" s="152" t="str">
        <f>'Reported burning'!D2912</f>
        <v>Forest clearance</v>
      </c>
      <c r="E2912" s="152" t="str">
        <f>'Reported burning'!E2912</f>
        <v>Cropping, Swidden</v>
      </c>
      <c r="F2912" s="152" t="str">
        <f>'Reported burning'!F2912</f>
        <v>Forest</v>
      </c>
      <c r="G2912" s="152" t="str">
        <f>'Reported burning'!G2912</f>
        <v>Forest</v>
      </c>
      <c r="H2912" s="152" t="str">
        <f>'Reported burning'!H2912</f>
        <v>Presence</v>
      </c>
      <c r="I2912" s="204"/>
      <c r="J2912" s="204" t="s">
        <v>2276</v>
      </c>
      <c r="K2912" s="204" t="s">
        <v>2276</v>
      </c>
      <c r="L2912" s="204" t="s">
        <v>2276</v>
      </c>
      <c r="M2912" s="204" t="s">
        <v>2276</v>
      </c>
      <c r="N2912" s="204" t="s">
        <v>2276</v>
      </c>
      <c r="O2912" s="204" t="s">
        <v>2276</v>
      </c>
      <c r="P2912" s="204" t="s">
        <v>2276</v>
      </c>
      <c r="Q2912" s="21" t="s">
        <v>2375</v>
      </c>
      <c r="R2912" s="204" t="s">
        <v>2276</v>
      </c>
      <c r="S2912" s="204" t="s">
        <v>2276</v>
      </c>
      <c r="T2912" s="204" t="s">
        <v>2276</v>
      </c>
      <c r="U2912" s="204" t="s">
        <v>2276</v>
      </c>
      <c r="V2912" s="204" t="s">
        <v>2276</v>
      </c>
      <c r="W2912" s="204" t="s">
        <v>2276</v>
      </c>
      <c r="X2912" s="204" t="s">
        <v>68</v>
      </c>
      <c r="Y2912" s="204" t="s">
        <v>35</v>
      </c>
      <c r="Z2912" s="204" t="s">
        <v>2276</v>
      </c>
      <c r="AA2912" s="204"/>
      <c r="AB2912" s="204"/>
    </row>
    <row r="2913" spans="1:28" ht="31" customHeight="1">
      <c r="A2913" s="152" t="str">
        <f>'Reported burning'!A2913</f>
        <v>308a</v>
      </c>
      <c r="B2913" s="152" t="str">
        <f>'Reported burning'!B2913</f>
        <v>308a.2</v>
      </c>
      <c r="C2913" s="152" t="str">
        <f>'Reported burning'!C2913</f>
        <v>Human, deliberate</v>
      </c>
      <c r="D2913" s="152" t="str">
        <f>'Reported burning'!D2913</f>
        <v>Crop field preparation</v>
      </c>
      <c r="E2913" s="152" t="str">
        <f>'Reported burning'!E2913</f>
        <v>Cropping, Swidden</v>
      </c>
      <c r="F2913" s="152" t="str">
        <f>'Reported burning'!F2913</f>
        <v>Secondary vegetation</v>
      </c>
      <c r="G2913" s="152" t="str">
        <f>'Reported burning'!G2913</f>
        <v>Secondary vegetation</v>
      </c>
      <c r="H2913" s="152" t="str">
        <f>'Reported burning'!H2913</f>
        <v>Presence</v>
      </c>
      <c r="I2913" s="204"/>
      <c r="J2913" s="204" t="s">
        <v>2276</v>
      </c>
      <c r="K2913" s="204" t="s">
        <v>2276</v>
      </c>
      <c r="L2913" s="204" t="s">
        <v>2276</v>
      </c>
      <c r="M2913" s="204" t="s">
        <v>2276</v>
      </c>
      <c r="N2913" s="204" t="s">
        <v>2276</v>
      </c>
      <c r="O2913" s="204" t="s">
        <v>2276</v>
      </c>
      <c r="P2913" s="204" t="s">
        <v>2276</v>
      </c>
      <c r="Q2913" s="21" t="s">
        <v>2375</v>
      </c>
      <c r="R2913" s="204" t="s">
        <v>2276</v>
      </c>
      <c r="S2913" s="204" t="s">
        <v>2276</v>
      </c>
      <c r="T2913" s="204" t="s">
        <v>2276</v>
      </c>
      <c r="U2913" s="204" t="s">
        <v>2276</v>
      </c>
      <c r="V2913" s="204" t="s">
        <v>2276</v>
      </c>
      <c r="W2913" s="21" t="s">
        <v>2403</v>
      </c>
      <c r="X2913" s="204" t="s">
        <v>425</v>
      </c>
      <c r="Y2913" s="204" t="s">
        <v>399</v>
      </c>
      <c r="Z2913" s="204" t="s">
        <v>2276</v>
      </c>
      <c r="AA2913" s="204"/>
      <c r="AB2913" s="204"/>
    </row>
    <row r="2914" spans="1:28" ht="49" customHeight="1">
      <c r="A2914" s="152" t="str">
        <f>'Reported burning'!A2914</f>
        <v>308a</v>
      </c>
      <c r="B2914" s="152" t="str">
        <f>'Reported burning'!B2914</f>
        <v>308a.3</v>
      </c>
      <c r="C2914" s="152" t="str">
        <f>'Reported burning'!C2914</f>
        <v>Human, deliberate</v>
      </c>
      <c r="D2914" s="152" t="str">
        <f>'Reported burning'!D2914</f>
        <v>Forest clearance</v>
      </c>
      <c r="E2914" s="152" t="str">
        <f>'Reported burning'!E2914</f>
        <v>Mixed cropping-livestock small holder, Subsistence-oriented</v>
      </c>
      <c r="F2914" s="152" t="str">
        <f>'Reported burning'!F2914</f>
        <v>Forest</v>
      </c>
      <c r="G2914" s="152" t="str">
        <f>'Reported burning'!G2914</f>
        <v>Forest</v>
      </c>
      <c r="H2914" s="152" t="str">
        <f>'Reported burning'!H2914</f>
        <v>Presence</v>
      </c>
      <c r="I2914" s="204"/>
      <c r="J2914" s="204" t="s">
        <v>2276</v>
      </c>
      <c r="K2914" s="204" t="s">
        <v>2276</v>
      </c>
      <c r="L2914" s="204" t="s">
        <v>2276</v>
      </c>
      <c r="M2914" s="204" t="s">
        <v>2276</v>
      </c>
      <c r="N2914" s="204" t="s">
        <v>2276</v>
      </c>
      <c r="O2914" s="204" t="s">
        <v>2276</v>
      </c>
      <c r="P2914" s="204" t="s">
        <v>2276</v>
      </c>
      <c r="Q2914" s="21" t="s">
        <v>2373</v>
      </c>
      <c r="R2914" s="204" t="s">
        <v>2276</v>
      </c>
      <c r="S2914" s="204" t="s">
        <v>2276</v>
      </c>
      <c r="T2914" s="204" t="s">
        <v>2276</v>
      </c>
      <c r="U2914" s="204" t="s">
        <v>2276</v>
      </c>
      <c r="V2914" s="204" t="s">
        <v>2276</v>
      </c>
      <c r="W2914" s="204" t="s">
        <v>2276</v>
      </c>
      <c r="X2914" s="204" t="s">
        <v>68</v>
      </c>
      <c r="Y2914" s="204" t="s">
        <v>35</v>
      </c>
      <c r="Z2914" s="204" t="s">
        <v>2276</v>
      </c>
      <c r="AA2914" s="204"/>
      <c r="AB2914" s="204"/>
    </row>
    <row r="2915" spans="1:28" s="203" customFormat="1" ht="49" customHeight="1">
      <c r="A2915" s="152" t="str">
        <f>'Reported burning'!A2915</f>
        <v>308a</v>
      </c>
      <c r="B2915" s="152" t="str">
        <f>'Reported burning'!B2915</f>
        <v>308a.4</v>
      </c>
      <c r="C2915" s="152" t="str">
        <f>'Reported burning'!C2915</f>
        <v>Human, deliberate</v>
      </c>
      <c r="D2915" s="152" t="str">
        <f>'Reported burning'!D2915</f>
        <v>Pasture renewal</v>
      </c>
      <c r="E2915" s="152" t="str">
        <f>'Reported burning'!E2915</f>
        <v>Mixed cropping-livestock small holder, Subsistence-oriented</v>
      </c>
      <c r="F2915" s="152" t="str">
        <f>'Reported burning'!F2915</f>
        <v>Pasture</v>
      </c>
      <c r="G2915" s="152" t="str">
        <f>'Reported burning'!G2915</f>
        <v>Pasture</v>
      </c>
      <c r="H2915" s="152" t="str">
        <f>'Reported burning'!H2915</f>
        <v>Presence</v>
      </c>
      <c r="I2915" s="204"/>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1" t="s">
        <v>2375</v>
      </c>
      <c r="X2915" s="204" t="s">
        <v>2276</v>
      </c>
      <c r="Y2915" s="204" t="s">
        <v>2276</v>
      </c>
      <c r="Z2915" s="204" t="s">
        <v>2276</v>
      </c>
      <c r="AA2915" s="204"/>
      <c r="AB2915" s="204"/>
    </row>
    <row r="2916" spans="1:28" ht="49" customHeight="1">
      <c r="A2916" s="152" t="str">
        <f>'Reported burning'!A2916</f>
        <v>308a</v>
      </c>
      <c r="B2916" s="152" t="str">
        <f>'Reported burning'!B2916</f>
        <v>308a.5</v>
      </c>
      <c r="C2916" s="152" t="str">
        <f>'Reported burning'!C2916</f>
        <v>Human, escaped</v>
      </c>
      <c r="D2916" s="152" t="str">
        <f>'Reported burning'!D2916</f>
        <v>Pasture renewal</v>
      </c>
      <c r="E2916" s="152" t="str">
        <f>'Reported burning'!E2916</f>
        <v>Mixed cropping-livestock small holder, Subsistence-oriented</v>
      </c>
      <c r="F2916" s="152" t="str">
        <f>'Reported burning'!F2916</f>
        <v>Pasture</v>
      </c>
      <c r="G2916" s="152" t="str">
        <f>'Reported burning'!G2916</f>
        <v>Forest</v>
      </c>
      <c r="H2916" s="152" t="str">
        <f>'Reported burning'!H2916</f>
        <v>Presence</v>
      </c>
      <c r="I2916" s="204"/>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c r="AB2916" s="204"/>
    </row>
    <row r="2917" spans="1:28" ht="49" customHeight="1">
      <c r="A2917" s="152" t="str">
        <f>'Reported burning'!A2917</f>
        <v>308a</v>
      </c>
      <c r="B2917" s="152" t="str">
        <f>'Reported burning'!B2917</f>
        <v>308a.6</v>
      </c>
      <c r="C2917" s="152" t="str">
        <f>'Reported burning'!C2917</f>
        <v>Human, deliberate</v>
      </c>
      <c r="D2917" s="152" t="str">
        <f>'Reported burning'!D2917</f>
        <v>Forest clearance</v>
      </c>
      <c r="E2917" s="152" t="str">
        <f>'Reported burning'!E2917</f>
        <v>Cattle, Extensive</v>
      </c>
      <c r="F2917" s="152" t="str">
        <f>'Reported burning'!F2917</f>
        <v>Forest</v>
      </c>
      <c r="G2917" s="152" t="str">
        <f>'Reported burning'!G2917</f>
        <v>Forest</v>
      </c>
      <c r="H2917" s="152" t="str">
        <f>'Reported burning'!H2917</f>
        <v>Presence</v>
      </c>
      <c r="I2917" s="204"/>
      <c r="J2917" s="204" t="s">
        <v>2276</v>
      </c>
      <c r="K2917" s="204" t="s">
        <v>2276</v>
      </c>
      <c r="L2917" s="204" t="s">
        <v>2276</v>
      </c>
      <c r="M2917" s="204" t="s">
        <v>2276</v>
      </c>
      <c r="N2917" s="21" t="s">
        <v>2385</v>
      </c>
      <c r="O2917" s="204" t="s">
        <v>2276</v>
      </c>
      <c r="P2917" s="204" t="s">
        <v>2276</v>
      </c>
      <c r="Q2917" s="204" t="s">
        <v>2276</v>
      </c>
      <c r="R2917" s="204" t="s">
        <v>2276</v>
      </c>
      <c r="S2917" s="204" t="s">
        <v>2276</v>
      </c>
      <c r="T2917" s="204" t="s">
        <v>2276</v>
      </c>
      <c r="U2917" s="204" t="s">
        <v>2276</v>
      </c>
      <c r="V2917" s="204" t="s">
        <v>2276</v>
      </c>
      <c r="W2917" s="204" t="s">
        <v>2276</v>
      </c>
      <c r="X2917" s="204" t="s">
        <v>68</v>
      </c>
      <c r="Y2917" s="204" t="s">
        <v>35</v>
      </c>
      <c r="Z2917" s="204" t="s">
        <v>2276</v>
      </c>
      <c r="AA2917" s="204"/>
      <c r="AB2917" s="204"/>
    </row>
    <row r="2918" spans="1:28" ht="49" customHeight="1">
      <c r="A2918" s="152" t="str">
        <f>'Reported burning'!A2918</f>
        <v>308a</v>
      </c>
      <c r="B2918" s="152" t="str">
        <f>'Reported burning'!B2918</f>
        <v>308a.7</v>
      </c>
      <c r="C2918" s="152" t="str">
        <f>'Reported burning'!C2918</f>
        <v>Human, deliberate</v>
      </c>
      <c r="D2918" s="152" t="str">
        <f>'Reported burning'!D2918</f>
        <v>Pasture renewal</v>
      </c>
      <c r="E2918" s="152" t="str">
        <f>'Reported burning'!E2918</f>
        <v>Cattle, Extensive</v>
      </c>
      <c r="F2918" s="152" t="str">
        <f>'Reported burning'!F2918</f>
        <v>Pasture</v>
      </c>
      <c r="G2918" s="152" t="str">
        <f>'Reported burning'!G2918</f>
        <v>Pasture</v>
      </c>
      <c r="H2918" s="152" t="str">
        <f>'Reported burning'!H2918</f>
        <v>Presence</v>
      </c>
      <c r="I2918" s="204"/>
      <c r="J2918" s="204" t="s">
        <v>2276</v>
      </c>
      <c r="K2918" s="204" t="s">
        <v>2276</v>
      </c>
      <c r="L2918" s="204" t="s">
        <v>2276</v>
      </c>
      <c r="M2918" s="204" t="s">
        <v>2276</v>
      </c>
      <c r="N2918" s="204" t="s">
        <v>2276</v>
      </c>
      <c r="O2918" s="204" t="s">
        <v>2276</v>
      </c>
      <c r="P2918" s="204" t="s">
        <v>2276</v>
      </c>
      <c r="Q2918" s="204" t="s">
        <v>2276</v>
      </c>
      <c r="R2918" s="204" t="s">
        <v>2276</v>
      </c>
      <c r="S2918" s="204" t="s">
        <v>2276</v>
      </c>
      <c r="T2918" s="204" t="s">
        <v>2276</v>
      </c>
      <c r="U2918" s="204" t="s">
        <v>2276</v>
      </c>
      <c r="V2918" s="204" t="s">
        <v>2276</v>
      </c>
      <c r="W2918" s="21" t="s">
        <v>2375</v>
      </c>
      <c r="X2918" s="204" t="s">
        <v>2276</v>
      </c>
      <c r="Y2918" s="204" t="s">
        <v>2276</v>
      </c>
      <c r="Z2918" s="204" t="s">
        <v>2276</v>
      </c>
      <c r="AA2918" s="204"/>
      <c r="AB2918" s="204"/>
    </row>
    <row r="2919" spans="1:28" ht="49" customHeight="1">
      <c r="A2919" s="152" t="str">
        <f>'Reported burning'!A2919</f>
        <v>308a</v>
      </c>
      <c r="B2919" s="152" t="str">
        <f>'Reported burning'!B2919</f>
        <v>308a.8</v>
      </c>
      <c r="C2919" s="152" t="str">
        <f>'Reported burning'!C2919</f>
        <v>Human, escaped</v>
      </c>
      <c r="D2919" s="152" t="str">
        <f>'Reported burning'!D2919</f>
        <v>Pasture renewal</v>
      </c>
      <c r="E2919" s="152" t="str">
        <f>'Reported burning'!E2919</f>
        <v>Cattle, Extensive</v>
      </c>
      <c r="F2919" s="152" t="str">
        <f>'Reported burning'!F2919</f>
        <v>Pasture</v>
      </c>
      <c r="G2919" s="152" t="str">
        <f>'Reported burning'!G2919</f>
        <v>Forest</v>
      </c>
      <c r="H2919" s="152" t="str">
        <f>'Reported burning'!H2919</f>
        <v>Presence</v>
      </c>
      <c r="I2919" s="204"/>
      <c r="J2919" s="204" t="s">
        <v>2276</v>
      </c>
      <c r="K2919" s="204" t="s">
        <v>2276</v>
      </c>
      <c r="L2919" s="204" t="s">
        <v>2276</v>
      </c>
      <c r="M2919" s="204" t="s">
        <v>2276</v>
      </c>
      <c r="N2919" s="204" t="s">
        <v>2276</v>
      </c>
      <c r="O2919" s="204" t="s">
        <v>2276</v>
      </c>
      <c r="P2919" s="204" t="s">
        <v>2276</v>
      </c>
      <c r="Q2919" s="204" t="s">
        <v>2276</v>
      </c>
      <c r="R2919" s="204" t="s">
        <v>2276</v>
      </c>
      <c r="S2919" s="204" t="s">
        <v>2276</v>
      </c>
      <c r="T2919" s="204" t="s">
        <v>2276</v>
      </c>
      <c r="U2919" s="204" t="s">
        <v>2276</v>
      </c>
      <c r="V2919" s="204" t="s">
        <v>2276</v>
      </c>
      <c r="W2919" s="204" t="s">
        <v>2276</v>
      </c>
      <c r="X2919" s="204" t="s">
        <v>2276</v>
      </c>
      <c r="Y2919" s="204" t="s">
        <v>2276</v>
      </c>
      <c r="Z2919" s="204" t="s">
        <v>2276</v>
      </c>
      <c r="AA2919" s="204"/>
      <c r="AB2919" s="204"/>
    </row>
    <row r="2920" spans="1:28" ht="49" customHeight="1">
      <c r="A2920" s="156" t="str">
        <f>'Reported burning'!A2920</f>
        <v>309a</v>
      </c>
      <c r="B2920" s="156" t="str">
        <f>'Reported burning'!B2920</f>
        <v>309a.1</v>
      </c>
      <c r="C2920" s="156" t="str">
        <f>'Reported burning'!C2920</f>
        <v>Human, deliberate</v>
      </c>
      <c r="D2920" s="156" t="str">
        <f>'Reported burning'!D2920</f>
        <v>Pasture renewal</v>
      </c>
      <c r="E2920" s="156" t="str">
        <f>'Reported burning'!E2920</f>
        <v>Cattle, Extensive</v>
      </c>
      <c r="F2920" s="156" t="str">
        <f>'Reported burning'!F2920</f>
        <v>Grassland</v>
      </c>
      <c r="G2920" s="156" t="str">
        <f>'Reported burning'!G2920</f>
        <v>Grassland</v>
      </c>
      <c r="H2920" s="156" t="str">
        <f>'Reported burning'!H2920</f>
        <v>Presence</v>
      </c>
      <c r="I2920" s="5"/>
      <c r="J2920" s="21"/>
      <c r="K2920" s="103"/>
      <c r="L2920" s="21"/>
      <c r="M2920" s="21"/>
      <c r="N2920" s="21"/>
      <c r="O2920" s="21"/>
      <c r="P2920" s="21" t="s">
        <v>2376</v>
      </c>
      <c r="Q2920" s="21"/>
      <c r="R2920" s="21" t="s">
        <v>2376</v>
      </c>
      <c r="S2920" s="21"/>
      <c r="T2920" s="21"/>
      <c r="U2920" s="21"/>
      <c r="V2920" s="21"/>
      <c r="W2920" s="21" t="s">
        <v>2401</v>
      </c>
      <c r="X2920" s="204" t="s">
        <v>2276</v>
      </c>
      <c r="Y2920" s="204" t="s">
        <v>2276</v>
      </c>
      <c r="Z2920" s="204" t="s">
        <v>2276</v>
      </c>
      <c r="AA2920" s="4" t="s">
        <v>7892</v>
      </c>
      <c r="AB2920" s="204" t="s">
        <v>7894</v>
      </c>
    </row>
    <row r="2921" spans="1:28" ht="49" customHeight="1">
      <c r="A2921" s="156" t="str">
        <f>'Reported burning'!A2921</f>
        <v>309a</v>
      </c>
      <c r="B2921" s="156" t="str">
        <f>'Reported burning'!B2921</f>
        <v>309a.2</v>
      </c>
      <c r="C2921" s="156" t="str">
        <f>'Reported burning'!C2921</f>
        <v>Human, deliberate</v>
      </c>
      <c r="D2921" s="156" t="str">
        <f>'Reported burning'!D2921</f>
        <v>Pasture renewal</v>
      </c>
      <c r="E2921" s="156" t="str">
        <f>'Reported burning'!E2921</f>
        <v>Pastoralism, Migratory</v>
      </c>
      <c r="F2921" s="156" t="str">
        <f>'Reported burning'!F2921</f>
        <v>Grassland</v>
      </c>
      <c r="G2921" s="156" t="str">
        <f>'Reported burning'!G2921</f>
        <v>Grassland</v>
      </c>
      <c r="H2921" s="156" t="str">
        <f>'Reported burning'!H2921</f>
        <v>Presence</v>
      </c>
      <c r="I2921" s="5"/>
      <c r="J2921" s="21"/>
      <c r="K2921" s="103"/>
      <c r="L2921" s="21"/>
      <c r="M2921" s="21"/>
      <c r="N2921" s="21"/>
      <c r="O2921" s="21"/>
      <c r="P2921" s="21" t="s">
        <v>2376</v>
      </c>
      <c r="Q2921" s="21"/>
      <c r="R2921" s="21" t="s">
        <v>2374</v>
      </c>
      <c r="S2921" s="21"/>
      <c r="T2921" s="21"/>
      <c r="U2921" s="21"/>
      <c r="V2921" s="21"/>
      <c r="W2921" s="21" t="s">
        <v>2402</v>
      </c>
      <c r="X2921" s="204" t="s">
        <v>2276</v>
      </c>
      <c r="Y2921" s="204" t="s">
        <v>2276</v>
      </c>
      <c r="Z2921" s="204" t="s">
        <v>2276</v>
      </c>
      <c r="AA2921" s="4" t="s">
        <v>7893</v>
      </c>
      <c r="AB2921" s="204" t="s">
        <v>7894</v>
      </c>
    </row>
    <row r="2922" spans="1:28" ht="63.5" customHeight="1">
      <c r="A2922" s="156" t="str">
        <f>'Reported burning'!A2922</f>
        <v>310a</v>
      </c>
      <c r="B2922" s="156" t="str">
        <f>'Reported burning'!B2922</f>
        <v>310a.1</v>
      </c>
      <c r="C2922" s="156" t="str">
        <f>'Reported burning'!C2922</f>
        <v>Human, deliberate</v>
      </c>
      <c r="D2922" s="156" t="str">
        <f>'Reported burning'!D2922</f>
        <v>Conservation</v>
      </c>
      <c r="E2922" s="156" t="str">
        <f>'Reported burning'!E2922</f>
        <v>Biodiversity conservation</v>
      </c>
      <c r="F2922" s="156" t="str">
        <f>'Reported burning'!F2922</f>
        <v>ND</v>
      </c>
      <c r="G2922" s="156" t="str">
        <f>'Reported burning'!G2922</f>
        <v>ND</v>
      </c>
      <c r="H2922" s="156" t="str">
        <f>'Reported burning'!H2922</f>
        <v>Absence</v>
      </c>
      <c r="I2922" s="5"/>
      <c r="J2922" s="21" t="s">
        <v>2364</v>
      </c>
      <c r="K2922" s="21" t="s">
        <v>2364</v>
      </c>
      <c r="L2922" s="21" t="s">
        <v>2364</v>
      </c>
      <c r="M2922" s="21" t="s">
        <v>2364</v>
      </c>
      <c r="N2922" s="21" t="s">
        <v>2364</v>
      </c>
      <c r="O2922" s="21" t="s">
        <v>2364</v>
      </c>
      <c r="P2922" s="21" t="s">
        <v>2364</v>
      </c>
      <c r="Q2922" s="21" t="s">
        <v>2364</v>
      </c>
      <c r="R2922" s="21" t="s">
        <v>2364</v>
      </c>
      <c r="S2922" s="21" t="s">
        <v>2364</v>
      </c>
      <c r="T2922" s="21" t="s">
        <v>2364</v>
      </c>
      <c r="U2922" s="21" t="s">
        <v>2364</v>
      </c>
      <c r="V2922" s="21" t="s">
        <v>2364</v>
      </c>
      <c r="W2922" s="204" t="s">
        <v>2276</v>
      </c>
      <c r="X2922" s="204" t="s">
        <v>2276</v>
      </c>
      <c r="Y2922" s="204" t="s">
        <v>2276</v>
      </c>
      <c r="Z2922" s="204" t="s">
        <v>2276</v>
      </c>
      <c r="AA2922" s="204"/>
      <c r="AB2922" s="204"/>
    </row>
    <row r="2923" spans="1:28" ht="63.5" customHeight="1">
      <c r="A2923" s="156" t="str">
        <f>'Reported burning'!A2923</f>
        <v>310a</v>
      </c>
      <c r="B2923" s="156" t="str">
        <f>'Reported burning'!B2923</f>
        <v>310a.2</v>
      </c>
      <c r="C2923" s="156" t="str">
        <f>'Reported burning'!C2923</f>
        <v>Human, deliberate</v>
      </c>
      <c r="D2923" s="156" t="str">
        <f>'Reported burning'!D2923</f>
        <v>Pasture renewal</v>
      </c>
      <c r="E2923" s="156" t="str">
        <f>'Reported burning'!E2923</f>
        <v>Cattle, Extensive</v>
      </c>
      <c r="F2923" s="156" t="str">
        <f>'Reported burning'!F2923</f>
        <v>ND</v>
      </c>
      <c r="G2923" s="156" t="str">
        <f>'Reported burning'!G2923</f>
        <v>ND</v>
      </c>
      <c r="H2923" s="156" t="str">
        <f>'Reported burning'!H2923</f>
        <v>Absence</v>
      </c>
      <c r="I2923" s="5"/>
      <c r="J2923" s="21" t="s">
        <v>2364</v>
      </c>
      <c r="K2923" s="21" t="s">
        <v>2364</v>
      </c>
      <c r="L2923" s="21" t="s">
        <v>2364</v>
      </c>
      <c r="M2923" s="21" t="s">
        <v>2364</v>
      </c>
      <c r="N2923" s="21" t="s">
        <v>2364</v>
      </c>
      <c r="O2923" s="21" t="s">
        <v>2364</v>
      </c>
      <c r="P2923" s="21" t="s">
        <v>2364</v>
      </c>
      <c r="Q2923" s="21" t="s">
        <v>2364</v>
      </c>
      <c r="R2923" s="21" t="s">
        <v>2364</v>
      </c>
      <c r="S2923" s="21" t="s">
        <v>2364</v>
      </c>
      <c r="T2923" s="21" t="s">
        <v>2364</v>
      </c>
      <c r="U2923" s="21" t="s">
        <v>2364</v>
      </c>
      <c r="V2923" s="21" t="s">
        <v>2364</v>
      </c>
      <c r="W2923" s="204" t="s">
        <v>2276</v>
      </c>
      <c r="X2923" s="204" t="s">
        <v>2276</v>
      </c>
      <c r="Y2923" s="204" t="s">
        <v>2276</v>
      </c>
      <c r="Z2923" s="204" t="s">
        <v>2276</v>
      </c>
      <c r="AA2923" s="204"/>
      <c r="AB2923" s="204"/>
    </row>
    <row r="2924" spans="1:28" ht="28" customHeight="1">
      <c r="A2924" s="156" t="str">
        <f>'Reported burning'!A2924</f>
        <v>310b</v>
      </c>
      <c r="B2924" s="156" t="str">
        <f>'Reported burning'!B2924</f>
        <v>310b.1</v>
      </c>
      <c r="C2924" s="156" t="str">
        <f>'Reported burning'!C2924</f>
        <v>Unknown</v>
      </c>
      <c r="D2924" s="156" t="str">
        <f>'Reported burning'!D2924</f>
        <v>ND</v>
      </c>
      <c r="E2924" s="156" t="str">
        <f>'Reported burning'!E2924</f>
        <v>ND</v>
      </c>
      <c r="F2924" s="156" t="str">
        <f>'Reported burning'!F2924</f>
        <v>ND</v>
      </c>
      <c r="G2924" s="156" t="str">
        <f>'Reported burning'!G2924</f>
        <v>Shrubland (Mixed forest &amp; grassland)</v>
      </c>
      <c r="H2924" s="156" t="str">
        <f>'Reported burning'!H2924</f>
        <v>Presence</v>
      </c>
      <c r="I2924" s="5"/>
      <c r="J2924" s="204" t="s">
        <v>2276</v>
      </c>
      <c r="K2924" s="204" t="s">
        <v>2276</v>
      </c>
      <c r="L2924" s="204" t="s">
        <v>2276</v>
      </c>
      <c r="M2924" s="204" t="s">
        <v>2276</v>
      </c>
      <c r="N2924" s="21" t="s">
        <v>2382</v>
      </c>
      <c r="O2924" s="204" t="s">
        <v>2276</v>
      </c>
      <c r="P2924" s="204" t="s">
        <v>2276</v>
      </c>
      <c r="Q2924" s="204" t="s">
        <v>2276</v>
      </c>
      <c r="R2924" s="204" t="s">
        <v>2276</v>
      </c>
      <c r="S2924" s="204" t="s">
        <v>2276</v>
      </c>
      <c r="T2924" s="204" t="s">
        <v>2276</v>
      </c>
      <c r="U2924" s="204" t="s">
        <v>2276</v>
      </c>
      <c r="V2924" s="204" t="s">
        <v>2276</v>
      </c>
      <c r="W2924" s="204" t="s">
        <v>2276</v>
      </c>
      <c r="X2924" s="204" t="s">
        <v>2276</v>
      </c>
      <c r="Y2924" s="204" t="s">
        <v>2276</v>
      </c>
      <c r="Z2924" s="204" t="s">
        <v>2276</v>
      </c>
      <c r="AA2924" s="204"/>
      <c r="AB2924" s="204"/>
    </row>
    <row r="2925" spans="1:28" ht="28" customHeight="1">
      <c r="A2925" s="156" t="str">
        <f>'Reported burning'!A2925</f>
        <v>311a</v>
      </c>
      <c r="B2925" s="156" t="str">
        <f>'Reported burning'!B2925</f>
        <v>311a.1</v>
      </c>
      <c r="C2925" s="156" t="str">
        <f>'Reported burning'!C2925</f>
        <v>Human, deliberate</v>
      </c>
      <c r="D2925" s="156" t="str">
        <f>'Reported burning'!D2925</f>
        <v>Conservation</v>
      </c>
      <c r="E2925" s="156" t="str">
        <f>'Reported burning'!E2925</f>
        <v>Biodiversity conservation</v>
      </c>
      <c r="F2925" s="156" t="str">
        <f>'Reported burning'!F2925</f>
        <v>Shrubland (Mixed forest &amp; grassland)</v>
      </c>
      <c r="G2925" s="156" t="str">
        <f>'Reported burning'!G2925</f>
        <v>Shrubland (Mixed forest &amp; grassland)</v>
      </c>
      <c r="H2925" s="156" t="str">
        <f>'Reported burning'!H2925</f>
        <v>Presence</v>
      </c>
      <c r="I2925" s="5"/>
      <c r="J2925" s="204" t="s">
        <v>2276</v>
      </c>
      <c r="K2925" s="204" t="s">
        <v>2276</v>
      </c>
      <c r="L2925" s="204" t="s">
        <v>2276</v>
      </c>
      <c r="M2925" s="204" t="s">
        <v>2276</v>
      </c>
      <c r="N2925" s="204" t="s">
        <v>2276</v>
      </c>
      <c r="O2925" s="204" t="s">
        <v>2276</v>
      </c>
      <c r="P2925" s="204" t="s">
        <v>2276</v>
      </c>
      <c r="Q2925" s="204" t="s">
        <v>2276</v>
      </c>
      <c r="R2925" s="204" t="s">
        <v>2276</v>
      </c>
      <c r="S2925" s="204" t="s">
        <v>2276</v>
      </c>
      <c r="T2925" s="204" t="s">
        <v>2276</v>
      </c>
      <c r="U2925" s="204" t="s">
        <v>2276</v>
      </c>
      <c r="V2925" s="204" t="s">
        <v>2276</v>
      </c>
      <c r="W2925" s="204" t="s">
        <v>2276</v>
      </c>
      <c r="X2925" s="204" t="s">
        <v>425</v>
      </c>
      <c r="Y2925" s="204" t="s">
        <v>68</v>
      </c>
      <c r="Z2925" s="204" t="s">
        <v>2655</v>
      </c>
      <c r="AA2925" s="204" t="s">
        <v>7926</v>
      </c>
      <c r="AB2925" s="204"/>
    </row>
    <row r="2926" spans="1:28" ht="28" customHeight="1">
      <c r="A2926" s="156" t="str">
        <f>'Reported burning'!A2926</f>
        <v>311b</v>
      </c>
      <c r="B2926" s="156" t="str">
        <f>'Reported burning'!B2926</f>
        <v>311b.1</v>
      </c>
      <c r="C2926" s="156" t="str">
        <f>'Reported burning'!C2926</f>
        <v>Human, deliberate</v>
      </c>
      <c r="D2926" s="156" t="str">
        <f>'Reported burning'!D2926</f>
        <v>Conservation</v>
      </c>
      <c r="E2926" s="156" t="str">
        <f>'Reported burning'!E2926</f>
        <v>Biodiversity conservation</v>
      </c>
      <c r="F2926" s="156" t="str">
        <f>'Reported burning'!F2926</f>
        <v>Shrubland (Mixed forest &amp; grassland)</v>
      </c>
      <c r="G2926" s="156" t="str">
        <f>'Reported burning'!G2926</f>
        <v>Shrubland (Mixed forest &amp; grassland)</v>
      </c>
      <c r="H2926" s="156" t="str">
        <f>'Reported burning'!H2926</f>
        <v>Presence</v>
      </c>
      <c r="I2926" s="5"/>
      <c r="J2926" s="204" t="s">
        <v>2276</v>
      </c>
      <c r="K2926" s="204" t="s">
        <v>2276</v>
      </c>
      <c r="L2926" s="204" t="s">
        <v>2276</v>
      </c>
      <c r="M2926" s="204" t="s">
        <v>2276</v>
      </c>
      <c r="N2926" s="204" t="s">
        <v>2276</v>
      </c>
      <c r="O2926" s="204" t="s">
        <v>2276</v>
      </c>
      <c r="P2926" s="204" t="s">
        <v>2276</v>
      </c>
      <c r="Q2926" s="204" t="s">
        <v>2276</v>
      </c>
      <c r="R2926" s="204" t="s">
        <v>2276</v>
      </c>
      <c r="S2926" s="204" t="s">
        <v>2276</v>
      </c>
      <c r="T2926" s="204" t="s">
        <v>2276</v>
      </c>
      <c r="U2926" s="204" t="s">
        <v>2276</v>
      </c>
      <c r="V2926" s="204" t="s">
        <v>2276</v>
      </c>
      <c r="W2926" s="204" t="s">
        <v>2276</v>
      </c>
      <c r="X2926" s="204" t="s">
        <v>425</v>
      </c>
      <c r="Y2926" s="204" t="s">
        <v>68</v>
      </c>
      <c r="Z2926" s="204" t="s">
        <v>2655</v>
      </c>
      <c r="AA2926" s="204" t="s">
        <v>7926</v>
      </c>
      <c r="AB2926" s="204"/>
    </row>
    <row r="2927" spans="1:28" ht="33.5" customHeight="1">
      <c r="A2927" s="156" t="str">
        <f>'Reported burning'!A2927</f>
        <v>311c</v>
      </c>
      <c r="B2927" s="156" t="str">
        <f>'Reported burning'!B2927</f>
        <v>311c.1</v>
      </c>
      <c r="C2927" s="156" t="str">
        <f>'Reported burning'!C2927</f>
        <v>Human, deliberate</v>
      </c>
      <c r="D2927" s="156" t="str">
        <f>'Reported burning'!D2927</f>
        <v>Conservation</v>
      </c>
      <c r="E2927" s="156" t="str">
        <f>'Reported burning'!E2927</f>
        <v>Biodiversity conservation</v>
      </c>
      <c r="F2927" s="156" t="str">
        <f>'Reported burning'!F2927</f>
        <v>Shrubland (Mixed forest &amp; grassland)</v>
      </c>
      <c r="G2927" s="156" t="str">
        <f>'Reported burning'!G2927</f>
        <v>Shrubland (Mixed forest &amp; grassland)</v>
      </c>
      <c r="H2927" s="156" t="str">
        <f>'Reported burning'!H2927</f>
        <v>Presence</v>
      </c>
      <c r="I2927" s="5"/>
      <c r="J2927" s="204" t="s">
        <v>2276</v>
      </c>
      <c r="K2927" s="204" t="s">
        <v>2276</v>
      </c>
      <c r="L2927" s="204" t="s">
        <v>2276</v>
      </c>
      <c r="M2927" s="204" t="s">
        <v>2276</v>
      </c>
      <c r="N2927" s="204" t="s">
        <v>2276</v>
      </c>
      <c r="O2927" s="204" t="s">
        <v>2276</v>
      </c>
      <c r="P2927" s="204" t="s">
        <v>2276</v>
      </c>
      <c r="Q2927" s="204" t="s">
        <v>2276</v>
      </c>
      <c r="R2927" s="204" t="s">
        <v>2276</v>
      </c>
      <c r="S2927" s="204" t="s">
        <v>2276</v>
      </c>
      <c r="T2927" s="204" t="s">
        <v>2276</v>
      </c>
      <c r="U2927" s="204" t="s">
        <v>2276</v>
      </c>
      <c r="V2927" s="204" t="s">
        <v>2276</v>
      </c>
      <c r="W2927" s="204" t="s">
        <v>2276</v>
      </c>
      <c r="X2927" s="204" t="s">
        <v>425</v>
      </c>
      <c r="Y2927" s="204" t="s">
        <v>68</v>
      </c>
      <c r="Z2927" s="204" t="s">
        <v>2655</v>
      </c>
      <c r="AA2927" s="204" t="s">
        <v>7926</v>
      </c>
      <c r="AB2927" s="204"/>
    </row>
    <row r="2928" spans="1:28" ht="33.5" customHeight="1">
      <c r="A2928" s="156" t="str">
        <f>'Reported burning'!A2928</f>
        <v>311d</v>
      </c>
      <c r="B2928" s="156" t="str">
        <f>'Reported burning'!B2928</f>
        <v>311d.1</v>
      </c>
      <c r="C2928" s="156" t="str">
        <f>'Reported burning'!C2928</f>
        <v>Human, deliberate</v>
      </c>
      <c r="D2928" s="156" t="str">
        <f>'Reported burning'!D2928</f>
        <v>Conservation</v>
      </c>
      <c r="E2928" s="156" t="str">
        <f>'Reported burning'!E2928</f>
        <v>Biodiversity conservation</v>
      </c>
      <c r="F2928" s="156" t="str">
        <f>'Reported burning'!F2928</f>
        <v>Shrubland (Mixed forest &amp; grassland)</v>
      </c>
      <c r="G2928" s="156" t="str">
        <f>'Reported burning'!G2928</f>
        <v>Shrubland (Mixed forest &amp; grassland)</v>
      </c>
      <c r="H2928" s="156" t="str">
        <f>'Reported burning'!H2928</f>
        <v>Presence</v>
      </c>
      <c r="I2928" s="5"/>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425</v>
      </c>
      <c r="Y2928" s="204" t="s">
        <v>68</v>
      </c>
      <c r="Z2928" s="204" t="s">
        <v>2655</v>
      </c>
      <c r="AA2928" s="204" t="s">
        <v>7926</v>
      </c>
      <c r="AB2928" s="204"/>
    </row>
    <row r="2929" spans="1:28" ht="33.5" customHeight="1">
      <c r="A2929" s="156" t="str">
        <f>'Reported burning'!A2929</f>
        <v>311e</v>
      </c>
      <c r="B2929" s="156" t="str">
        <f>'Reported burning'!B2929</f>
        <v>311e.1</v>
      </c>
      <c r="C2929" s="156" t="str">
        <f>'Reported burning'!C2929</f>
        <v>Human, deliberate</v>
      </c>
      <c r="D2929" s="156" t="str">
        <f>'Reported burning'!D2929</f>
        <v>Pasture renewal</v>
      </c>
      <c r="E2929" s="156" t="str">
        <f>'Reported burning'!E2929</f>
        <v>Cattle, Intensive</v>
      </c>
      <c r="F2929" s="156" t="str">
        <f>'Reported burning'!F2929</f>
        <v>Pasture</v>
      </c>
      <c r="G2929" s="156" t="str">
        <f>'Reported burning'!G2929</f>
        <v>Pasture</v>
      </c>
      <c r="H2929" s="156" t="str">
        <f>'Reported burning'!H2929</f>
        <v>Presence</v>
      </c>
      <c r="I2929" s="5"/>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425</v>
      </c>
      <c r="Y2929" s="204" t="s">
        <v>68</v>
      </c>
      <c r="Z2929" s="204" t="s">
        <v>2655</v>
      </c>
      <c r="AA2929" s="204" t="s">
        <v>7926</v>
      </c>
      <c r="AB2929" s="204"/>
    </row>
    <row r="2930" spans="1:28" ht="33.5" customHeight="1">
      <c r="A2930" s="156" t="str">
        <f>'Reported burning'!A2930</f>
        <v>311f</v>
      </c>
      <c r="B2930" s="156" t="str">
        <f>'Reported burning'!B2930</f>
        <v>311f.1</v>
      </c>
      <c r="C2930" s="156" t="str">
        <f>'Reported burning'!C2930</f>
        <v>Human, deliberate</v>
      </c>
      <c r="D2930" s="156" t="str">
        <f>'Reported burning'!D2930</f>
        <v>Pasture renewal</v>
      </c>
      <c r="E2930" s="156" t="str">
        <f>'Reported burning'!E2930</f>
        <v>Cattle, Intensive</v>
      </c>
      <c r="F2930" s="156" t="str">
        <f>'Reported burning'!F2930</f>
        <v>Pasture</v>
      </c>
      <c r="G2930" s="156" t="str">
        <f>'Reported burning'!G2930</f>
        <v>Pasture</v>
      </c>
      <c r="H2930" s="156" t="str">
        <f>'Reported burning'!H2930</f>
        <v>Presence</v>
      </c>
      <c r="I2930" s="5"/>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425</v>
      </c>
      <c r="Y2930" s="204" t="s">
        <v>68</v>
      </c>
      <c r="Z2930" s="204" t="s">
        <v>2655</v>
      </c>
      <c r="AA2930" s="204" t="s">
        <v>7926</v>
      </c>
      <c r="AB2930" s="204"/>
    </row>
    <row r="2931" spans="1:28" ht="33.5" customHeight="1">
      <c r="A2931" s="156" t="str">
        <f>'Reported burning'!A2931</f>
        <v>311g</v>
      </c>
      <c r="B2931" s="156" t="str">
        <f>'Reported burning'!B2931</f>
        <v>311g.1</v>
      </c>
      <c r="C2931" s="156" t="str">
        <f>'Reported burning'!C2931</f>
        <v>Human, deliberate</v>
      </c>
      <c r="D2931" s="156" t="str">
        <f>'Reported burning'!D2931</f>
        <v>Pasture renewal</v>
      </c>
      <c r="E2931" s="156" t="str">
        <f>'Reported burning'!E2931</f>
        <v>Cattle, Intensive</v>
      </c>
      <c r="F2931" s="156" t="str">
        <f>'Reported burning'!F2931</f>
        <v>Pasture</v>
      </c>
      <c r="G2931" s="156" t="str">
        <f>'Reported burning'!G2931</f>
        <v>Pasture</v>
      </c>
      <c r="H2931" s="156" t="str">
        <f>'Reported burning'!H2931</f>
        <v>Presence</v>
      </c>
      <c r="I2931" s="5"/>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425</v>
      </c>
      <c r="Y2931" s="204" t="s">
        <v>68</v>
      </c>
      <c r="Z2931" s="204" t="s">
        <v>2655</v>
      </c>
      <c r="AA2931" s="204" t="s">
        <v>7926</v>
      </c>
      <c r="AB2931" s="204"/>
    </row>
    <row r="2932" spans="1:28" ht="33.5" customHeight="1">
      <c r="A2932" s="156" t="str">
        <f>'Reported burning'!A2932</f>
        <v>311h</v>
      </c>
      <c r="B2932" s="156" t="str">
        <f>'Reported burning'!B2932</f>
        <v>311h.1</v>
      </c>
      <c r="C2932" s="156" t="str">
        <f>'Reported burning'!C2932</f>
        <v>Human, deliberate</v>
      </c>
      <c r="D2932" s="156" t="str">
        <f>'Reported burning'!D2932</f>
        <v>Pasture renewal</v>
      </c>
      <c r="E2932" s="156" t="str">
        <f>'Reported burning'!E2932</f>
        <v>Pastoralism, Migratory</v>
      </c>
      <c r="F2932" s="156" t="str">
        <f>'Reported burning'!F2932</f>
        <v>Shrubland (Mixed forest &amp; grassland)</v>
      </c>
      <c r="G2932" s="156" t="str">
        <f>'Reported burning'!G2932</f>
        <v>Shrubland (Mixed forest &amp; grassland)</v>
      </c>
      <c r="H2932" s="156" t="str">
        <f>'Reported burning'!H2932</f>
        <v>Absence</v>
      </c>
      <c r="I2932" s="5"/>
      <c r="J2932" s="21" t="s">
        <v>2364</v>
      </c>
      <c r="K2932" s="21" t="s">
        <v>2364</v>
      </c>
      <c r="L2932" s="21" t="s">
        <v>2364</v>
      </c>
      <c r="M2932" s="21" t="s">
        <v>2364</v>
      </c>
      <c r="N2932" s="21" t="s">
        <v>2364</v>
      </c>
      <c r="O2932" s="21" t="s">
        <v>2364</v>
      </c>
      <c r="P2932" s="21" t="s">
        <v>2364</v>
      </c>
      <c r="Q2932" s="21" t="s">
        <v>2364</v>
      </c>
      <c r="R2932" s="21" t="s">
        <v>2364</v>
      </c>
      <c r="S2932" s="21" t="s">
        <v>2364</v>
      </c>
      <c r="T2932" s="21" t="s">
        <v>2364</v>
      </c>
      <c r="U2932" s="21" t="s">
        <v>2364</v>
      </c>
      <c r="V2932" s="21" t="s">
        <v>2364</v>
      </c>
      <c r="W2932" s="204" t="s">
        <v>2276</v>
      </c>
      <c r="X2932" s="204" t="s">
        <v>2276</v>
      </c>
      <c r="Y2932" s="204" t="s">
        <v>2276</v>
      </c>
      <c r="Z2932" s="204" t="s">
        <v>2276</v>
      </c>
      <c r="AA2932" s="204"/>
      <c r="AB2932" s="204"/>
    </row>
    <row r="2933" spans="1:28" ht="33.5" customHeight="1">
      <c r="A2933" s="156" t="str">
        <f>'Reported burning'!A2933</f>
        <v>312a</v>
      </c>
      <c r="B2933" s="156" t="str">
        <f>'Reported burning'!B2933</f>
        <v>312a.1</v>
      </c>
      <c r="C2933" s="156" t="str">
        <f>'Reported burning'!C2933</f>
        <v>Human, deliberate</v>
      </c>
      <c r="D2933" s="156" t="str">
        <f>'Reported burning'!D2933</f>
        <v>Conservation</v>
      </c>
      <c r="E2933" s="156" t="str">
        <f>'Reported burning'!E2933</f>
        <v>Biodiversity conservation</v>
      </c>
      <c r="F2933" s="156" t="str">
        <f>'Reported burning'!F2933</f>
        <v>Shrubland (Mixed forest &amp; grassland)</v>
      </c>
      <c r="G2933" s="156" t="str">
        <f>'Reported burning'!G2933</f>
        <v>Shrubland (Mixed forest &amp; grassland)</v>
      </c>
      <c r="H2933" s="156" t="str">
        <f>'Reported burning'!H2933</f>
        <v>Absence</v>
      </c>
      <c r="I2933" s="5"/>
      <c r="J2933" s="21">
        <v>0</v>
      </c>
      <c r="K2933" s="21">
        <v>0</v>
      </c>
      <c r="L2933" s="21">
        <v>0</v>
      </c>
      <c r="M2933" s="21">
        <v>0</v>
      </c>
      <c r="N2933" s="21">
        <v>0</v>
      </c>
      <c r="O2933" s="21">
        <v>0</v>
      </c>
      <c r="P2933" s="21">
        <v>0</v>
      </c>
      <c r="Q2933" s="21">
        <v>0</v>
      </c>
      <c r="R2933" s="21">
        <v>0</v>
      </c>
      <c r="S2933" s="21">
        <v>0</v>
      </c>
      <c r="T2933" s="21">
        <v>0</v>
      </c>
      <c r="U2933" s="21">
        <v>0</v>
      </c>
      <c r="V2933" s="204" t="s">
        <v>2276</v>
      </c>
      <c r="W2933" s="204" t="s">
        <v>2276</v>
      </c>
      <c r="X2933" s="204" t="s">
        <v>2276</v>
      </c>
      <c r="Y2933" s="204" t="s">
        <v>2276</v>
      </c>
      <c r="Z2933" s="204" t="s">
        <v>2276</v>
      </c>
      <c r="AA2933" s="204"/>
      <c r="AB2933" s="204"/>
    </row>
    <row r="2934" spans="1:28" ht="37" customHeight="1">
      <c r="A2934" s="156" t="str">
        <f>'Reported burning'!A2934</f>
        <v>312a</v>
      </c>
      <c r="B2934" s="156" t="str">
        <f>'Reported burning'!B2934</f>
        <v>312a.2</v>
      </c>
      <c r="C2934" s="156" t="str">
        <f>'Reported burning'!C2934</f>
        <v>Human, deliberate</v>
      </c>
      <c r="D2934" s="156" t="str">
        <f>'Reported burning'!D2934</f>
        <v>Pasture renewal</v>
      </c>
      <c r="E2934" s="156" t="str">
        <f>'Reported burning'!E2934</f>
        <v>Cattle, Extensive</v>
      </c>
      <c r="F2934" s="156" t="str">
        <f>'Reported burning'!F2934</f>
        <v>Shrubland (Mixed forest &amp; grassland)</v>
      </c>
      <c r="G2934" s="156" t="str">
        <f>'Reported burning'!G2934</f>
        <v>Shrubland (Mixed forest &amp; grassland)</v>
      </c>
      <c r="H2934" s="156" t="str">
        <f>'Reported burning'!H2934</f>
        <v>Presence</v>
      </c>
      <c r="I2934" s="5"/>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1" t="s">
        <v>2375</v>
      </c>
      <c r="X2934" s="204" t="s">
        <v>2276</v>
      </c>
      <c r="Y2934" s="204" t="s">
        <v>2276</v>
      </c>
      <c r="Z2934" s="204" t="s">
        <v>2276</v>
      </c>
      <c r="AA2934" s="204"/>
      <c r="AB2934" s="204"/>
    </row>
    <row r="2935" spans="1:28" ht="35" customHeight="1">
      <c r="A2935" s="156" t="str">
        <f>'Reported burning'!A2935</f>
        <v>312a</v>
      </c>
      <c r="B2935" s="156" t="str">
        <f>'Reported burning'!B2935</f>
        <v>312a.3</v>
      </c>
      <c r="C2935" s="156" t="str">
        <f>'Reported burning'!C2935</f>
        <v>All</v>
      </c>
      <c r="D2935" s="156" t="str">
        <f>'Reported burning'!D2935</f>
        <v>All</v>
      </c>
      <c r="E2935" s="156" t="str">
        <f>'Reported burning'!E2935</f>
        <v>All</v>
      </c>
      <c r="F2935" s="156" t="str">
        <f>'Reported burning'!F2935</f>
        <v>ND</v>
      </c>
      <c r="G2935" s="156" t="str">
        <f>'Reported burning'!G2935</f>
        <v>Shrubland (Mixed forest &amp; grassland)</v>
      </c>
      <c r="H2935" s="156" t="str">
        <f>'Reported burning'!H2935</f>
        <v>Presence</v>
      </c>
      <c r="I2935" s="5"/>
      <c r="J2935" s="204" t="s">
        <v>2276</v>
      </c>
      <c r="K2935" s="204" t="s">
        <v>2276</v>
      </c>
      <c r="L2935" s="204" t="s">
        <v>2276</v>
      </c>
      <c r="M2935" s="204" t="s">
        <v>2276</v>
      </c>
      <c r="N2935" s="204" t="s">
        <v>2276</v>
      </c>
      <c r="O2935" s="204" t="s">
        <v>2276</v>
      </c>
      <c r="P2935" s="204" t="s">
        <v>2276</v>
      </c>
      <c r="Q2935" s="204" t="s">
        <v>2276</v>
      </c>
      <c r="R2935" s="204" t="s">
        <v>2276</v>
      </c>
      <c r="S2935" s="204" t="s">
        <v>2276</v>
      </c>
      <c r="T2935" s="204" t="s">
        <v>2276</v>
      </c>
      <c r="U2935" s="204" t="s">
        <v>2276</v>
      </c>
      <c r="V2935" s="204" t="s">
        <v>2276</v>
      </c>
      <c r="W2935" s="204" t="s">
        <v>2276</v>
      </c>
      <c r="X2935" s="204" t="s">
        <v>2276</v>
      </c>
      <c r="Y2935" s="204" t="s">
        <v>2276</v>
      </c>
      <c r="Z2935" s="204" t="s">
        <v>2276</v>
      </c>
      <c r="AA2935" s="204"/>
      <c r="AB2935" s="204"/>
    </row>
    <row r="2936" spans="1:28" ht="41" customHeight="1">
      <c r="A2936" s="156" t="str">
        <f>'Reported burning'!A2936</f>
        <v>312a</v>
      </c>
      <c r="B2936" s="156" t="str">
        <f>'Reported burning'!B2936</f>
        <v>312a.4</v>
      </c>
      <c r="C2936" s="156" t="str">
        <f>'Reported burning'!C2936</f>
        <v>Human, accidental</v>
      </c>
      <c r="D2936" s="156" t="str">
        <f>'Reported burning'!D2936</f>
        <v>ND</v>
      </c>
      <c r="E2936" s="156" t="str">
        <f>'Reported burning'!E2936</f>
        <v>ND</v>
      </c>
      <c r="F2936" s="156" t="str">
        <f>'Reported burning'!F2936</f>
        <v>ND</v>
      </c>
      <c r="G2936" s="156" t="str">
        <f>'Reported burning'!G2936</f>
        <v>Shrubland (Mixed forest &amp; grassland)</v>
      </c>
      <c r="H2936" s="156" t="str">
        <f>'Reported burning'!H2936</f>
        <v>Presence</v>
      </c>
      <c r="I2936" s="5"/>
      <c r="J2936" s="204" t="s">
        <v>2276</v>
      </c>
      <c r="K2936" s="204" t="s">
        <v>2276</v>
      </c>
      <c r="L2936" s="204" t="s">
        <v>2276</v>
      </c>
      <c r="M2936" s="204" t="s">
        <v>2276</v>
      </c>
      <c r="N2936" s="204" t="s">
        <v>2276</v>
      </c>
      <c r="O2936" s="204" t="s">
        <v>2276</v>
      </c>
      <c r="P2936" s="204" t="s">
        <v>2276</v>
      </c>
      <c r="Q2936" s="204" t="s">
        <v>2276</v>
      </c>
      <c r="R2936" s="204" t="s">
        <v>2276</v>
      </c>
      <c r="S2936" s="204" t="s">
        <v>2276</v>
      </c>
      <c r="T2936" s="204" t="s">
        <v>2276</v>
      </c>
      <c r="U2936" s="204" t="s">
        <v>2276</v>
      </c>
      <c r="V2936" s="204" t="s">
        <v>2276</v>
      </c>
      <c r="W2936" s="204" t="s">
        <v>2276</v>
      </c>
      <c r="X2936" s="204" t="s">
        <v>2276</v>
      </c>
      <c r="Y2936" s="204" t="s">
        <v>2276</v>
      </c>
      <c r="Z2936" s="204" t="s">
        <v>2276</v>
      </c>
      <c r="AA2936" s="204"/>
      <c r="AB2936" s="204"/>
    </row>
    <row r="2937" spans="1:28" ht="41" customHeight="1">
      <c r="A2937" s="156" t="str">
        <f>'Reported burning'!A2937</f>
        <v>313a</v>
      </c>
      <c r="B2937" s="156" t="str">
        <f>'Reported burning'!B2937</f>
        <v>313a.1</v>
      </c>
      <c r="C2937" s="156" t="str">
        <f>'Reported burning'!C2937</f>
        <v>All</v>
      </c>
      <c r="D2937" s="156" t="str">
        <f>'Reported burning'!D2937</f>
        <v>ND</v>
      </c>
      <c r="E2937" s="156" t="str">
        <f>'Reported burning'!E2937</f>
        <v>ND</v>
      </c>
      <c r="F2937" s="156" t="str">
        <f>'Reported burning'!F2937</f>
        <v>ND</v>
      </c>
      <c r="G2937" s="156" t="str">
        <f>'Reported burning'!G2937</f>
        <v>ND</v>
      </c>
      <c r="H2937" s="156" t="str">
        <f>'Reported burning'!H2937</f>
        <v>Presence</v>
      </c>
      <c r="I2937" s="5"/>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1" t="s">
        <v>2527</v>
      </c>
      <c r="W2937" s="21" t="s">
        <v>2846</v>
      </c>
      <c r="X2937" s="204" t="s">
        <v>38</v>
      </c>
      <c r="Y2937" s="204" t="s">
        <v>425</v>
      </c>
      <c r="Z2937" s="204" t="s">
        <v>64</v>
      </c>
      <c r="AA2937" s="204"/>
      <c r="AB2937" s="204"/>
    </row>
    <row r="2938" spans="1:28" ht="41" customHeight="1">
      <c r="A2938" s="156" t="str">
        <f>'Reported burning'!A2938</f>
        <v>313a</v>
      </c>
      <c r="B2938" s="156" t="str">
        <f>'Reported burning'!B2938</f>
        <v>313a.2</v>
      </c>
      <c r="C2938" s="156" t="str">
        <f>'Reported burning'!C2938</f>
        <v>All</v>
      </c>
      <c r="D2938" s="156" t="str">
        <f>'Reported burning'!D2938</f>
        <v>ND</v>
      </c>
      <c r="E2938" s="156" t="str">
        <f>'Reported burning'!E2938</f>
        <v>ND</v>
      </c>
      <c r="F2938" s="156" t="str">
        <f>'Reported burning'!F2938</f>
        <v>ND</v>
      </c>
      <c r="G2938" s="156" t="str">
        <f>'Reported burning'!G2938</f>
        <v>ND</v>
      </c>
      <c r="H2938" s="156" t="str">
        <f>'Reported burning'!H2938</f>
        <v>Presence</v>
      </c>
      <c r="I2938" s="5"/>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1" t="s">
        <v>2527</v>
      </c>
      <c r="W2938" s="21" t="s">
        <v>2846</v>
      </c>
      <c r="X2938" s="204" t="s">
        <v>38</v>
      </c>
      <c r="Y2938" s="204" t="s">
        <v>425</v>
      </c>
      <c r="Z2938" s="204" t="s">
        <v>64</v>
      </c>
      <c r="AA2938" s="204"/>
      <c r="AB2938" s="204"/>
    </row>
    <row r="2939" spans="1:28" ht="39" customHeight="1">
      <c r="A2939" s="156" t="str">
        <f>'Reported burning'!A2939</f>
        <v>313a</v>
      </c>
      <c r="B2939" s="156" t="str">
        <f>'Reported burning'!B2939</f>
        <v>313a.3</v>
      </c>
      <c r="C2939" s="156" t="str">
        <f>'Reported burning'!C2939</f>
        <v>All</v>
      </c>
      <c r="D2939" s="156" t="str">
        <f>'Reported burning'!D2939</f>
        <v>ND</v>
      </c>
      <c r="E2939" s="156" t="str">
        <f>'Reported burning'!E2939</f>
        <v>ND</v>
      </c>
      <c r="F2939" s="156" t="str">
        <f>'Reported burning'!F2939</f>
        <v>ND</v>
      </c>
      <c r="G2939" s="156" t="str">
        <f>'Reported burning'!G2939</f>
        <v>ND</v>
      </c>
      <c r="H2939" s="156" t="str">
        <f>'Reported burning'!H2939</f>
        <v>Presence</v>
      </c>
      <c r="I2939" s="5"/>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1" t="s">
        <v>2527</v>
      </c>
      <c r="W2939" s="21" t="s">
        <v>2404</v>
      </c>
      <c r="X2939" s="204" t="s">
        <v>38</v>
      </c>
      <c r="Y2939" s="204" t="s">
        <v>425</v>
      </c>
      <c r="Z2939" s="204" t="s">
        <v>64</v>
      </c>
      <c r="AA2939" s="204"/>
      <c r="AB2939" s="204"/>
    </row>
    <row r="2940" spans="1:28" ht="39" customHeight="1">
      <c r="A2940" s="156" t="str">
        <f>'Reported burning'!A2940</f>
        <v>313a</v>
      </c>
      <c r="B2940" s="156" t="str">
        <f>'Reported burning'!B2940</f>
        <v>313a.4</v>
      </c>
      <c r="C2940" s="156" t="str">
        <f>'Reported burning'!C2940</f>
        <v>All</v>
      </c>
      <c r="D2940" s="156" t="str">
        <f>'Reported burning'!D2940</f>
        <v>ND</v>
      </c>
      <c r="E2940" s="156" t="str">
        <f>'Reported burning'!E2940</f>
        <v>ND</v>
      </c>
      <c r="F2940" s="156" t="str">
        <f>'Reported burning'!F2940</f>
        <v>ND</v>
      </c>
      <c r="G2940" s="156" t="str">
        <f>'Reported burning'!G2940</f>
        <v>ND</v>
      </c>
      <c r="H2940" s="156" t="str">
        <f>'Reported burning'!H2940</f>
        <v>Presence</v>
      </c>
      <c r="I2940" s="5"/>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1" t="s">
        <v>2527</v>
      </c>
      <c r="W2940" s="21" t="s">
        <v>2846</v>
      </c>
      <c r="X2940" s="204" t="s">
        <v>38</v>
      </c>
      <c r="Y2940" s="204" t="s">
        <v>425</v>
      </c>
      <c r="Z2940" s="204" t="s">
        <v>64</v>
      </c>
      <c r="AA2940" s="204"/>
      <c r="AB2940" s="204"/>
    </row>
    <row r="2941" spans="1:28" ht="39" customHeight="1">
      <c r="A2941" s="156" t="str">
        <f>'Reported burning'!A2941</f>
        <v>313a</v>
      </c>
      <c r="B2941" s="156" t="str">
        <f>'Reported burning'!B2941</f>
        <v>313a.5</v>
      </c>
      <c r="C2941" s="156" t="str">
        <f>'Reported burning'!C2941</f>
        <v>All</v>
      </c>
      <c r="D2941" s="156" t="str">
        <f>'Reported burning'!D2941</f>
        <v>ND</v>
      </c>
      <c r="E2941" s="156" t="str">
        <f>'Reported burning'!E2941</f>
        <v>ND</v>
      </c>
      <c r="F2941" s="156" t="str">
        <f>'Reported burning'!F2941</f>
        <v>ND</v>
      </c>
      <c r="G2941" s="156" t="str">
        <f>'Reported burning'!G2941</f>
        <v>ND</v>
      </c>
      <c r="H2941" s="156" t="str">
        <f>'Reported burning'!H2941</f>
        <v>Presence</v>
      </c>
      <c r="I2941" s="5"/>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1" t="s">
        <v>2527</v>
      </c>
      <c r="W2941" s="21" t="s">
        <v>2404</v>
      </c>
      <c r="X2941" s="204" t="s">
        <v>38</v>
      </c>
      <c r="Y2941" s="204" t="s">
        <v>425</v>
      </c>
      <c r="Z2941" s="204" t="s">
        <v>64</v>
      </c>
      <c r="AA2941" s="204"/>
      <c r="AB2941" s="204"/>
    </row>
    <row r="2942" spans="1:28" ht="39" customHeight="1">
      <c r="A2942" s="156" t="str">
        <f>'Reported burning'!A2942</f>
        <v>313b</v>
      </c>
      <c r="B2942" s="156" t="str">
        <f>'Reported burning'!B2942</f>
        <v>313b.1</v>
      </c>
      <c r="C2942" s="156" t="str">
        <f>'Reported burning'!C2942</f>
        <v>All</v>
      </c>
      <c r="D2942" s="156" t="str">
        <f>'Reported burning'!D2942</f>
        <v>ND</v>
      </c>
      <c r="E2942" s="156" t="str">
        <f>'Reported burning'!E2942</f>
        <v>ND</v>
      </c>
      <c r="F2942" s="156" t="str">
        <f>'Reported burning'!F2942</f>
        <v>ND</v>
      </c>
      <c r="G2942" s="156" t="str">
        <f>'Reported burning'!G2942</f>
        <v>ND</v>
      </c>
      <c r="H2942" s="156" t="str">
        <f>'Reported burning'!H2942</f>
        <v>Presence</v>
      </c>
      <c r="I2942" s="5"/>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1" t="s">
        <v>2374</v>
      </c>
      <c r="W2942" s="21" t="s">
        <v>2404</v>
      </c>
      <c r="X2942" s="204" t="s">
        <v>38</v>
      </c>
      <c r="Y2942" s="204" t="s">
        <v>425</v>
      </c>
      <c r="Z2942" s="204" t="s">
        <v>64</v>
      </c>
      <c r="AA2942" s="204"/>
      <c r="AB2942" s="204"/>
    </row>
    <row r="2943" spans="1:28" ht="39" customHeight="1">
      <c r="A2943" s="156" t="str">
        <f>'Reported burning'!A2943</f>
        <v>313b</v>
      </c>
      <c r="B2943" s="156" t="str">
        <f>'Reported burning'!B2943</f>
        <v>313b.2</v>
      </c>
      <c r="C2943" s="156" t="str">
        <f>'Reported burning'!C2943</f>
        <v>All</v>
      </c>
      <c r="D2943" s="156" t="str">
        <f>'Reported burning'!D2943</f>
        <v>ND</v>
      </c>
      <c r="E2943" s="156" t="str">
        <f>'Reported burning'!E2943</f>
        <v>ND</v>
      </c>
      <c r="F2943" s="156" t="str">
        <f>'Reported burning'!F2943</f>
        <v>ND</v>
      </c>
      <c r="G2943" s="156" t="str">
        <f>'Reported burning'!G2943</f>
        <v>ND</v>
      </c>
      <c r="H2943" s="156" t="str">
        <f>'Reported burning'!H2943</f>
        <v>Presence</v>
      </c>
      <c r="I2943" s="5"/>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1" t="s">
        <v>2376</v>
      </c>
      <c r="W2943" s="21" t="s">
        <v>2402</v>
      </c>
      <c r="X2943" s="204" t="s">
        <v>38</v>
      </c>
      <c r="Y2943" s="204" t="s">
        <v>425</v>
      </c>
      <c r="Z2943" s="204" t="s">
        <v>64</v>
      </c>
      <c r="AA2943" s="204"/>
      <c r="AB2943" s="204"/>
    </row>
    <row r="2944" spans="1:28" ht="39" customHeight="1">
      <c r="A2944" s="156" t="str">
        <f>'Reported burning'!A2944</f>
        <v>313b</v>
      </c>
      <c r="B2944" s="156" t="str">
        <f>'Reported burning'!B2944</f>
        <v>313b.3</v>
      </c>
      <c r="C2944" s="156" t="str">
        <f>'Reported burning'!C2944</f>
        <v>All</v>
      </c>
      <c r="D2944" s="156" t="str">
        <f>'Reported burning'!D2944</f>
        <v>ND</v>
      </c>
      <c r="E2944" s="156" t="str">
        <f>'Reported burning'!E2944</f>
        <v>ND</v>
      </c>
      <c r="F2944" s="156" t="str">
        <f>'Reported burning'!F2944</f>
        <v>ND</v>
      </c>
      <c r="G2944" s="156" t="str">
        <f>'Reported burning'!G2944</f>
        <v>ND</v>
      </c>
      <c r="H2944" s="156" t="str">
        <f>'Reported burning'!H2944</f>
        <v>Presence</v>
      </c>
      <c r="I2944" s="5"/>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1" t="s">
        <v>2389</v>
      </c>
      <c r="W2944" s="21" t="s">
        <v>2402</v>
      </c>
      <c r="X2944" s="204" t="s">
        <v>38</v>
      </c>
      <c r="Y2944" s="204" t="s">
        <v>425</v>
      </c>
      <c r="Z2944" s="204" t="s">
        <v>64</v>
      </c>
      <c r="AA2944" s="204"/>
      <c r="AB2944" s="204"/>
    </row>
    <row r="2945" spans="1:28" ht="39" customHeight="1">
      <c r="A2945" s="156" t="str">
        <f>'Reported burning'!A2945</f>
        <v>313b</v>
      </c>
      <c r="B2945" s="156" t="str">
        <f>'Reported burning'!B2945</f>
        <v>313b.4</v>
      </c>
      <c r="C2945" s="156" t="str">
        <f>'Reported burning'!C2945</f>
        <v>All</v>
      </c>
      <c r="D2945" s="156" t="str">
        <f>'Reported burning'!D2945</f>
        <v>ND</v>
      </c>
      <c r="E2945" s="156" t="str">
        <f>'Reported burning'!E2945</f>
        <v>ND</v>
      </c>
      <c r="F2945" s="156" t="str">
        <f>'Reported burning'!F2945</f>
        <v>ND</v>
      </c>
      <c r="G2945" s="156" t="str">
        <f>'Reported burning'!G2945</f>
        <v>ND</v>
      </c>
      <c r="H2945" s="156" t="str">
        <f>'Reported burning'!H2945</f>
        <v>Presence</v>
      </c>
      <c r="I2945" s="5"/>
      <c r="J2945" s="204" t="s">
        <v>2276</v>
      </c>
      <c r="K2945" s="204" t="s">
        <v>2276</v>
      </c>
      <c r="L2945" s="204" t="s">
        <v>2276</v>
      </c>
      <c r="M2945" s="204" t="s">
        <v>2276</v>
      </c>
      <c r="N2945" s="204" t="s">
        <v>2276</v>
      </c>
      <c r="O2945" s="204" t="s">
        <v>2276</v>
      </c>
      <c r="P2945" s="204" t="s">
        <v>2276</v>
      </c>
      <c r="Q2945" s="204" t="s">
        <v>2276</v>
      </c>
      <c r="R2945" s="204" t="s">
        <v>2276</v>
      </c>
      <c r="S2945" s="204" t="s">
        <v>2276</v>
      </c>
      <c r="T2945" s="204" t="s">
        <v>2276</v>
      </c>
      <c r="U2945" s="204" t="s">
        <v>2276</v>
      </c>
      <c r="V2945" s="21" t="s">
        <v>2376</v>
      </c>
      <c r="W2945" s="21" t="s">
        <v>2403</v>
      </c>
      <c r="X2945" s="204" t="s">
        <v>38</v>
      </c>
      <c r="Y2945" s="204" t="s">
        <v>425</v>
      </c>
      <c r="Z2945" s="204" t="s">
        <v>64</v>
      </c>
      <c r="AA2945" s="204"/>
      <c r="AB2945" s="204"/>
    </row>
    <row r="2946" spans="1:28" ht="39" customHeight="1">
      <c r="A2946" s="156" t="str">
        <f>'Reported burning'!A2946</f>
        <v>313b</v>
      </c>
      <c r="B2946" s="156" t="str">
        <f>'Reported burning'!B2946</f>
        <v>313b.5</v>
      </c>
      <c r="C2946" s="156" t="str">
        <f>'Reported burning'!C2946</f>
        <v>All</v>
      </c>
      <c r="D2946" s="156" t="str">
        <f>'Reported burning'!D2946</f>
        <v>ND</v>
      </c>
      <c r="E2946" s="156" t="str">
        <f>'Reported burning'!E2946</f>
        <v>ND</v>
      </c>
      <c r="F2946" s="156" t="str">
        <f>'Reported burning'!F2946</f>
        <v>ND</v>
      </c>
      <c r="G2946" s="156" t="str">
        <f>'Reported burning'!G2946</f>
        <v>ND</v>
      </c>
      <c r="H2946" s="156" t="str">
        <f>'Reported burning'!H2946</f>
        <v>Presence</v>
      </c>
      <c r="I2946" s="5"/>
      <c r="J2946" s="204" t="s">
        <v>2276</v>
      </c>
      <c r="K2946" s="204" t="s">
        <v>2276</v>
      </c>
      <c r="L2946" s="204" t="s">
        <v>2276</v>
      </c>
      <c r="M2946" s="204" t="s">
        <v>2276</v>
      </c>
      <c r="N2946" s="204" t="s">
        <v>2276</v>
      </c>
      <c r="O2946" s="204" t="s">
        <v>2276</v>
      </c>
      <c r="P2946" s="204" t="s">
        <v>2276</v>
      </c>
      <c r="Q2946" s="204" t="s">
        <v>2276</v>
      </c>
      <c r="R2946" s="204" t="s">
        <v>2276</v>
      </c>
      <c r="S2946" s="204" t="s">
        <v>2276</v>
      </c>
      <c r="T2946" s="204" t="s">
        <v>2276</v>
      </c>
      <c r="U2946" s="204" t="s">
        <v>2276</v>
      </c>
      <c r="V2946" s="21" t="s">
        <v>2389</v>
      </c>
      <c r="W2946" s="21" t="s">
        <v>2402</v>
      </c>
      <c r="X2946" s="204" t="s">
        <v>38</v>
      </c>
      <c r="Y2946" s="204" t="s">
        <v>425</v>
      </c>
      <c r="Z2946" s="204" t="s">
        <v>64</v>
      </c>
      <c r="AA2946" s="204"/>
      <c r="AB2946" s="204"/>
    </row>
    <row r="2947" spans="1:28" ht="39" customHeight="1">
      <c r="A2947" s="152" t="str">
        <f>'Reported burning'!A2947</f>
        <v>313b</v>
      </c>
      <c r="B2947" s="152" t="str">
        <f>'Reported burning'!B2947</f>
        <v>313b.6</v>
      </c>
      <c r="C2947" s="152" t="str">
        <f>'Reported burning'!C2947</f>
        <v>Human, deliberate</v>
      </c>
      <c r="D2947" s="152" t="str">
        <f>'Reported burning'!D2947</f>
        <v>Pasture renewal</v>
      </c>
      <c r="E2947" s="152" t="str">
        <f>'Reported burning'!E2947</f>
        <v>Cattle, Extensive</v>
      </c>
      <c r="F2947" s="152" t="str">
        <f>'Reported burning'!F2947</f>
        <v>Shrubland (Mixed forest &amp; grassland)</v>
      </c>
      <c r="G2947" s="152" t="str">
        <f>'Reported burning'!G2947</f>
        <v>Shrubland (Mixed forest &amp; grassland)</v>
      </c>
      <c r="H2947" s="152" t="str">
        <f>'Reported burning'!H2947</f>
        <v>Presence</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1" t="s">
        <v>2402</v>
      </c>
      <c r="X2947" s="204" t="s">
        <v>38</v>
      </c>
      <c r="Y2947" s="204" t="s">
        <v>425</v>
      </c>
      <c r="Z2947" s="204" t="s">
        <v>64</v>
      </c>
      <c r="AA2947" s="204"/>
      <c r="AB2947" s="204"/>
    </row>
    <row r="2948" spans="1:28" ht="39" customHeight="1">
      <c r="A2948" s="152" t="str">
        <f>'Reported burning'!A2948</f>
        <v>313b</v>
      </c>
      <c r="B2948" s="152" t="str">
        <f>'Reported burning'!B2948</f>
        <v>313b.7</v>
      </c>
      <c r="C2948" s="152" t="str">
        <f>'Reported burning'!C2948</f>
        <v>Human, deliberate</v>
      </c>
      <c r="D2948" s="152" t="str">
        <f>'Reported burning'!D2948</f>
        <v>Pasture renewal</v>
      </c>
      <c r="E2948" s="152" t="str">
        <f>'Reported burning'!E2948</f>
        <v>Cattle, Extensive</v>
      </c>
      <c r="F2948" s="152" t="str">
        <f>'Reported burning'!F2948</f>
        <v>Shrubland (Mixed forest &amp; grassland)</v>
      </c>
      <c r="G2948" s="152" t="str">
        <f>'Reported burning'!G2948</f>
        <v>Shrubland (Mixed forest &amp; grassland)</v>
      </c>
      <c r="H2948" s="152" t="str">
        <f>'Reported burning'!H2948</f>
        <v>Presence</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1" t="s">
        <v>2402</v>
      </c>
      <c r="X2948" s="204" t="s">
        <v>38</v>
      </c>
      <c r="Y2948" s="204" t="s">
        <v>425</v>
      </c>
      <c r="Z2948" s="204" t="s">
        <v>64</v>
      </c>
      <c r="AA2948" s="204"/>
      <c r="AB2948" s="204"/>
    </row>
    <row r="2949" spans="1:28" ht="38" customHeight="1">
      <c r="A2949" s="152" t="str">
        <f>'Reported burning'!A2949</f>
        <v>313b</v>
      </c>
      <c r="B2949" s="152" t="str">
        <f>'Reported burning'!B2949</f>
        <v>313b.8</v>
      </c>
      <c r="C2949" s="152" t="str">
        <f>'Reported burning'!C2949</f>
        <v>Human, deliberate</v>
      </c>
      <c r="D2949" s="152" t="str">
        <f>'Reported burning'!D2949</f>
        <v>Pasture renewal</v>
      </c>
      <c r="E2949" s="152" t="str">
        <f>'Reported burning'!E2949</f>
        <v>Cattle, Extensive</v>
      </c>
      <c r="F2949" s="152" t="str">
        <f>'Reported burning'!F2949</f>
        <v>Shrubland (Mixed forest &amp; grassland)</v>
      </c>
      <c r="G2949" s="152" t="str">
        <f>'Reported burning'!G2949</f>
        <v>Shrubland (Mixed forest &amp; grassland)</v>
      </c>
      <c r="H2949" s="152" t="str">
        <f>'Reported burning'!H2949</f>
        <v>Presence</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1" t="s">
        <v>2402</v>
      </c>
      <c r="X2949" s="204" t="s">
        <v>38</v>
      </c>
      <c r="Y2949" s="204" t="s">
        <v>425</v>
      </c>
      <c r="Z2949" s="204" t="s">
        <v>64</v>
      </c>
      <c r="AA2949" s="204"/>
      <c r="AB2949" s="204"/>
    </row>
    <row r="2950" spans="1:28" ht="38" customHeight="1">
      <c r="A2950" s="152" t="str">
        <f>'Reported burning'!A2950</f>
        <v>313b</v>
      </c>
      <c r="B2950" s="152" t="str">
        <f>'Reported burning'!B2950</f>
        <v>313b.9</v>
      </c>
      <c r="C2950" s="152" t="str">
        <f>'Reported burning'!C2950</f>
        <v>Human, deliberate</v>
      </c>
      <c r="D2950" s="152" t="str">
        <f>'Reported burning'!D2950</f>
        <v>Pasture renewal</v>
      </c>
      <c r="E2950" s="152" t="str">
        <f>'Reported burning'!E2950</f>
        <v>Cattle, Extensive</v>
      </c>
      <c r="F2950" s="152" t="str">
        <f>'Reported burning'!F2950</f>
        <v>Shrubland (Mixed forest &amp; grassland)</v>
      </c>
      <c r="G2950" s="152" t="str">
        <f>'Reported burning'!G2950</f>
        <v>Shrubland (Mixed forest &amp; grassland)</v>
      </c>
      <c r="H2950" s="152" t="str">
        <f>'Reported burning'!H2950</f>
        <v>Presence</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1" t="s">
        <v>2402</v>
      </c>
      <c r="X2950" s="204" t="s">
        <v>38</v>
      </c>
      <c r="Y2950" s="204" t="s">
        <v>425</v>
      </c>
      <c r="Z2950" s="204" t="s">
        <v>64</v>
      </c>
      <c r="AA2950" s="204"/>
      <c r="AB2950" s="204"/>
    </row>
    <row r="2951" spans="1:28" ht="38" customHeight="1">
      <c r="A2951" s="152" t="str">
        <f>'Reported burning'!A2951</f>
        <v>313b</v>
      </c>
      <c r="B2951" s="152" t="str">
        <f>'Reported burning'!B2951</f>
        <v>313b.10</v>
      </c>
      <c r="C2951" s="152" t="str">
        <f>'Reported burning'!C2951</f>
        <v>Human, deliberate</v>
      </c>
      <c r="D2951" s="152" t="str">
        <f>'Reported burning'!D2951</f>
        <v>Pasture renewal</v>
      </c>
      <c r="E2951" s="152" t="str">
        <f>'Reported burning'!E2951</f>
        <v>Cattle, Extensive</v>
      </c>
      <c r="F2951" s="152" t="str">
        <f>'Reported burning'!F2951</f>
        <v>Shrubland (Mixed forest &amp; grassland)</v>
      </c>
      <c r="G2951" s="152" t="str">
        <f>'Reported burning'!G2951</f>
        <v>Shrubland (Mixed forest &amp; grassland)</v>
      </c>
      <c r="H2951" s="152" t="str">
        <f>'Reported burning'!H2951</f>
        <v>Presence</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1" t="s">
        <v>2402</v>
      </c>
      <c r="X2951" s="204" t="s">
        <v>38</v>
      </c>
      <c r="Y2951" s="204" t="s">
        <v>425</v>
      </c>
      <c r="Z2951" s="204" t="s">
        <v>64</v>
      </c>
      <c r="AA2951" s="204"/>
      <c r="AB2951" s="204"/>
    </row>
    <row r="2952" spans="1:28" ht="38" customHeight="1">
      <c r="A2952" s="156" t="str">
        <f>'Reported burning'!A2952</f>
        <v>314a</v>
      </c>
      <c r="B2952" s="156" t="str">
        <f>'Reported burning'!B2952</f>
        <v>314a.1</v>
      </c>
      <c r="C2952" s="156" t="str">
        <f>'Reported burning'!C2952</f>
        <v>All</v>
      </c>
      <c r="D2952" s="156" t="str">
        <f>'Reported burning'!D2952</f>
        <v>All</v>
      </c>
      <c r="E2952" s="156" t="str">
        <f>'Reported burning'!E2952</f>
        <v>ND</v>
      </c>
      <c r="F2952" s="156" t="str">
        <f>'Reported burning'!F2952</f>
        <v>ND</v>
      </c>
      <c r="G2952" s="156" t="str">
        <f>'Reported burning'!G2952</f>
        <v>Cropland</v>
      </c>
      <c r="H2952" s="156" t="str">
        <f>'Reported burning'!H2952</f>
        <v>Presence</v>
      </c>
      <c r="I2952" s="5"/>
      <c r="J2952" s="21" t="s">
        <v>2365</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2276</v>
      </c>
      <c r="AA2952" s="204"/>
      <c r="AB2952" s="204"/>
    </row>
    <row r="2953" spans="1:28" ht="38" customHeight="1">
      <c r="A2953" s="156" t="str">
        <f>'Reported burning'!A2953</f>
        <v>314b</v>
      </c>
      <c r="B2953" s="156" t="str">
        <f>'Reported burning'!B2953</f>
        <v>314b.1</v>
      </c>
      <c r="C2953" s="156" t="str">
        <f>'Reported burning'!C2953</f>
        <v>All</v>
      </c>
      <c r="D2953" s="156" t="str">
        <f>'Reported burning'!D2953</f>
        <v>All</v>
      </c>
      <c r="E2953" s="156" t="str">
        <f>'Reported burning'!E2953</f>
        <v>ND</v>
      </c>
      <c r="F2953" s="156" t="str">
        <f>'Reported burning'!F2953</f>
        <v>ND</v>
      </c>
      <c r="G2953" s="156" t="str">
        <f>'Reported burning'!G2953</f>
        <v>Cropland</v>
      </c>
      <c r="H2953" s="156" t="str">
        <f>'Reported burning'!H2953</f>
        <v>Presence</v>
      </c>
      <c r="I2953" s="5"/>
      <c r="J2953" s="21" t="s">
        <v>2366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2276</v>
      </c>
      <c r="AA2953" s="204"/>
      <c r="AB2953" s="204"/>
    </row>
    <row r="2954" spans="1:28" ht="39" customHeight="1">
      <c r="A2954" s="156" t="str">
        <f>'Reported burning'!A2954</f>
        <v>314a</v>
      </c>
      <c r="B2954" s="156" t="str">
        <f>'Reported burning'!B2954</f>
        <v>314a.2</v>
      </c>
      <c r="C2954" s="156" t="str">
        <f>'Reported burning'!C2954</f>
        <v>All</v>
      </c>
      <c r="D2954" s="156" t="str">
        <f>'Reported burning'!D2954</f>
        <v>All</v>
      </c>
      <c r="E2954" s="156" t="str">
        <f>'Reported burning'!E2954</f>
        <v>ND</v>
      </c>
      <c r="F2954" s="156" t="str">
        <f>'Reported burning'!F2954</f>
        <v>ND</v>
      </c>
      <c r="G2954" s="156" t="str">
        <f>'Reported burning'!G2954</f>
        <v>Grassland</v>
      </c>
      <c r="H2954" s="156" t="str">
        <f>'Reported burning'!H2954</f>
        <v>Presence</v>
      </c>
      <c r="I2954" s="5"/>
      <c r="J2954" s="21" t="s">
        <v>2366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04" t="s">
        <v>2276</v>
      </c>
      <c r="Y2954" s="204" t="s">
        <v>2276</v>
      </c>
      <c r="Z2954" s="204" t="s">
        <v>2276</v>
      </c>
      <c r="AA2954" s="204"/>
      <c r="AB2954" s="204"/>
    </row>
    <row r="2955" spans="1:28" ht="39" customHeight="1">
      <c r="A2955" s="156" t="str">
        <f>'Reported burning'!A2955</f>
        <v>314b</v>
      </c>
      <c r="B2955" s="156" t="str">
        <f>'Reported burning'!B2955</f>
        <v>314b.2</v>
      </c>
      <c r="C2955" s="156" t="str">
        <f>'Reported burning'!C2955</f>
        <v>All</v>
      </c>
      <c r="D2955" s="156" t="str">
        <f>'Reported burning'!D2955</f>
        <v>All</v>
      </c>
      <c r="E2955" s="156" t="str">
        <f>'Reported burning'!E2955</f>
        <v>ND</v>
      </c>
      <c r="F2955" s="156" t="str">
        <f>'Reported burning'!F2955</f>
        <v>ND</v>
      </c>
      <c r="G2955" s="156" t="str">
        <f>'Reported burning'!G2955</f>
        <v>Grassland</v>
      </c>
      <c r="H2955" s="156" t="str">
        <f>'Reported burning'!H2955</f>
        <v>Presence</v>
      </c>
      <c r="I2955" s="5"/>
      <c r="J2955" s="21" t="s">
        <v>2367</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2276</v>
      </c>
      <c r="AA2955" s="204"/>
      <c r="AB2955" s="204"/>
    </row>
    <row r="2956" spans="1:28" ht="39" customHeight="1">
      <c r="A2956" s="156" t="str">
        <f>'Reported burning'!A2956</f>
        <v>314b</v>
      </c>
      <c r="B2956" s="156" t="str">
        <f>'Reported burning'!B2956</f>
        <v>314b.3</v>
      </c>
      <c r="C2956" s="156" t="str">
        <f>'Reported burning'!C2956</f>
        <v>Human, deliberate</v>
      </c>
      <c r="D2956" s="156" t="str">
        <f>'Reported burning'!D2956</f>
        <v>Pasture renewal</v>
      </c>
      <c r="E2956" s="156" t="str">
        <f>'Reported burning'!E2956</f>
        <v>Cattle, Intensive</v>
      </c>
      <c r="F2956" s="156" t="str">
        <f>'Reported burning'!F2956</f>
        <v>Grassland</v>
      </c>
      <c r="G2956" s="156" t="str">
        <f>'Reported burning'!G2956</f>
        <v>Grassland</v>
      </c>
      <c r="H2956" s="156" t="str">
        <f>'Reported burning'!H2956</f>
        <v>Presence</v>
      </c>
      <c r="I2956" s="5"/>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04" t="s">
        <v>2276</v>
      </c>
      <c r="Z2956" s="204" t="s">
        <v>2276</v>
      </c>
      <c r="AA2956" s="204"/>
      <c r="AB2956" s="204"/>
    </row>
    <row r="2957" spans="1:28" ht="39" customHeight="1">
      <c r="A2957" s="156" t="str">
        <f>'Reported burning'!A2957</f>
        <v>314b</v>
      </c>
      <c r="B2957" s="156" t="str">
        <f>'Reported burning'!B2957</f>
        <v>314b.4</v>
      </c>
      <c r="C2957" s="156" t="str">
        <f>'Reported burning'!C2957</f>
        <v>Human, deliberate</v>
      </c>
      <c r="D2957" s="156" t="str">
        <f>'Reported burning'!D2957</f>
        <v>Crop residue burning</v>
      </c>
      <c r="E2957" s="156" t="str">
        <f>'Reported burning'!E2957</f>
        <v>Cropping, Intensive</v>
      </c>
      <c r="F2957" s="156" t="str">
        <f>'Reported burning'!F2957</f>
        <v>Cropland</v>
      </c>
      <c r="G2957" s="156" t="str">
        <f>'Reported burning'!G2957</f>
        <v>Cropland</v>
      </c>
      <c r="H2957" s="156" t="str">
        <f>'Reported burning'!H2957</f>
        <v>Presence</v>
      </c>
      <c r="I2957" s="5"/>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2276</v>
      </c>
      <c r="AA2957" s="204"/>
      <c r="AB2957" s="204"/>
    </row>
    <row r="2958" spans="1:28" ht="39" customHeight="1">
      <c r="A2958" s="156" t="str">
        <f>'Reported burning'!A2958</f>
        <v>314b</v>
      </c>
      <c r="B2958" s="156" t="str">
        <f>'Reported burning'!B2958</f>
        <v>314b.5</v>
      </c>
      <c r="C2958" s="156" t="str">
        <f>'Reported burning'!C2958</f>
        <v>All</v>
      </c>
      <c r="D2958" s="156" t="str">
        <f>'Reported burning'!D2958</f>
        <v>All</v>
      </c>
      <c r="E2958" s="156" t="str">
        <f>'Reported burning'!E2958</f>
        <v>Abandoned agricultural land</v>
      </c>
      <c r="F2958" s="156" t="str">
        <f>'Reported burning'!F2958</f>
        <v>Grassland</v>
      </c>
      <c r="G2958" s="156" t="str">
        <f>'Reported burning'!G2958</f>
        <v>Grassland</v>
      </c>
      <c r="H2958" s="156" t="str">
        <f>'Reported burning'!H2958</f>
        <v>Presence</v>
      </c>
      <c r="I2958" s="5"/>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2276</v>
      </c>
      <c r="AA2958" s="204"/>
      <c r="AB2958" s="204"/>
    </row>
    <row r="2959" spans="1:28" ht="39" customHeight="1">
      <c r="A2959" s="156" t="str">
        <f>'Reported burning'!A2959</f>
        <v>315a</v>
      </c>
      <c r="B2959" s="156" t="str">
        <f>'Reported burning'!B2959</f>
        <v>315a.1</v>
      </c>
      <c r="C2959" s="156" t="str">
        <f>'Reported burning'!C2959</f>
        <v>Human, deliberate</v>
      </c>
      <c r="D2959" s="156" t="str">
        <f>'Reported burning'!D2959</f>
        <v>Pasture renewal</v>
      </c>
      <c r="E2959" s="156" t="str">
        <f>'Reported burning'!E2959</f>
        <v>Cattle, Intensive</v>
      </c>
      <c r="F2959" s="156" t="str">
        <f>'Reported burning'!F2959</f>
        <v>Pasture</v>
      </c>
      <c r="G2959" s="156" t="str">
        <f>'Reported burning'!G2959</f>
        <v>Pasture</v>
      </c>
      <c r="H2959" s="156" t="str">
        <f>'Reported burning'!H2959</f>
        <v>Presence</v>
      </c>
      <c r="I2959" s="5"/>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2276</v>
      </c>
      <c r="AA2959" s="204"/>
      <c r="AB2959" s="204"/>
    </row>
    <row r="2960" spans="1:28" ht="40.5" customHeight="1">
      <c r="A2960" s="156" t="str">
        <f>'Reported burning'!A2960</f>
        <v>315a</v>
      </c>
      <c r="B2960" s="156" t="str">
        <f>'Reported burning'!B2960</f>
        <v>315a.2</v>
      </c>
      <c r="C2960" s="156" t="str">
        <f>'Reported burning'!C2960</f>
        <v>Human, deliberate</v>
      </c>
      <c r="D2960" s="156" t="str">
        <f>'Reported burning'!D2960</f>
        <v>Rangeland management</v>
      </c>
      <c r="E2960" s="156" t="str">
        <f>'Reported burning'!E2960</f>
        <v>Cattle, Intensive</v>
      </c>
      <c r="F2960" s="156" t="str">
        <f>'Reported burning'!F2960</f>
        <v>Shrubland (Mixed forest &amp; grassland)</v>
      </c>
      <c r="G2960" s="156" t="str">
        <f>'Reported burning'!G2960</f>
        <v>Shrubland (Mixed forest &amp; grassland)</v>
      </c>
      <c r="H2960" s="156" t="str">
        <f>'Reported burning'!H2960</f>
        <v>Presence</v>
      </c>
      <c r="I2960" s="5"/>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2276</v>
      </c>
      <c r="AA2960" s="204"/>
      <c r="AB2960" s="204"/>
    </row>
    <row r="2961" spans="1:28" ht="36.5" customHeight="1">
      <c r="A2961" s="156" t="str">
        <f>'Reported burning'!A2961</f>
        <v>315a</v>
      </c>
      <c r="B2961" s="156" t="str">
        <f>'Reported burning'!B2961</f>
        <v>315a.3</v>
      </c>
      <c r="C2961" s="156" t="str">
        <f>'Reported burning'!C2961</f>
        <v>Human, deliberate</v>
      </c>
      <c r="D2961" s="156" t="str">
        <f>'Reported burning'!D2961</f>
        <v>Pasture renewal</v>
      </c>
      <c r="E2961" s="156" t="str">
        <f>'Reported burning'!E2961</f>
        <v>Cattle, Extensive</v>
      </c>
      <c r="F2961" s="156" t="str">
        <f>'Reported burning'!F2961</f>
        <v>Pasture</v>
      </c>
      <c r="G2961" s="156" t="str">
        <f>'Reported burning'!G2961</f>
        <v>Pasture</v>
      </c>
      <c r="H2961" s="156" t="str">
        <f>'Reported burning'!H2961</f>
        <v>Presence</v>
      </c>
      <c r="I2961" s="5"/>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2276</v>
      </c>
      <c r="AA2961" s="204"/>
      <c r="AB2961" s="204"/>
    </row>
    <row r="2962" spans="1:28" ht="36.5" customHeight="1">
      <c r="A2962" s="156" t="str">
        <f>'Reported burning'!A2962</f>
        <v>315a</v>
      </c>
      <c r="B2962" s="156" t="str">
        <f>'Reported burning'!B2962</f>
        <v>315a.4</v>
      </c>
      <c r="C2962" s="156" t="str">
        <f>'Reported burning'!C2962</f>
        <v>Human, deliberate</v>
      </c>
      <c r="D2962" s="156" t="str">
        <f>'Reported burning'!D2962</f>
        <v>Rangeland management</v>
      </c>
      <c r="E2962" s="156" t="str">
        <f>'Reported burning'!E2962</f>
        <v>Cattle, Extensive</v>
      </c>
      <c r="F2962" s="156" t="str">
        <f>'Reported burning'!F2962</f>
        <v>Shrubland (Mixed forest &amp; grassland)</v>
      </c>
      <c r="G2962" s="156" t="str">
        <f>'Reported burning'!G2962</f>
        <v>Shrubland (Mixed forest &amp; grassland)</v>
      </c>
      <c r="H2962" s="156" t="str">
        <f>'Reported burning'!H2962</f>
        <v>Presence</v>
      </c>
      <c r="I2962" s="5"/>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2276</v>
      </c>
      <c r="AA2962" s="204"/>
      <c r="AB2962" s="204"/>
    </row>
    <row r="2963" spans="1:28" ht="36.5" customHeight="1">
      <c r="A2963" s="156" t="str">
        <f>'Reported burning'!A2963</f>
        <v>316a</v>
      </c>
      <c r="B2963" s="156" t="str">
        <f>'Reported burning'!B2963</f>
        <v>316a.1</v>
      </c>
      <c r="C2963" s="156" t="str">
        <f>'Reported burning'!C2963</f>
        <v>Human, deliberate</v>
      </c>
      <c r="D2963" s="156" t="str">
        <f>'Reported burning'!D2963</f>
        <v>Conservation</v>
      </c>
      <c r="E2963" s="156" t="str">
        <f>'Reported burning'!E2963</f>
        <v>Biodiversity conservation</v>
      </c>
      <c r="F2963" s="156" t="str">
        <f>'Reported burning'!F2963</f>
        <v>Shrubland (Mixed forest &amp; grassland)</v>
      </c>
      <c r="G2963" s="156" t="str">
        <f>'Reported burning'!G2963</f>
        <v>Shrubland (Mixed forest &amp; grassland)</v>
      </c>
      <c r="H2963" s="156" t="str">
        <f>'Reported burning'!H2963</f>
        <v>Presence</v>
      </c>
      <c r="I2963" s="5"/>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2276</v>
      </c>
      <c r="AA2963" s="204"/>
      <c r="AB2963" s="204"/>
    </row>
    <row r="2964" spans="1:28" ht="36.5" customHeight="1">
      <c r="A2964" s="156" t="str">
        <f>'Reported burning'!A2964</f>
        <v>316b</v>
      </c>
      <c r="B2964" s="156" t="str">
        <f>'Reported burning'!B2964</f>
        <v>316b.1</v>
      </c>
      <c r="C2964" s="156" t="str">
        <f>'Reported burning'!C2964</f>
        <v>Human, deliberate</v>
      </c>
      <c r="D2964" s="156" t="str">
        <f>'Reported burning'!D2964</f>
        <v>Conservation</v>
      </c>
      <c r="E2964" s="156" t="str">
        <f>'Reported burning'!E2964</f>
        <v>Biodiversity conservation</v>
      </c>
      <c r="F2964" s="156" t="str">
        <f>'Reported burning'!F2964</f>
        <v>Shrubland (Mixed forest &amp; grassland)</v>
      </c>
      <c r="G2964" s="156" t="str">
        <f>'Reported burning'!G2964</f>
        <v>Shrubland (Mixed forest &amp; grassland)</v>
      </c>
      <c r="H2964" s="156" t="str">
        <f>'Reported burning'!H2964</f>
        <v>Presence</v>
      </c>
      <c r="I2964" s="5"/>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2276</v>
      </c>
      <c r="AA2964" s="204"/>
      <c r="AB2964" s="204"/>
    </row>
    <row r="2965" spans="1:28" ht="30" customHeight="1">
      <c r="A2965" s="156" t="str">
        <f>'Reported burning'!A2965</f>
        <v>316c</v>
      </c>
      <c r="B2965" s="156" t="str">
        <f>'Reported burning'!B2965</f>
        <v>316c.1</v>
      </c>
      <c r="C2965" s="156" t="str">
        <f>'Reported burning'!C2965</f>
        <v>Human, deliberate</v>
      </c>
      <c r="D2965" s="156" t="str">
        <f>'Reported burning'!D2965</f>
        <v>Conservation</v>
      </c>
      <c r="E2965" s="156" t="str">
        <f>'Reported burning'!E2965</f>
        <v>Biodiversity conservation</v>
      </c>
      <c r="F2965" s="156" t="str">
        <f>'Reported burning'!F2965</f>
        <v>Shrubland (Mixed forest &amp; grassland)</v>
      </c>
      <c r="G2965" s="156" t="str">
        <f>'Reported burning'!G2965</f>
        <v>Shrubland (Mixed forest &amp; grassland)</v>
      </c>
      <c r="H2965" s="156" t="str">
        <f>'Reported burning'!H2965</f>
        <v>Presence</v>
      </c>
      <c r="I2965" s="5"/>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30" customHeight="1">
      <c r="A2966" s="156" t="str">
        <f>'Reported burning'!A2966</f>
        <v>317a</v>
      </c>
      <c r="B2966" s="156" t="str">
        <f>'Reported burning'!B2966</f>
        <v>317a.1</v>
      </c>
      <c r="C2966" s="156" t="str">
        <f>'Reported burning'!C2966</f>
        <v>Human, deliberate</v>
      </c>
      <c r="D2966" s="156" t="str">
        <f>'Reported burning'!D2966</f>
        <v>Rangeland management</v>
      </c>
      <c r="E2966" s="156" t="str">
        <f>'Reported burning'!E2966</f>
        <v>Cattle, Extensive</v>
      </c>
      <c r="F2966" s="156" t="str">
        <f>'Reported burning'!F2966</f>
        <v>Shrubland (Mixed forest &amp; grassland)</v>
      </c>
      <c r="G2966" s="156" t="str">
        <f>'Reported burning'!G2966</f>
        <v>Shrubland (Mixed forest &amp; grassland)</v>
      </c>
      <c r="H2966" s="156" t="str">
        <f>'Reported burning'!H2966</f>
        <v>Presence</v>
      </c>
      <c r="I2966" s="5"/>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c r="AB2966" s="204"/>
    </row>
    <row r="2967" spans="1:28" ht="30" customHeight="1">
      <c r="A2967" s="156" t="str">
        <f>'Reported burning'!A2967</f>
        <v>317a</v>
      </c>
      <c r="B2967" s="156" t="str">
        <f>'Reported burning'!B2967</f>
        <v>317a.2</v>
      </c>
      <c r="C2967" s="156" t="str">
        <f>'Reported burning'!C2967</f>
        <v>Human, escaped</v>
      </c>
      <c r="D2967" s="156" t="str">
        <f>'Reported burning'!D2967</f>
        <v>Rangeland management</v>
      </c>
      <c r="E2967" s="156" t="str">
        <f>'Reported burning'!E2967</f>
        <v>Cattle, Extensive</v>
      </c>
      <c r="F2967" s="156" t="str">
        <f>'Reported burning'!F2967</f>
        <v>Shrubland (Mixed forest &amp; grassland)</v>
      </c>
      <c r="G2967" s="156" t="str">
        <f>'Reported burning'!G2967</f>
        <v>Shrubland (Mixed forest &amp; grassland)</v>
      </c>
      <c r="H2967" s="156" t="str">
        <f>'Reported burning'!H2967</f>
        <v>Presence</v>
      </c>
      <c r="I2967" s="5"/>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c r="AB2967" s="204"/>
    </row>
    <row r="2968" spans="1:28" ht="31" customHeight="1">
      <c r="A2968" s="156" t="str">
        <f>'Reported burning'!A2968</f>
        <v>318a</v>
      </c>
      <c r="B2968" s="156" t="str">
        <f>'Reported burning'!B2968</f>
        <v>318a.1</v>
      </c>
      <c r="C2968" s="156" t="str">
        <f>'Reported burning'!C2968</f>
        <v>Human, deliberate</v>
      </c>
      <c r="D2968" s="156" t="str">
        <f>'Reported burning'!D2968</f>
        <v>Conservation</v>
      </c>
      <c r="E2968" s="156" t="str">
        <f>'Reported burning'!E2968</f>
        <v>Biodiversity conservation</v>
      </c>
      <c r="F2968" s="156" t="str">
        <f>'Reported burning'!F2968</f>
        <v>Shrubland (Mixed forest &amp; grassland)</v>
      </c>
      <c r="G2968" s="156" t="str">
        <f>'Reported burning'!G2968</f>
        <v>Shrubland (Mixed forest &amp; grassland)</v>
      </c>
      <c r="H2968" s="156" t="str">
        <f>'Reported burning'!H2968</f>
        <v>Absence</v>
      </c>
      <c r="I2968" s="5"/>
      <c r="J2968" s="21" t="s">
        <v>2364</v>
      </c>
      <c r="K2968" s="21" t="s">
        <v>2364</v>
      </c>
      <c r="L2968" s="21" t="s">
        <v>2364</v>
      </c>
      <c r="M2968" s="21" t="s">
        <v>2364</v>
      </c>
      <c r="N2968" s="21" t="s">
        <v>2364</v>
      </c>
      <c r="O2968" s="21" t="s">
        <v>2364</v>
      </c>
      <c r="P2968" s="21" t="s">
        <v>2364</v>
      </c>
      <c r="Q2968" s="21" t="s">
        <v>2364</v>
      </c>
      <c r="R2968" s="21" t="s">
        <v>2364</v>
      </c>
      <c r="S2968" s="21" t="s">
        <v>2364</v>
      </c>
      <c r="T2968" s="21" t="s">
        <v>2364</v>
      </c>
      <c r="U2968" s="21" t="s">
        <v>2364</v>
      </c>
      <c r="V2968" s="21" t="s">
        <v>2364</v>
      </c>
      <c r="W2968" s="204" t="s">
        <v>2276</v>
      </c>
      <c r="X2968" s="204" t="s">
        <v>2276</v>
      </c>
      <c r="Y2968" s="204" t="s">
        <v>2276</v>
      </c>
      <c r="Z2968" s="204" t="s">
        <v>2276</v>
      </c>
      <c r="AA2968" s="204"/>
      <c r="AB2968" s="204"/>
    </row>
    <row r="2969" spans="1:28" ht="31" customHeight="1">
      <c r="A2969" s="156" t="str">
        <f>'Reported burning'!A2969</f>
        <v>318b</v>
      </c>
      <c r="B2969" s="156" t="str">
        <f>'Reported burning'!B2969</f>
        <v>318b.1</v>
      </c>
      <c r="C2969" s="156" t="str">
        <f>'Reported burning'!C2969</f>
        <v>Human, deliberate</v>
      </c>
      <c r="D2969" s="156" t="str">
        <f>'Reported burning'!D2969</f>
        <v>Rangeland management</v>
      </c>
      <c r="E2969" s="156" t="str">
        <f>'Reported burning'!E2969</f>
        <v>Cattle, Extensive</v>
      </c>
      <c r="F2969" s="156" t="str">
        <f>'Reported burning'!F2969</f>
        <v>Shrubland (Mixed forest &amp; grassland)</v>
      </c>
      <c r="G2969" s="156" t="str">
        <f>'Reported burning'!G2969</f>
        <v>Shrubland (Mixed forest &amp; 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1" t="s">
        <v>2391</v>
      </c>
      <c r="U2969" s="204" t="s">
        <v>2276</v>
      </c>
      <c r="V2969" s="204" t="s">
        <v>2276</v>
      </c>
      <c r="W2969" s="204" t="s">
        <v>2276</v>
      </c>
      <c r="X2969" s="204" t="s">
        <v>405</v>
      </c>
      <c r="Y2969" s="204" t="s">
        <v>425</v>
      </c>
      <c r="Z2969" s="204" t="s">
        <v>2276</v>
      </c>
      <c r="AA2969" s="204"/>
      <c r="AB2969" s="204"/>
    </row>
    <row r="2970" spans="1:28" ht="42" customHeight="1">
      <c r="A2970" s="156" t="str">
        <f>'Reported burning'!A2970</f>
        <v>318a</v>
      </c>
      <c r="B2970" s="156" t="str">
        <f>'Reported burning'!B2970</f>
        <v>318a.2</v>
      </c>
      <c r="C2970" s="156" t="str">
        <f>'Reported burning'!C2970</f>
        <v>Human, deliberate</v>
      </c>
      <c r="D2970" s="156" t="str">
        <f>'Reported burning'!D2970</f>
        <v>Rangeland management</v>
      </c>
      <c r="E2970" s="156" t="str">
        <f>'Reported burning'!E2970</f>
        <v>Cattle, Extensive</v>
      </c>
      <c r="F2970" s="156" t="str">
        <f>'Reported burning'!F2970</f>
        <v>Shrubland (Mixed forest &amp; grassland)</v>
      </c>
      <c r="G2970" s="156" t="str">
        <f>'Reported burning'!G2970</f>
        <v>Shrubland (Mixed forest &amp; grassland)</v>
      </c>
      <c r="H2970" s="156" t="str">
        <f>'Reported burning'!H2970</f>
        <v>Absence</v>
      </c>
      <c r="I2970" s="5"/>
      <c r="J2970" s="21">
        <v>0</v>
      </c>
      <c r="K2970" s="21">
        <v>0</v>
      </c>
      <c r="L2970" s="21">
        <v>0</v>
      </c>
      <c r="M2970" s="21">
        <v>0</v>
      </c>
      <c r="N2970" s="21">
        <v>0</v>
      </c>
      <c r="O2970" s="21">
        <v>0</v>
      </c>
      <c r="P2970" s="21">
        <v>0</v>
      </c>
      <c r="Q2970" s="21">
        <v>0</v>
      </c>
      <c r="R2970" s="21">
        <v>0</v>
      </c>
      <c r="S2970" s="21">
        <v>0</v>
      </c>
      <c r="T2970" s="21">
        <v>0</v>
      </c>
      <c r="U2970" s="21">
        <v>0</v>
      </c>
      <c r="V2970" s="204" t="s">
        <v>2276</v>
      </c>
      <c r="W2970" s="204" t="s">
        <v>2276</v>
      </c>
      <c r="X2970" s="204" t="s">
        <v>2276</v>
      </c>
      <c r="Y2970" s="204" t="s">
        <v>2276</v>
      </c>
      <c r="Z2970" s="204" t="s">
        <v>2276</v>
      </c>
      <c r="AA2970" s="204"/>
      <c r="AB2970" s="204"/>
    </row>
    <row r="2971" spans="1:28" ht="42" customHeight="1">
      <c r="A2971" s="156" t="str">
        <f>'Reported burning'!A2971</f>
        <v>319a</v>
      </c>
      <c r="B2971" s="156" t="str">
        <f>'Reported burning'!B2971</f>
        <v>319a.1</v>
      </c>
      <c r="C2971" s="156" t="str">
        <f>'Reported burning'!C2971</f>
        <v>Human, deliberate</v>
      </c>
      <c r="D2971" s="156" t="str">
        <f>'Reported burning'!D2971</f>
        <v>Hunting</v>
      </c>
      <c r="E2971" s="156" t="str">
        <f>'Reported burning'!E2971</f>
        <v>Forestry, Traditional</v>
      </c>
      <c r="F2971" s="156" t="str">
        <f>'Reported burning'!F2971</f>
        <v>Shrubland (Mixed forest &amp; grassland)</v>
      </c>
      <c r="G2971" s="156" t="str">
        <f>'Reported burning'!G2971</f>
        <v>Shrubland (Mixed forest &amp; grassland)</v>
      </c>
      <c r="H2971" s="156" t="str">
        <f>'Reported burning'!H2971</f>
        <v>Presence</v>
      </c>
      <c r="I2971" s="5"/>
      <c r="J2971" s="204" t="s">
        <v>2276</v>
      </c>
      <c r="K2971" s="204" t="s">
        <v>2276</v>
      </c>
      <c r="L2971" s="204" t="s">
        <v>2276</v>
      </c>
      <c r="M2971" s="204" t="s">
        <v>2276</v>
      </c>
      <c r="N2971" s="21" t="s">
        <v>2384</v>
      </c>
      <c r="O2971" s="204" t="s">
        <v>2276</v>
      </c>
      <c r="P2971" s="204" t="s">
        <v>2276</v>
      </c>
      <c r="Q2971" s="204" t="s">
        <v>2276</v>
      </c>
      <c r="R2971" s="204" t="s">
        <v>2276</v>
      </c>
      <c r="S2971" s="204" t="s">
        <v>2276</v>
      </c>
      <c r="T2971" s="204" t="s">
        <v>2276</v>
      </c>
      <c r="U2971" s="204" t="s">
        <v>2276</v>
      </c>
      <c r="V2971" s="204" t="s">
        <v>2276</v>
      </c>
      <c r="W2971" s="204" t="s">
        <v>2276</v>
      </c>
      <c r="X2971" s="204" t="s">
        <v>404</v>
      </c>
      <c r="Y2971" s="204" t="s">
        <v>425</v>
      </c>
      <c r="Z2971" s="204" t="s">
        <v>2276</v>
      </c>
      <c r="AA2971" s="204"/>
      <c r="AB2971" s="4" t="s">
        <v>8034</v>
      </c>
    </row>
    <row r="2972" spans="1:28" ht="28" customHeight="1">
      <c r="A2972" s="156" t="str">
        <f>'Reported burning'!A2972</f>
        <v>319a</v>
      </c>
      <c r="B2972" s="156" t="str">
        <f>'Reported burning'!B2972</f>
        <v>319a.2</v>
      </c>
      <c r="C2972" s="156" t="str">
        <f>'Reported burning'!C2972</f>
        <v>Human, deliberate</v>
      </c>
      <c r="D2972" s="156" t="str">
        <f>'Reported burning'!D2972</f>
        <v>Cultural &amp; Spiritual</v>
      </c>
      <c r="E2972" s="156" t="str">
        <f>'Reported burning'!E2972</f>
        <v>Forestry, Traditional</v>
      </c>
      <c r="F2972" s="156" t="str">
        <f>'Reported burning'!F2972</f>
        <v>Shrubland (Mixed forest &amp; grassland)</v>
      </c>
      <c r="G2972" s="156" t="str">
        <f>'Reported burning'!G2972</f>
        <v>Shrubland (Mixed forest &amp; grassland)</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404</v>
      </c>
      <c r="Y2972" s="204" t="s">
        <v>425</v>
      </c>
      <c r="Z2972" s="204" t="s">
        <v>2276</v>
      </c>
      <c r="AA2972" s="204"/>
      <c r="AB2972" s="204"/>
    </row>
    <row r="2973" spans="1:28" ht="52" customHeight="1">
      <c r="A2973" s="156" t="str">
        <f>'Reported burning'!A2973</f>
        <v>320a</v>
      </c>
      <c r="B2973" s="156" t="str">
        <f>'Reported burning'!B2973</f>
        <v>320a.1</v>
      </c>
      <c r="C2973" s="156" t="str">
        <f>'Reported burning'!C2973</f>
        <v>Human, deliberate</v>
      </c>
      <c r="D2973" s="156" t="str">
        <f>'Reported burning'!D2973</f>
        <v>Rangeland management</v>
      </c>
      <c r="E2973" s="156" t="str">
        <f>'Reported burning'!E2973</f>
        <v>Cattle, Intensive</v>
      </c>
      <c r="F2973" s="156" t="str">
        <f>'Reported burning'!F2973</f>
        <v>Shrubland (Mixed forest &amp; grassland)</v>
      </c>
      <c r="G2973" s="156" t="str">
        <f>'Reported burning'!G2973</f>
        <v>Shrubland (Mixed forest &amp; grassland)</v>
      </c>
      <c r="H2973" s="156" t="str">
        <f>'Reported burning'!H2973</f>
        <v>Presence</v>
      </c>
      <c r="I2973" s="5"/>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4" t="s">
        <v>8043</v>
      </c>
      <c r="AB2973" s="204"/>
    </row>
    <row r="2974" spans="1:28" ht="28.5" customHeight="1">
      <c r="A2974" s="156" t="str">
        <f>'Reported burning'!A2974</f>
        <v>320b</v>
      </c>
      <c r="B2974" s="156" t="str">
        <f>'Reported burning'!B2974</f>
        <v>320b.1</v>
      </c>
      <c r="C2974" s="156" t="str">
        <f>'Reported burning'!C2974</f>
        <v>Human, deliberate</v>
      </c>
      <c r="D2974" s="156" t="str">
        <f>'Reported burning'!D2974</f>
        <v>Rangeland management</v>
      </c>
      <c r="E2974" s="156" t="str">
        <f>'Reported burning'!E2974</f>
        <v>Cattle, Extensive</v>
      </c>
      <c r="F2974" s="156" t="str">
        <f>'Reported burning'!F2974</f>
        <v>Shrubland (Mixed forest &amp; grassland)</v>
      </c>
      <c r="G2974" s="156" t="str">
        <f>'Reported burning'!G2974</f>
        <v>Shrubland (Mixed forest &amp; grassland)</v>
      </c>
      <c r="H2974" s="156" t="str">
        <f>'Reported burning'!H2974</f>
        <v>Presence</v>
      </c>
      <c r="I2974" s="5"/>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4" t="s">
        <v>8043</v>
      </c>
      <c r="AB2974" s="204"/>
    </row>
    <row r="2975" spans="1:28" ht="52.5" customHeight="1">
      <c r="A2975" s="156" t="str">
        <f>'Reported burning'!A2975</f>
        <v>321a</v>
      </c>
      <c r="B2975" s="156" t="str">
        <f>'Reported burning'!B2975</f>
        <v>321a.1</v>
      </c>
      <c r="C2975" s="156" t="str">
        <f>'Reported burning'!C2975</f>
        <v>Human, deliberate</v>
      </c>
      <c r="D2975" s="156" t="str">
        <f>'Reported burning'!D2975</f>
        <v>Pasture renewal</v>
      </c>
      <c r="E2975" s="156" t="str">
        <f>'Reported burning'!E2975</f>
        <v>Cattle, Extensive</v>
      </c>
      <c r="F2975" s="156" t="str">
        <f>'Reported burning'!F2975</f>
        <v>Pasture</v>
      </c>
      <c r="G2975" s="156" t="str">
        <f>'Reported burning'!G2975</f>
        <v>Pasture</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c r="AB2975" s="204"/>
    </row>
    <row r="2976" spans="1:28" ht="52.5" customHeight="1">
      <c r="A2976" s="156" t="str">
        <f>'Reported burning'!A2976</f>
        <v>321a</v>
      </c>
      <c r="B2976" s="156" t="str">
        <f>'Reported burning'!B2976</f>
        <v>321a.2</v>
      </c>
      <c r="C2976" s="156" t="str">
        <f>'Reported burning'!C2976</f>
        <v>Human, deliberate</v>
      </c>
      <c r="D2976" s="156" t="str">
        <f>'Reported burning'!D2976</f>
        <v>Forest clearance</v>
      </c>
      <c r="E2976" s="156" t="str">
        <f>'Reported burning'!E2976</f>
        <v>Cattle, Extensive</v>
      </c>
      <c r="F2976" s="156" t="str">
        <f>'Reported burning'!F2976</f>
        <v>Forest</v>
      </c>
      <c r="G2976" s="156" t="str">
        <f>'Reported burning'!G2976</f>
        <v>Forest</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24.5" customHeight="1">
      <c r="A2977" s="156" t="str">
        <f>'Reported burning'!A2977</f>
        <v>321a</v>
      </c>
      <c r="B2977" s="156" t="str">
        <f>'Reported burning'!B2977</f>
        <v>321a.3</v>
      </c>
      <c r="C2977" s="156" t="str">
        <f>'Reported burning'!C2977</f>
        <v>Human, escaped</v>
      </c>
      <c r="D2977" s="156" t="str">
        <f>'Reported burning'!D2977</f>
        <v>Pasture renewal</v>
      </c>
      <c r="E2977" s="156" t="str">
        <f>'Reported burning'!E2977</f>
        <v>Cattle, Extensive</v>
      </c>
      <c r="F2977" s="156" t="str">
        <f>'Reported burning'!F2977</f>
        <v>Pasture</v>
      </c>
      <c r="G2977" s="156" t="str">
        <f>'Reported burning'!G2977</f>
        <v>Forest</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4" t="s">
        <v>8060</v>
      </c>
      <c r="AB2977" s="204"/>
    </row>
    <row r="2978" spans="1:28" ht="24.5" customHeight="1">
      <c r="A2978" s="152" t="str">
        <f>'Reported burning'!A2978</f>
        <v>322a</v>
      </c>
      <c r="B2978" s="152" t="str">
        <f>'Reported burning'!B2978</f>
        <v>322a.1</v>
      </c>
      <c r="C2978" s="152" t="str">
        <f>'Reported burning'!C2978</f>
        <v>Human, deliberate</v>
      </c>
      <c r="D2978" s="152" t="str">
        <f>'Reported burning'!D2978</f>
        <v>Conservation</v>
      </c>
      <c r="E2978" s="152" t="str">
        <f>'Reported burning'!E2978</f>
        <v>Biodiversity conservation</v>
      </c>
      <c r="F2978" s="152" t="str">
        <f>'Reported burning'!F2978</f>
        <v>Shrubland (Mixed forest &amp; grassland)</v>
      </c>
      <c r="G2978" s="152" t="str">
        <f>'Reported burning'!G2978</f>
        <v>Shrubland (Mixed forest &amp; grassland)</v>
      </c>
      <c r="H2978" s="152" t="str">
        <f>'Reported burning'!H2978</f>
        <v>Presence</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4"/>
      <c r="AB2978" s="204"/>
    </row>
    <row r="2979" spans="1:28" ht="38" customHeight="1">
      <c r="A2979" s="152" t="str">
        <f>'Reported burning'!A2979</f>
        <v>323a</v>
      </c>
      <c r="B2979" s="152" t="str">
        <f>'Reported burning'!B2979</f>
        <v>323a.1</v>
      </c>
      <c r="C2979" s="152" t="str">
        <f>'Reported burning'!C2979</f>
        <v>Human, deliberate</v>
      </c>
      <c r="D2979" s="152" t="str">
        <f>'Reported burning'!D2979</f>
        <v>Pasture renewal</v>
      </c>
      <c r="E2979" s="152" t="str">
        <f>'Reported burning'!E2979</f>
        <v>Cattle, Extensive</v>
      </c>
      <c r="F2979" s="152" t="str">
        <f>'Reported burning'!F2979</f>
        <v>Shrubland (Mixed forest &amp; grassland)</v>
      </c>
      <c r="G2979" s="152" t="str">
        <f>'Reported burning'!G2979</f>
        <v>ND</v>
      </c>
      <c r="H2979" s="152" t="str">
        <f>'Reported burning'!H2979</f>
        <v>Presence</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1" t="s">
        <v>2401</v>
      </c>
      <c r="X2979" s="204" t="s">
        <v>2276</v>
      </c>
      <c r="Y2979" s="204" t="s">
        <v>2276</v>
      </c>
      <c r="Z2979" s="204" t="s">
        <v>2276</v>
      </c>
      <c r="AA2979" s="204"/>
      <c r="AB2979" s="204"/>
    </row>
    <row r="2980" spans="1:28" ht="30.5" customHeight="1">
      <c r="A2980" s="152" t="str">
        <f>'Reported burning'!A2980</f>
        <v>324a</v>
      </c>
      <c r="B2980" s="152" t="str">
        <f>'Reported burning'!B2980</f>
        <v>324a.1</v>
      </c>
      <c r="C2980" s="152" t="str">
        <f>'Reported burning'!C2980</f>
        <v>Human, deliberate</v>
      </c>
      <c r="D2980" s="152" t="str">
        <f>'Reported burning'!D2980</f>
        <v>Pasture renewal</v>
      </c>
      <c r="E2980" s="152" t="str">
        <f>'Reported burning'!E2980</f>
        <v>Cattle, Extensive</v>
      </c>
      <c r="F2980" s="152" t="str">
        <f>'Reported burning'!F2980</f>
        <v>Shrubland (Mixed forest &amp; grassland)</v>
      </c>
      <c r="G2980" s="152" t="str">
        <f>'Reported burning'!G2980</f>
        <v>ND</v>
      </c>
      <c r="H2980" s="152" t="str">
        <f>'Reported burning'!H2980</f>
        <v>Presence</v>
      </c>
      <c r="I2980" s="204"/>
      <c r="J2980" s="21" t="s">
        <v>2370</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c r="AB2980" s="4" t="s">
        <v>8080</v>
      </c>
    </row>
    <row r="2981" spans="1:28" ht="39.5" customHeight="1">
      <c r="A2981" s="152" t="str">
        <f>'Reported burning'!A2981</f>
        <v>324a</v>
      </c>
      <c r="B2981" s="152" t="str">
        <f>'Reported burning'!B2981</f>
        <v>324a.2</v>
      </c>
      <c r="C2981" s="152" t="str">
        <f>'Reported burning'!C2981</f>
        <v>Human, deliberate</v>
      </c>
      <c r="D2981" s="152" t="str">
        <f>'Reported burning'!D2981</f>
        <v>Pasture renewal</v>
      </c>
      <c r="E2981" s="152" t="str">
        <f>'Reported burning'!E2981</f>
        <v>Mixed cropping-livestock small holder, Market-oriented</v>
      </c>
      <c r="F2981" s="152" t="str">
        <f>'Reported burning'!F2981</f>
        <v>Shrubland (Mixed forest &amp; grassland)</v>
      </c>
      <c r="G2981" s="152" t="str">
        <f>'Reported burning'!G2981</f>
        <v>ND</v>
      </c>
      <c r="H2981" s="152" t="str">
        <f>'Reported burning'!H2981</f>
        <v>Presence</v>
      </c>
      <c r="I2981" s="204"/>
      <c r="J2981" s="21" t="s">
        <v>2370</v>
      </c>
      <c r="K2981" s="204" t="s">
        <v>2276</v>
      </c>
      <c r="L2981" s="204" t="s">
        <v>2276</v>
      </c>
      <c r="M2981" s="204" t="s">
        <v>2276</v>
      </c>
      <c r="N2981" s="204" t="s">
        <v>2276</v>
      </c>
      <c r="O2981" s="204" t="s">
        <v>2276</v>
      </c>
      <c r="P2981" s="204" t="s">
        <v>2276</v>
      </c>
      <c r="Q2981" s="204" t="s">
        <v>2276</v>
      </c>
      <c r="R2981" s="204" t="s">
        <v>2276</v>
      </c>
      <c r="S2981" s="204" t="s">
        <v>2276</v>
      </c>
      <c r="T2981" s="204" t="s">
        <v>2276</v>
      </c>
      <c r="U2981" s="204" t="s">
        <v>2276</v>
      </c>
      <c r="V2981" s="204" t="s">
        <v>2276</v>
      </c>
      <c r="W2981" s="204" t="s">
        <v>2276</v>
      </c>
      <c r="X2981" s="204" t="s">
        <v>2276</v>
      </c>
      <c r="Y2981" s="204" t="s">
        <v>2276</v>
      </c>
      <c r="Z2981" s="204" t="s">
        <v>2276</v>
      </c>
      <c r="AA2981" s="204"/>
      <c r="AB2981" s="4" t="s">
        <v>8080</v>
      </c>
    </row>
    <row r="2982" spans="1:28" ht="36.5" customHeight="1">
      <c r="A2982" s="156" t="str">
        <f>'Reported burning'!A2982</f>
        <v>325a</v>
      </c>
      <c r="B2982" s="156" t="str">
        <f>'Reported burning'!B2982</f>
        <v>325a.1</v>
      </c>
      <c r="C2982" s="156" t="str">
        <f>'Reported burning'!C2982</f>
        <v>Human, deliberate</v>
      </c>
      <c r="D2982" s="156" t="str">
        <f>'Reported burning'!D2982</f>
        <v>Rangeland management</v>
      </c>
      <c r="E2982" s="156" t="str">
        <f>'Reported burning'!E2982</f>
        <v>Pastoralism, Migratory</v>
      </c>
      <c r="F2982" s="156" t="str">
        <f>'Reported burning'!F2982</f>
        <v>Shrubland (Mixed forest &amp; grassland)</v>
      </c>
      <c r="G2982" s="156" t="str">
        <f>'Reported burning'!G2982</f>
        <v>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425</v>
      </c>
      <c r="Y2982" s="204" t="s">
        <v>68</v>
      </c>
      <c r="Z2982" s="204" t="s">
        <v>2276</v>
      </c>
      <c r="AA2982" s="204"/>
      <c r="AB2982" s="204"/>
    </row>
    <row r="2983" spans="1:28" ht="36.5" customHeight="1">
      <c r="A2983" s="156" t="str">
        <f>'Reported burning'!A2983</f>
        <v>325a</v>
      </c>
      <c r="B2983" s="156" t="str">
        <f>'Reported burning'!B2983</f>
        <v>325a.2</v>
      </c>
      <c r="C2983" s="156" t="str">
        <f>'Reported burning'!C2983</f>
        <v>Human, deliberate</v>
      </c>
      <c r="D2983" s="156" t="str">
        <f>'Reported burning'!D2983</f>
        <v>Rangeland management</v>
      </c>
      <c r="E2983" s="156" t="str">
        <f>'Reported burning'!E2983</f>
        <v>Mixed cropping-livestock small holder, Subsistence-oriented</v>
      </c>
      <c r="F2983" s="156" t="str">
        <f>'Reported burning'!F2983</f>
        <v>Grassland</v>
      </c>
      <c r="G2983" s="156" t="str">
        <f>'Reported burning'!G2983</f>
        <v>ND</v>
      </c>
      <c r="H2983" s="156" t="str">
        <f>'Reported burning'!H2983</f>
        <v>Absence</v>
      </c>
      <c r="I2983" s="5"/>
      <c r="J2983" s="21">
        <v>0</v>
      </c>
      <c r="K2983" s="21">
        <v>0</v>
      </c>
      <c r="L2983" s="21">
        <v>0</v>
      </c>
      <c r="M2983" s="21">
        <v>0</v>
      </c>
      <c r="N2983" s="21">
        <v>0</v>
      </c>
      <c r="O2983" s="21">
        <v>0</v>
      </c>
      <c r="P2983" s="21">
        <v>0</v>
      </c>
      <c r="Q2983" s="21">
        <v>0</v>
      </c>
      <c r="R2983" s="21">
        <v>0</v>
      </c>
      <c r="S2983" s="21">
        <v>0</v>
      </c>
      <c r="T2983" s="21">
        <v>0</v>
      </c>
      <c r="U2983" s="21">
        <v>0</v>
      </c>
      <c r="V2983" s="21">
        <v>0</v>
      </c>
      <c r="W2983" s="204" t="s">
        <v>2276</v>
      </c>
      <c r="X2983" s="204" t="s">
        <v>425</v>
      </c>
      <c r="Y2983" s="204" t="s">
        <v>68</v>
      </c>
      <c r="Z2983" s="204" t="s">
        <v>2276</v>
      </c>
      <c r="AA2983" s="204"/>
      <c r="AB2983" s="204"/>
    </row>
    <row r="2984" spans="1:28" ht="31" customHeight="1">
      <c r="A2984" s="156" t="str">
        <f>'Reported burning'!A2984</f>
        <v>325b</v>
      </c>
      <c r="B2984" s="156" t="str">
        <f>'Reported burning'!B2984</f>
        <v>325b.1</v>
      </c>
      <c r="C2984" s="156" t="str">
        <f>'Reported burning'!C2984</f>
        <v>Human, deliberate</v>
      </c>
      <c r="D2984" s="156" t="str">
        <f>'Reported burning'!D2984</f>
        <v>Rangeland management</v>
      </c>
      <c r="E2984" s="156" t="str">
        <f>'Reported burning'!E2984</f>
        <v>Pastoralism, Migratory</v>
      </c>
      <c r="F2984" s="156" t="str">
        <f>'Reported burning'!F2984</f>
        <v>Shrubland (Mixed forest &amp; grassland)</v>
      </c>
      <c r="G2984" s="156" t="str">
        <f>'Reported burning'!G2984</f>
        <v>ND</v>
      </c>
      <c r="H2984" s="156" t="str">
        <f>'Reported burning'!H2984</f>
        <v>Presence</v>
      </c>
      <c r="I2984" s="5"/>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425</v>
      </c>
      <c r="Y2984" s="204" t="s">
        <v>68</v>
      </c>
      <c r="Z2984" s="204" t="s">
        <v>2276</v>
      </c>
      <c r="AA2984" s="204"/>
      <c r="AB2984" s="204"/>
    </row>
    <row r="2985" spans="1:28" ht="31" customHeight="1">
      <c r="A2985" s="156" t="str">
        <f>'Reported burning'!A2985</f>
        <v>325b</v>
      </c>
      <c r="B2985" s="156" t="str">
        <f>'Reported burning'!B2985</f>
        <v>325b.2</v>
      </c>
      <c r="C2985" s="156" t="str">
        <f>'Reported burning'!C2985</f>
        <v>Human, deliberate</v>
      </c>
      <c r="D2985" s="156" t="str">
        <f>'Reported burning'!D2985</f>
        <v>Rangeland management</v>
      </c>
      <c r="E2985" s="156" t="str">
        <f>'Reported burning'!E2985</f>
        <v>Mixed cropping-livestock small holder, Subsistence-oriented</v>
      </c>
      <c r="F2985" s="156" t="str">
        <f>'Reported burning'!F2985</f>
        <v>Shrubland (Mixed forest &amp; grassland)</v>
      </c>
      <c r="G2985" s="156" t="str">
        <f>'Reported burning'!G2985</f>
        <v>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425</v>
      </c>
      <c r="Y2985" s="204" t="s">
        <v>68</v>
      </c>
      <c r="Z2985" s="204" t="s">
        <v>2276</v>
      </c>
      <c r="AA2985" s="204"/>
      <c r="AB2985" s="204"/>
    </row>
    <row r="2986" spans="1:28" ht="31" customHeight="1">
      <c r="A2986" s="156" t="str">
        <f>'Reported burning'!A2986</f>
        <v>326a</v>
      </c>
      <c r="B2986" s="156" t="str">
        <f>'Reported burning'!B2986</f>
        <v>326a.1</v>
      </c>
      <c r="C2986" s="156" t="str">
        <f>'Reported burning'!C2986</f>
        <v>Human, deliberate</v>
      </c>
      <c r="D2986" s="156" t="str">
        <f>'Reported burning'!D2986</f>
        <v>Crop field preparation</v>
      </c>
      <c r="E2986" s="156" t="str">
        <f>'Reported burning'!E2986</f>
        <v>Cropping, Monoculture, Subsistence-oriented</v>
      </c>
      <c r="F2986" s="156" t="str">
        <f>'Reported burning'!F2986</f>
        <v>Grassland</v>
      </c>
      <c r="G2986" s="156" t="str">
        <f>'Reported burning'!G2986</f>
        <v>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38</v>
      </c>
      <c r="Y2986" s="204" t="s">
        <v>86</v>
      </c>
      <c r="Z2986" s="5" t="s">
        <v>64</v>
      </c>
      <c r="AA2986" s="5" t="s">
        <v>8101</v>
      </c>
      <c r="AB2986" s="204"/>
    </row>
    <row r="2987" spans="1:28" ht="31" customHeight="1">
      <c r="A2987" s="156" t="str">
        <f>'Reported burning'!A2987</f>
        <v>326a</v>
      </c>
      <c r="B2987" s="156" t="str">
        <f>'Reported burning'!B2987</f>
        <v>326a.2</v>
      </c>
      <c r="C2987" s="156" t="str">
        <f>'Reported burning'!C2987</f>
        <v>Human, deliberate</v>
      </c>
      <c r="D2987" s="156" t="str">
        <f>'Reported burning'!D2987</f>
        <v>Rangeland management</v>
      </c>
      <c r="E2987" s="156" t="str">
        <f>'Reported burning'!E2987</f>
        <v>Cropping, Monoculture, Subsistence-oriented</v>
      </c>
      <c r="F2987" s="156" t="str">
        <f>'Reported burning'!F2987</f>
        <v>Shrubland (Mixed forest &amp; grassland)</v>
      </c>
      <c r="G2987" s="156" t="str">
        <f>'Reported burning'!G2987</f>
        <v>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1" t="s">
        <v>2374</v>
      </c>
      <c r="T2987" s="204" t="s">
        <v>2276</v>
      </c>
      <c r="U2987" s="204" t="s">
        <v>2276</v>
      </c>
      <c r="V2987" s="204" t="s">
        <v>2276</v>
      </c>
      <c r="W2987" s="204" t="s">
        <v>2276</v>
      </c>
      <c r="X2987" s="204" t="s">
        <v>86</v>
      </c>
      <c r="Y2987" s="204" t="s">
        <v>68</v>
      </c>
      <c r="Z2987" s="204" t="s">
        <v>2276</v>
      </c>
      <c r="AA2987" s="19" t="s">
        <v>8103</v>
      </c>
      <c r="AB2987" s="204"/>
    </row>
    <row r="2988" spans="1:28" ht="33" customHeight="1">
      <c r="A2988" s="152" t="str">
        <f>'Reported burning'!A2988</f>
        <v>327a</v>
      </c>
      <c r="B2988" s="152" t="str">
        <f>'Reported burning'!B2988</f>
        <v>327a.1</v>
      </c>
      <c r="C2988" s="152" t="str">
        <f>'Reported burning'!C2988</f>
        <v>Human, deliberate</v>
      </c>
      <c r="D2988" s="152" t="str">
        <f>'Reported burning'!D2988</f>
        <v>Rangeland management</v>
      </c>
      <c r="E2988" s="152" t="str">
        <f>'Reported burning'!E2988</f>
        <v>Cattle, Extensive</v>
      </c>
      <c r="F2988" s="152" t="str">
        <f>'Reported burning'!F2988</f>
        <v>Shrubland (Mixed forest &amp; grassland)</v>
      </c>
      <c r="G2988" s="152" t="str">
        <f>'Reported burning'!G2988</f>
        <v>ND</v>
      </c>
      <c r="H2988" s="152" t="str">
        <f>'Reported burning'!H2988</f>
        <v>Presence</v>
      </c>
      <c r="I2988" s="204"/>
      <c r="J2988" s="21" t="s">
        <v>2369</v>
      </c>
      <c r="K2988" s="204" t="s">
        <v>2276</v>
      </c>
      <c r="L2988" s="204" t="s">
        <v>2276</v>
      </c>
      <c r="M2988" s="204" t="s">
        <v>2276</v>
      </c>
      <c r="N2988" s="204" t="s">
        <v>2276</v>
      </c>
      <c r="O2988" s="21" t="s">
        <v>2377</v>
      </c>
      <c r="P2988" s="204" t="s">
        <v>2276</v>
      </c>
      <c r="Q2988" s="21" t="s">
        <v>2376</v>
      </c>
      <c r="R2988" s="204" t="s">
        <v>2276</v>
      </c>
      <c r="S2988" s="204" t="s">
        <v>2276</v>
      </c>
      <c r="T2988" s="204" t="s">
        <v>2276</v>
      </c>
      <c r="U2988" s="204" t="s">
        <v>2276</v>
      </c>
      <c r="V2988" s="21" t="s">
        <v>2374</v>
      </c>
      <c r="W2988" s="21" t="s">
        <v>2375</v>
      </c>
      <c r="X2988" s="204" t="s">
        <v>127</v>
      </c>
      <c r="Y2988" s="204" t="s">
        <v>38</v>
      </c>
      <c r="Z2988" s="204" t="s">
        <v>2276</v>
      </c>
      <c r="AA2988" s="204"/>
      <c r="AB2988" s="4" t="s">
        <v>8110</v>
      </c>
    </row>
    <row r="2989" spans="1:28" ht="38.5" customHeight="1">
      <c r="A2989" s="152" t="str">
        <f>'Reported burning'!A2989</f>
        <v>327a</v>
      </c>
      <c r="B2989" s="152" t="str">
        <f>'Reported burning'!B2989</f>
        <v>327a.2</v>
      </c>
      <c r="C2989" s="152" t="str">
        <f>'Reported burning'!C2989</f>
        <v>Human, escaped</v>
      </c>
      <c r="D2989" s="152" t="str">
        <f>'Reported burning'!D2989</f>
        <v>Rangeland management</v>
      </c>
      <c r="E2989" s="152" t="str">
        <f>'Reported burning'!E2989</f>
        <v>Cattle, Extensive</v>
      </c>
      <c r="F2989" s="152" t="str">
        <f>'Reported burning'!F2989</f>
        <v>Shrubland (Mixed forest &amp; grassland)</v>
      </c>
      <c r="G2989" s="152" t="str">
        <f>'Reported burning'!G2989</f>
        <v>ND</v>
      </c>
      <c r="H2989" s="152" t="str">
        <f>'Reported burning'!H2989</f>
        <v>Presence</v>
      </c>
      <c r="I2989" s="204"/>
      <c r="J2989" s="21" t="s">
        <v>2367</v>
      </c>
      <c r="K2989" s="204" t="s">
        <v>2276</v>
      </c>
      <c r="L2989" s="204" t="s">
        <v>2276</v>
      </c>
      <c r="M2989" s="204" t="s">
        <v>2276</v>
      </c>
      <c r="N2989" s="21" t="s">
        <v>2380</v>
      </c>
      <c r="O2989" s="204" t="s">
        <v>2276</v>
      </c>
      <c r="P2989" s="21" t="s">
        <v>2379</v>
      </c>
      <c r="Q2989" s="204" t="s">
        <v>2276</v>
      </c>
      <c r="R2989" s="204" t="s">
        <v>2276</v>
      </c>
      <c r="S2989" s="204" t="s">
        <v>2276</v>
      </c>
      <c r="T2989" s="204" t="s">
        <v>2276</v>
      </c>
      <c r="U2989" s="204" t="s">
        <v>2276</v>
      </c>
      <c r="V2989" s="21" t="s">
        <v>2374</v>
      </c>
      <c r="W2989" s="204" t="s">
        <v>2276</v>
      </c>
      <c r="X2989" s="204" t="s">
        <v>127</v>
      </c>
      <c r="Y2989" s="204" t="s">
        <v>38</v>
      </c>
      <c r="Z2989" s="204" t="s">
        <v>2276</v>
      </c>
      <c r="AA2989" s="204"/>
      <c r="AB2989" s="4" t="s">
        <v>8110</v>
      </c>
    </row>
    <row r="2990" spans="1:28" ht="45" customHeight="1">
      <c r="A2990" s="156" t="str">
        <f>'Reported burning'!A2990</f>
        <v>327a</v>
      </c>
      <c r="B2990" s="156" t="str">
        <f>'Reported burning'!B2990</f>
        <v>327a.3</v>
      </c>
      <c r="C2990" s="156" t="str">
        <f>'Reported burning'!C2990</f>
        <v>Human, deliberate</v>
      </c>
      <c r="D2990" s="156" t="str">
        <f>'Reported burning'!D2990</f>
        <v>Conservation</v>
      </c>
      <c r="E2990" s="156" t="str">
        <f>'Reported burning'!E2990</f>
        <v>Biodiversity conservation</v>
      </c>
      <c r="F2990" s="156" t="str">
        <f>'Reported burning'!F2990</f>
        <v>Shrubland (Mixed forest &amp; grassland)</v>
      </c>
      <c r="G2990" s="156" t="str">
        <f>'Reported burning'!G2990</f>
        <v>ND</v>
      </c>
      <c r="H2990" s="156" t="str">
        <f>'Reported burning'!H2990</f>
        <v>Absence</v>
      </c>
      <c r="I2990" s="5"/>
      <c r="J2990" s="21">
        <v>0</v>
      </c>
      <c r="K2990" s="21">
        <v>0</v>
      </c>
      <c r="L2990" s="21">
        <v>0</v>
      </c>
      <c r="M2990" s="21">
        <v>0</v>
      </c>
      <c r="N2990" s="21">
        <v>0</v>
      </c>
      <c r="O2990" s="21">
        <v>0</v>
      </c>
      <c r="P2990" s="21">
        <v>0</v>
      </c>
      <c r="Q2990" s="21">
        <v>0</v>
      </c>
      <c r="R2990" s="21">
        <v>0</v>
      </c>
      <c r="S2990" s="21">
        <v>0</v>
      </c>
      <c r="T2990" s="21">
        <v>0</v>
      </c>
      <c r="U2990" s="21">
        <v>0</v>
      </c>
      <c r="V2990" s="21">
        <v>0</v>
      </c>
      <c r="W2990" s="204" t="s">
        <v>2276</v>
      </c>
      <c r="X2990" s="204" t="s">
        <v>2276</v>
      </c>
      <c r="Y2990" s="204" t="s">
        <v>2276</v>
      </c>
      <c r="Z2990" s="204" t="s">
        <v>2276</v>
      </c>
      <c r="AA2990" s="204"/>
      <c r="AB2990" s="204"/>
    </row>
    <row r="2991" spans="1:28" ht="51" customHeight="1">
      <c r="A2991" s="156" t="str">
        <f>'Reported burning'!A2991</f>
        <v>328a</v>
      </c>
      <c r="B2991" s="156" t="str">
        <f>'Reported burning'!B2991</f>
        <v>328a.1</v>
      </c>
      <c r="C2991" s="156" t="str">
        <f>'Reported burning'!C2991</f>
        <v>All</v>
      </c>
      <c r="D2991" s="156" t="str">
        <f>'Reported burning'!D2991</f>
        <v>All</v>
      </c>
      <c r="E2991" s="156" t="str">
        <f>'Reported burning'!E2991</f>
        <v>All</v>
      </c>
      <c r="F2991" s="156" t="str">
        <f>'Reported burning'!F2991</f>
        <v>All</v>
      </c>
      <c r="G2991" s="156" t="str">
        <f>'Reported burning'!G2991</f>
        <v>Forest</v>
      </c>
      <c r="H2991" s="156" t="str">
        <f>'Reported burning'!H2991</f>
        <v>Presence</v>
      </c>
      <c r="I2991" s="5"/>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c r="AB2991" s="204"/>
    </row>
    <row r="2992" spans="1:28" ht="47.5" customHeight="1">
      <c r="A2992" s="156" t="str">
        <f>'Reported burning'!A2992</f>
        <v>328b</v>
      </c>
      <c r="B2992" s="156" t="str">
        <f>'Reported burning'!B2992</f>
        <v>328b.1</v>
      </c>
      <c r="C2992" s="156" t="str">
        <f>'Reported burning'!C2992</f>
        <v>All</v>
      </c>
      <c r="D2992" s="156" t="str">
        <f>'Reported burning'!D2992</f>
        <v>All</v>
      </c>
      <c r="E2992" s="156" t="str">
        <f>'Reported burning'!E2992</f>
        <v>All</v>
      </c>
      <c r="F2992" s="156" t="str">
        <f>'Reported burning'!F2992</f>
        <v>All</v>
      </c>
      <c r="G2992" s="156" t="str">
        <f>'Reported burning'!G2992</f>
        <v>Forest</v>
      </c>
      <c r="H2992" s="156" t="str">
        <f>'Reported burning'!H2992</f>
        <v>Presence</v>
      </c>
      <c r="I2992" s="5"/>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c r="AB2992" s="204"/>
    </row>
    <row r="2993" spans="1:28" ht="32.5" customHeight="1">
      <c r="A2993" s="156" t="str">
        <f>'Reported burning'!A2993</f>
        <v>328c</v>
      </c>
      <c r="B2993" s="156" t="str">
        <f>'Reported burning'!B2993</f>
        <v>328c.1</v>
      </c>
      <c r="C2993" s="156" t="str">
        <f>'Reported burning'!C2993</f>
        <v>All</v>
      </c>
      <c r="D2993" s="156" t="str">
        <f>'Reported burning'!D2993</f>
        <v>All</v>
      </c>
      <c r="E2993" s="156" t="str">
        <f>'Reported burning'!E2993</f>
        <v>All</v>
      </c>
      <c r="F2993" s="156" t="str">
        <f>'Reported burning'!F2993</f>
        <v>All</v>
      </c>
      <c r="G2993" s="156" t="str">
        <f>'Reported burning'!G2993</f>
        <v>Forest</v>
      </c>
      <c r="H2993" s="156" t="str">
        <f>'Reported burning'!H2993</f>
        <v>Presence</v>
      </c>
      <c r="I2993" s="5"/>
      <c r="J2993" s="204" t="s">
        <v>2276</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204"/>
    </row>
    <row r="2994" spans="1:28" ht="32.5" customHeight="1">
      <c r="A2994" s="156" t="str">
        <f>'Reported burning'!A2994</f>
        <v>328d</v>
      </c>
      <c r="B2994" s="156" t="str">
        <f>'Reported burning'!B2994</f>
        <v>328d.1</v>
      </c>
      <c r="C2994" s="156" t="str">
        <f>'Reported burning'!C2994</f>
        <v>All</v>
      </c>
      <c r="D2994" s="156" t="str">
        <f>'Reported burning'!D2994</f>
        <v>All</v>
      </c>
      <c r="E2994" s="156" t="str">
        <f>'Reported burning'!E2994</f>
        <v>All</v>
      </c>
      <c r="F2994" s="156" t="str">
        <f>'Reported burning'!F2994</f>
        <v>All</v>
      </c>
      <c r="G2994" s="156" t="str">
        <f>'Reported burning'!G2994</f>
        <v>Forest</v>
      </c>
      <c r="H2994" s="156" t="str">
        <f>'Reported burning'!H2994</f>
        <v>Presence</v>
      </c>
      <c r="I2994" s="5"/>
      <c r="J2994" s="204" t="s">
        <v>2276</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204"/>
    </row>
    <row r="2995" spans="1:28" ht="32.5" customHeight="1">
      <c r="A2995" s="156" t="str">
        <f>'Reported burning'!A2995</f>
        <v>328a</v>
      </c>
      <c r="B2995" s="156" t="str">
        <f>'Reported burning'!B2995</f>
        <v>328a.2</v>
      </c>
      <c r="C2995" s="156" t="str">
        <f>'Reported burning'!C2995</f>
        <v>Human, escaped</v>
      </c>
      <c r="D2995" s="156" t="str">
        <f>'Reported burning'!D2995</f>
        <v>Land clearance</v>
      </c>
      <c r="E2995" s="156" t="str">
        <f>'Reported burning'!E2995</f>
        <v>Cropping, Monoculture, Market-oriented</v>
      </c>
      <c r="F2995" s="156" t="str">
        <f>'Reported burning'!F2995</f>
        <v>Secondary vegetation</v>
      </c>
      <c r="G2995" s="156" t="str">
        <f>'Reported burning'!G2995</f>
        <v>Forest</v>
      </c>
      <c r="H2995" s="156" t="str">
        <f>'Reported burning'!H2995</f>
        <v>Presence</v>
      </c>
      <c r="I2995" s="5"/>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2276</v>
      </c>
      <c r="AA2995" s="204"/>
      <c r="AB2995" s="204"/>
    </row>
    <row r="2996" spans="1:28" ht="32.5" customHeight="1">
      <c r="A2996" s="156" t="str">
        <f>'Reported burning'!A2996</f>
        <v>328a</v>
      </c>
      <c r="B2996" s="156" t="str">
        <f>'Reported burning'!B2996</f>
        <v>328a.3</v>
      </c>
      <c r="C2996" s="156" t="str">
        <f>'Reported burning'!C2996</f>
        <v>Human, escaped</v>
      </c>
      <c r="D2996" s="156" t="str">
        <f>'Reported burning'!D2996</f>
        <v>Crop residue burning</v>
      </c>
      <c r="E2996" s="156" t="str">
        <f>'Reported burning'!E2996</f>
        <v>Cropping, Monoculture, Market-oriented</v>
      </c>
      <c r="F2996" s="156" t="str">
        <f>'Reported burning'!F2996</f>
        <v>Cropland</v>
      </c>
      <c r="G2996" s="156" t="str">
        <f>'Reported burning'!G2996</f>
        <v>Forest</v>
      </c>
      <c r="H2996" s="156" t="str">
        <f>'Reported burning'!H2996</f>
        <v>Presence</v>
      </c>
      <c r="I2996" s="5"/>
      <c r="J2996" s="204" t="s">
        <v>2276</v>
      </c>
      <c r="K2996" s="204" t="s">
        <v>2276</v>
      </c>
      <c r="L2996" s="204" t="s">
        <v>2276</v>
      </c>
      <c r="M2996" s="204" t="s">
        <v>2276</v>
      </c>
      <c r="N2996" s="204" t="s">
        <v>2276</v>
      </c>
      <c r="O2996" s="204" t="s">
        <v>2276</v>
      </c>
      <c r="P2996" s="204" t="s">
        <v>2276</v>
      </c>
      <c r="Q2996" s="204" t="s">
        <v>2276</v>
      </c>
      <c r="R2996" s="204" t="s">
        <v>2276</v>
      </c>
      <c r="S2996" s="204" t="s">
        <v>2276</v>
      </c>
      <c r="T2996" s="204" t="s">
        <v>2276</v>
      </c>
      <c r="U2996" s="204" t="s">
        <v>2276</v>
      </c>
      <c r="V2996" s="204" t="s">
        <v>2276</v>
      </c>
      <c r="W2996" s="204" t="s">
        <v>2276</v>
      </c>
      <c r="X2996" s="204" t="s">
        <v>2276</v>
      </c>
      <c r="Y2996" s="204" t="s">
        <v>2276</v>
      </c>
      <c r="Z2996" s="204" t="s">
        <v>2276</v>
      </c>
      <c r="AA2996" s="4" t="s">
        <v>8136</v>
      </c>
      <c r="AB2996" s="204"/>
    </row>
    <row r="2997" spans="1:28" ht="32.5" customHeight="1">
      <c r="A2997" s="156" t="str">
        <f>'Reported burning'!A2997</f>
        <v>328a</v>
      </c>
      <c r="B2997" s="156" t="str">
        <f>'Reported burning'!B2997</f>
        <v>328a.4</v>
      </c>
      <c r="C2997" s="156" t="str">
        <f>'Reported burning'!C2997</f>
        <v>Human, accidental</v>
      </c>
      <c r="D2997" s="156" t="str">
        <f>'Reported burning'!D2997</f>
        <v>Accidental</v>
      </c>
      <c r="E2997" s="156" t="str">
        <f>'Reported burning'!E2997</f>
        <v>All</v>
      </c>
      <c r="F2997" s="156" t="str">
        <f>'Reported burning'!F2997</f>
        <v>ND</v>
      </c>
      <c r="G2997" s="156" t="str">
        <f>'Reported burning'!G2997</f>
        <v>Forest</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2276</v>
      </c>
      <c r="AA2997" s="204"/>
      <c r="AB2997" s="204"/>
    </row>
    <row r="2998" spans="1:28" ht="32.5" customHeight="1">
      <c r="A2998" s="156" t="str">
        <f>'Reported burning'!A2998</f>
        <v>328a</v>
      </c>
      <c r="B2998" s="156" t="str">
        <f>'Reported burning'!B2998</f>
        <v>328a.5</v>
      </c>
      <c r="C2998" s="156" t="str">
        <f>'Reported burning'!C2998</f>
        <v>Human, accidental</v>
      </c>
      <c r="D2998" s="156" t="str">
        <f>'Reported burning'!D2998</f>
        <v>Accidental</v>
      </c>
      <c r="E2998" s="156" t="str">
        <f>'Reported burning'!E2998</f>
        <v>Urban planner</v>
      </c>
      <c r="F2998" s="156" t="str">
        <f>'Reported burning'!F2998</f>
        <v>ND</v>
      </c>
      <c r="G2998" s="156" t="str">
        <f>'Reported burning'!G2998</f>
        <v>Forest</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2276</v>
      </c>
      <c r="AA2998" s="204"/>
      <c r="AB2998" s="204"/>
    </row>
    <row r="2999" spans="1:28" ht="32.5" customHeight="1">
      <c r="A2999" s="156" t="str">
        <f>'Reported burning'!A2999</f>
        <v>328a</v>
      </c>
      <c r="B2999" s="156" t="str">
        <f>'Reported burning'!B2999</f>
        <v>328a.6</v>
      </c>
      <c r="C2999" s="156" t="str">
        <f>'Reported burning'!C2999</f>
        <v>Human, deliberate</v>
      </c>
      <c r="D2999" s="156" t="str">
        <f>'Reported burning'!D2999</f>
        <v>Forest clearance</v>
      </c>
      <c r="E2999" s="156" t="str">
        <f>'Reported burning'!E2999</f>
        <v>Cattle, Extensive</v>
      </c>
      <c r="F2999" s="156" t="str">
        <f>'Reported burning'!F2999</f>
        <v>Forest</v>
      </c>
      <c r="G2999" s="156" t="str">
        <f>'Reported burning'!G2999</f>
        <v>Forest</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04" t="s">
        <v>2276</v>
      </c>
      <c r="Z2999" s="204" t="s">
        <v>2276</v>
      </c>
      <c r="AA2999" s="204"/>
      <c r="AB2999" s="204"/>
    </row>
    <row r="3000" spans="1:28" ht="32.5" customHeight="1">
      <c r="A3000" s="156" t="str">
        <f>'Reported burning'!A3000</f>
        <v>328a</v>
      </c>
      <c r="B3000" s="156" t="str">
        <f>'Reported burning'!B3000</f>
        <v>328a.7</v>
      </c>
      <c r="C3000" s="156" t="str">
        <f>'Reported burning'!C3000</f>
        <v>Human, escaped</v>
      </c>
      <c r="D3000" s="156" t="str">
        <f>'Reported burning'!D3000</f>
        <v>Pasture renewal</v>
      </c>
      <c r="E3000" s="156" t="str">
        <f>'Reported burning'!E3000</f>
        <v>Cattle, Extensive</v>
      </c>
      <c r="F3000" s="156" t="str">
        <f>'Reported burning'!F3000</f>
        <v>Pasture</v>
      </c>
      <c r="G3000" s="156" t="str">
        <f>'Reported burning'!G3000</f>
        <v>Forest</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2276</v>
      </c>
      <c r="AA3000" s="204"/>
      <c r="AB3000" s="204"/>
    </row>
    <row r="3001" spans="1:28" ht="32.5" customHeight="1">
      <c r="A3001" s="156" t="str">
        <f>'Reported burning'!A3001</f>
        <v>328a</v>
      </c>
      <c r="B3001" s="156" t="str">
        <f>'Reported burning'!B3001</f>
        <v>328a.8</v>
      </c>
      <c r="C3001" s="156" t="str">
        <f>'Reported burning'!C3001</f>
        <v>Human, deliberate</v>
      </c>
      <c r="D3001" s="156" t="str">
        <f>'Reported burning'!D3001</f>
        <v>Arson</v>
      </c>
      <c r="E3001" s="156" t="str">
        <f>'Reported burning'!E3001</f>
        <v>All</v>
      </c>
      <c r="F3001" s="156" t="str">
        <f>'Reported burning'!F3001</f>
        <v>Cropland</v>
      </c>
      <c r="G3001" s="156" t="str">
        <f>'Reported burning'!G3001</f>
        <v>Forest</v>
      </c>
      <c r="H3001" s="156" t="str">
        <f>'Reported burning'!H3001</f>
        <v>Presence</v>
      </c>
      <c r="I3001" s="5"/>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2276</v>
      </c>
      <c r="AA3001" s="204"/>
      <c r="AB3001" s="204"/>
    </row>
    <row r="3002" spans="1:28" ht="32.5" customHeight="1">
      <c r="A3002" s="156" t="str">
        <f>'Reported burning'!A3002</f>
        <v>328b</v>
      </c>
      <c r="B3002" s="156" t="str">
        <f>'Reported burning'!B3002</f>
        <v>328b.2</v>
      </c>
      <c r="C3002" s="156" t="str">
        <f>'Reported burning'!C3002</f>
        <v>Human, deliberate</v>
      </c>
      <c r="D3002" s="156" t="str">
        <f>'Reported burning'!D3002</f>
        <v>Arson</v>
      </c>
      <c r="E3002" s="156" t="str">
        <f>'Reported burning'!E3002</f>
        <v>Fire suppression agent</v>
      </c>
      <c r="F3002" s="156" t="str">
        <f>'Reported burning'!F3002</f>
        <v>Forest</v>
      </c>
      <c r="G3002" s="156" t="str">
        <f>'Reported burning'!G3002</f>
        <v>Forest</v>
      </c>
      <c r="H3002" s="156" t="str">
        <f>'Reported burning'!H3002</f>
        <v>Presence</v>
      </c>
      <c r="I3002" s="5"/>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2276</v>
      </c>
      <c r="AA3002" s="204"/>
      <c r="AB3002" s="204"/>
    </row>
    <row r="3003" spans="1:28" ht="32.5" customHeight="1">
      <c r="A3003" s="156" t="str">
        <f>'Reported burning'!A3003</f>
        <v>328b</v>
      </c>
      <c r="B3003" s="156" t="str">
        <f>'Reported burning'!B3003</f>
        <v>328b.3</v>
      </c>
      <c r="C3003" s="156" t="str">
        <f>'Reported burning'!C3003</f>
        <v>Human, escaped</v>
      </c>
      <c r="D3003" s="156" t="str">
        <f>'Reported burning'!D3003</f>
        <v>Crop residue burning</v>
      </c>
      <c r="E3003" s="156" t="str">
        <f>'Reported burning'!E3003</f>
        <v>Cropping, Monoculture, Market-oriented</v>
      </c>
      <c r="F3003" s="156" t="str">
        <f>'Reported burning'!F3003</f>
        <v>Cropland</v>
      </c>
      <c r="G3003" s="156" t="str">
        <f>'Reported burning'!G3003</f>
        <v>Forest</v>
      </c>
      <c r="H3003" s="156" t="str">
        <f>'Reported burning'!H3003</f>
        <v>Presence</v>
      </c>
      <c r="I3003" s="5"/>
      <c r="J3003" s="204" t="s">
        <v>2276</v>
      </c>
      <c r="K3003" s="204" t="s">
        <v>2276</v>
      </c>
      <c r="L3003" s="204" t="s">
        <v>2276</v>
      </c>
      <c r="M3003" s="204" t="s">
        <v>2276</v>
      </c>
      <c r="N3003" s="204" t="s">
        <v>2276</v>
      </c>
      <c r="O3003" s="204" t="s">
        <v>2276</v>
      </c>
      <c r="P3003" s="204" t="s">
        <v>2276</v>
      </c>
      <c r="Q3003" s="204" t="s">
        <v>2276</v>
      </c>
      <c r="R3003" s="204" t="s">
        <v>2276</v>
      </c>
      <c r="S3003" s="204" t="s">
        <v>2276</v>
      </c>
      <c r="T3003" s="204" t="s">
        <v>2276</v>
      </c>
      <c r="U3003" s="204" t="s">
        <v>2276</v>
      </c>
      <c r="V3003" s="204" t="s">
        <v>2276</v>
      </c>
      <c r="W3003" s="204" t="s">
        <v>2276</v>
      </c>
      <c r="X3003" s="204" t="s">
        <v>2276</v>
      </c>
      <c r="Y3003" s="204" t="s">
        <v>2276</v>
      </c>
      <c r="Z3003" s="204" t="s">
        <v>2276</v>
      </c>
      <c r="AA3003" s="204"/>
      <c r="AB3003" s="204"/>
    </row>
    <row r="3004" spans="1:28" ht="32.5" customHeight="1">
      <c r="A3004" s="156" t="str">
        <f>'Reported burning'!A3004</f>
        <v>328b</v>
      </c>
      <c r="B3004" s="156" t="str">
        <f>'Reported burning'!B3004</f>
        <v>328b.4</v>
      </c>
      <c r="C3004" s="156" t="str">
        <f>'Reported burning'!C3004</f>
        <v>Human, deliberate</v>
      </c>
      <c r="D3004" s="156" t="str">
        <f>'Reported burning'!D3004</f>
        <v>Arson</v>
      </c>
      <c r="E3004" s="156" t="str">
        <f>'Reported burning'!E3004</f>
        <v>Cropping, Monoculture, Market-oriented</v>
      </c>
      <c r="F3004" s="156" t="str">
        <f>'Reported burning'!F3004</f>
        <v>Forest</v>
      </c>
      <c r="G3004" s="156" t="str">
        <f>'Reported burning'!G3004</f>
        <v>Forest</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32.5" customHeight="1">
      <c r="A3005" s="156" t="str">
        <f>'Reported burning'!A3005</f>
        <v>328b</v>
      </c>
      <c r="B3005" s="156" t="str">
        <f>'Reported burning'!B3005</f>
        <v>328b.5</v>
      </c>
      <c r="C3005" s="156" t="str">
        <f>'Reported burning'!C3005</f>
        <v>Human, deliberate</v>
      </c>
      <c r="D3005" s="156" t="str">
        <f>'Reported burning'!D3005</f>
        <v>Arson</v>
      </c>
      <c r="E3005" s="156" t="str">
        <f>'Reported burning'!E3005</f>
        <v>Cropping, Monoculture, Market-oriented</v>
      </c>
      <c r="F3005" s="156" t="str">
        <f>'Reported burning'!F3005</f>
        <v>Cropland</v>
      </c>
      <c r="G3005" s="156" t="str">
        <f>'Reported burning'!G3005</f>
        <v>Forest</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2.5" customHeight="1">
      <c r="A3006" s="156" t="str">
        <f>'Reported burning'!A3006</f>
        <v>328b</v>
      </c>
      <c r="B3006" s="156" t="str">
        <f>'Reported burning'!B3006</f>
        <v>328b.6</v>
      </c>
      <c r="C3006" s="156" t="str">
        <f>'Reported burning'!C3006</f>
        <v>Human, escaped</v>
      </c>
      <c r="D3006" s="156" t="str">
        <f>'Reported burning'!D3006</f>
        <v>Land clearance</v>
      </c>
      <c r="E3006" s="156" t="str">
        <f>'Reported burning'!E3006</f>
        <v>Cropping, Monoculture, Market-oriented</v>
      </c>
      <c r="F3006" s="156" t="str">
        <f>'Reported burning'!F3006</f>
        <v>Secondary vegetation</v>
      </c>
      <c r="G3006" s="156" t="str">
        <f>'Reported burning'!G3006</f>
        <v>Forest</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2.5" customHeight="1">
      <c r="A3007" s="156" t="str">
        <f>'Reported burning'!A3007</f>
        <v>328c</v>
      </c>
      <c r="B3007" s="156" t="str">
        <f>'Reported burning'!B3007</f>
        <v>328c.2</v>
      </c>
      <c r="C3007" s="156" t="str">
        <f>'Reported burning'!C3007</f>
        <v>Human, escaped</v>
      </c>
      <c r="D3007" s="156" t="str">
        <f>'Reported burning'!D3007</f>
        <v>Crop residue burning</v>
      </c>
      <c r="E3007" s="156" t="str">
        <f>'Reported burning'!E3007</f>
        <v>Cropping, Monoculture, Market-oriented</v>
      </c>
      <c r="F3007" s="156" t="str">
        <f>'Reported burning'!F3007</f>
        <v>Cropland</v>
      </c>
      <c r="G3007" s="156" t="str">
        <f>'Reported burning'!G3007</f>
        <v>Forest</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2.5" customHeight="1">
      <c r="A3008" s="156" t="str">
        <f>'Reported burning'!A3008</f>
        <v>328c</v>
      </c>
      <c r="B3008" s="156" t="str">
        <f>'Reported burning'!B3008</f>
        <v>328c.3</v>
      </c>
      <c r="C3008" s="156" t="str">
        <f>'Reported burning'!C3008</f>
        <v>Human, deliberate</v>
      </c>
      <c r="D3008" s="156" t="str">
        <f>'Reported burning'!D3008</f>
        <v>Arson</v>
      </c>
      <c r="E3008" s="156" t="str">
        <f>'Reported burning'!E3008</f>
        <v>Fire suppression agent</v>
      </c>
      <c r="F3008" s="156" t="str">
        <f>'Reported burning'!F3008</f>
        <v>Forest</v>
      </c>
      <c r="G3008" s="156" t="str">
        <f>'Reported burning'!G3008</f>
        <v>Forest</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2.5" customHeight="1">
      <c r="A3009" s="156" t="str">
        <f>'Reported burning'!A3009</f>
        <v>328c</v>
      </c>
      <c r="B3009" s="156" t="str">
        <f>'Reported burning'!B3009</f>
        <v>328c.4</v>
      </c>
      <c r="C3009" s="156" t="str">
        <f>'Reported burning'!C3009</f>
        <v>Lightning</v>
      </c>
      <c r="D3009" s="156" t="str">
        <f>'Reported burning'!D3009</f>
        <v>ND</v>
      </c>
      <c r="E3009" s="156" t="str">
        <f>'Reported burning'!E3009</f>
        <v>ND</v>
      </c>
      <c r="F3009" s="156" t="str">
        <f>'Reported burning'!F3009</f>
        <v>ND</v>
      </c>
      <c r="G3009" s="156" t="str">
        <f>'Reported burning'!G3009</f>
        <v>Forest</v>
      </c>
      <c r="H3009" s="156" t="str">
        <f>'Reported burning'!H3009</f>
        <v>Presence</v>
      </c>
      <c r="I3009" s="5"/>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c r="AB3009" s="204"/>
    </row>
    <row r="3010" spans="1:28" ht="32.5" customHeight="1">
      <c r="A3010" s="156" t="str">
        <f>'Reported burning'!A3010</f>
        <v>328c</v>
      </c>
      <c r="B3010" s="156" t="str">
        <f>'Reported burning'!B3010</f>
        <v>328c.5</v>
      </c>
      <c r="C3010" s="156" t="str">
        <f>'Reported burning'!C3010</f>
        <v>Human, escaped</v>
      </c>
      <c r="D3010" s="156" t="str">
        <f>'Reported burning'!D3010</f>
        <v>Pasture renewal</v>
      </c>
      <c r="E3010" s="156" t="str">
        <f>'Reported burning'!E3010</f>
        <v>Cattle, Extensive</v>
      </c>
      <c r="F3010" s="156" t="str">
        <f>'Reported burning'!F3010</f>
        <v>Pasture</v>
      </c>
      <c r="G3010" s="156" t="str">
        <f>'Reported burning'!G3010</f>
        <v>Forest</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c r="AB3010" s="204"/>
    </row>
    <row r="3011" spans="1:28" ht="32.5" customHeight="1">
      <c r="A3011" s="156" t="str">
        <f>'Reported burning'!A3011</f>
        <v>328c</v>
      </c>
      <c r="B3011" s="156" t="str">
        <f>'Reported burning'!B3011</f>
        <v>328c.6</v>
      </c>
      <c r="C3011" s="156" t="str">
        <f>'Reported burning'!C3011</f>
        <v>Human, deliberate</v>
      </c>
      <c r="D3011" s="156" t="str">
        <f>'Reported burning'!D3011</f>
        <v>Arson</v>
      </c>
      <c r="E3011" s="156" t="str">
        <f>'Reported burning'!E3011</f>
        <v>Cropping, Monoculture, Market-oriented</v>
      </c>
      <c r="F3011" s="156" t="str">
        <f>'Reported burning'!F3011</f>
        <v>Cropland</v>
      </c>
      <c r="G3011" s="156" t="str">
        <f>'Reported burning'!G3011</f>
        <v>Forest</v>
      </c>
      <c r="H3011" s="156" t="str">
        <f>'Reported burning'!H3011</f>
        <v>Presence</v>
      </c>
      <c r="I3011" s="5"/>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c r="AB3011" s="204"/>
    </row>
    <row r="3012" spans="1:28" ht="32.5" customHeight="1">
      <c r="A3012" s="156" t="str">
        <f>'Reported burning'!A3012</f>
        <v>328c</v>
      </c>
      <c r="B3012" s="156" t="str">
        <f>'Reported burning'!B3012</f>
        <v>328c.7</v>
      </c>
      <c r="C3012" s="156" t="str">
        <f>'Reported burning'!C3012</f>
        <v>Human, deliberate</v>
      </c>
      <c r="D3012" s="156" t="str">
        <f>'Reported burning'!D3012</f>
        <v>Arson</v>
      </c>
      <c r="E3012" s="156" t="str">
        <f>'Reported burning'!E3012</f>
        <v>Cattle, Extensive</v>
      </c>
      <c r="F3012" s="156" t="str">
        <f>'Reported burning'!F3012</f>
        <v>Cropland</v>
      </c>
      <c r="G3012" s="156" t="str">
        <f>'Reported burning'!G3012</f>
        <v>Forest</v>
      </c>
      <c r="H3012" s="156" t="str">
        <f>'Reported burning'!H3012</f>
        <v>Presence</v>
      </c>
      <c r="I3012" s="5"/>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c r="AB3012" s="204"/>
    </row>
    <row r="3013" spans="1:28" ht="32.5" customHeight="1">
      <c r="A3013" s="156" t="str">
        <f>'Reported burning'!A3013</f>
        <v>328d</v>
      </c>
      <c r="B3013" s="156" t="str">
        <f>'Reported burning'!B3013</f>
        <v>328d.2</v>
      </c>
      <c r="C3013" s="156" t="str">
        <f>'Reported burning'!C3013</f>
        <v>Human, escaped</v>
      </c>
      <c r="D3013" s="156" t="str">
        <f>'Reported burning'!D3013</f>
        <v>Crop residue burning</v>
      </c>
      <c r="E3013" s="156" t="str">
        <f>'Reported burning'!E3013</f>
        <v>Cropping, Monoculture, Market-oriented</v>
      </c>
      <c r="F3013" s="156" t="str">
        <f>'Reported burning'!F3013</f>
        <v>Cropland</v>
      </c>
      <c r="G3013" s="156" t="str">
        <f>'Reported burning'!G3013</f>
        <v>Forest</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c r="AB3013" s="204"/>
    </row>
    <row r="3014" spans="1:28" ht="32.5" customHeight="1">
      <c r="A3014" s="156" t="str">
        <f>'Reported burning'!A3014</f>
        <v>328d</v>
      </c>
      <c r="B3014" s="156" t="str">
        <f>'Reported burning'!B3014</f>
        <v>328d.3</v>
      </c>
      <c r="C3014" s="156" t="str">
        <f>'Reported burning'!C3014</f>
        <v>Human, escaped</v>
      </c>
      <c r="D3014" s="156" t="str">
        <f>'Reported burning'!D3014</f>
        <v>Land clearance</v>
      </c>
      <c r="E3014" s="156" t="str">
        <f>'Reported burning'!E3014</f>
        <v>Cropping, Monoculture, Market-oriented</v>
      </c>
      <c r="F3014" s="156" t="str">
        <f>'Reported burning'!F3014</f>
        <v>Secondary vegetation</v>
      </c>
      <c r="G3014" s="156" t="str">
        <f>'Reported burning'!G3014</f>
        <v>Forest</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c r="AB3014" s="204"/>
    </row>
    <row r="3015" spans="1:28" ht="32.5" customHeight="1">
      <c r="A3015" s="156" t="str">
        <f>'Reported burning'!A3015</f>
        <v>328d</v>
      </c>
      <c r="B3015" s="156" t="str">
        <f>'Reported burning'!B3015</f>
        <v>328d.4</v>
      </c>
      <c r="C3015" s="156" t="str">
        <f>'Reported burning'!C3015</f>
        <v>Human, deliberate</v>
      </c>
      <c r="D3015" s="156" t="str">
        <f>'Reported burning'!D3015</f>
        <v>Arson</v>
      </c>
      <c r="E3015" s="156" t="str">
        <f>'Reported burning'!E3015</f>
        <v>ND</v>
      </c>
      <c r="F3015" s="156" t="str">
        <f>'Reported burning'!F3015</f>
        <v>Forest</v>
      </c>
      <c r="G3015" s="156" t="str">
        <f>'Reported burning'!G3015</f>
        <v>Forest</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c r="AB3015" s="204"/>
    </row>
    <row r="3016" spans="1:28" ht="32.5" customHeight="1">
      <c r="A3016" s="156" t="str">
        <f>'Reported burning'!A3016</f>
        <v>328d</v>
      </c>
      <c r="B3016" s="156" t="str">
        <f>'Reported burning'!B3016</f>
        <v>328d.5</v>
      </c>
      <c r="C3016" s="156" t="str">
        <f>'Reported burning'!C3016</f>
        <v>Human, escaped</v>
      </c>
      <c r="D3016" s="156" t="str">
        <f>'Reported burning'!D3016</f>
        <v>Pasture renewal</v>
      </c>
      <c r="E3016" s="156" t="str">
        <f>'Reported burning'!E3016</f>
        <v>Cattle, Extensive</v>
      </c>
      <c r="F3016" s="156" t="str">
        <f>'Reported burning'!F3016</f>
        <v>Pasture</v>
      </c>
      <c r="G3016" s="156" t="str">
        <f>'Reported burning'!G3016</f>
        <v>Forest</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32.5" customHeight="1">
      <c r="A3017" s="156" t="str">
        <f>'Reported burning'!A3017</f>
        <v>328d</v>
      </c>
      <c r="B3017" s="156" t="str">
        <f>'Reported burning'!B3017</f>
        <v>328d.6</v>
      </c>
      <c r="C3017" s="156" t="str">
        <f>'Reported burning'!C3017</f>
        <v>Human, deliberate</v>
      </c>
      <c r="D3017" s="156" t="str">
        <f>'Reported burning'!D3017</f>
        <v>Arson</v>
      </c>
      <c r="E3017" s="156" t="str">
        <f>'Reported burning'!E3017</f>
        <v>Cropping, Monoculture, Market-oriented</v>
      </c>
      <c r="F3017" s="156" t="str">
        <f>'Reported burning'!F3017</f>
        <v>Cropland</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32.5" customHeight="1">
      <c r="A3018" s="156" t="str">
        <f>'Reported burning'!A3018</f>
        <v>328d</v>
      </c>
      <c r="B3018" s="156" t="str">
        <f>'Reported burning'!B3018</f>
        <v>328d.7</v>
      </c>
      <c r="C3018" s="156" t="str">
        <f>'Reported burning'!C3018</f>
        <v>Human, accidental</v>
      </c>
      <c r="D3018" s="156" t="str">
        <f>'Reported burning'!D3018</f>
        <v>Accidental</v>
      </c>
      <c r="E3018" s="156" t="str">
        <f>'Reported burning'!E3018</f>
        <v>Urban planner</v>
      </c>
      <c r="F3018" s="156" t="str">
        <f>'Reported burning'!F3018</f>
        <v>ND</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c r="AB3018" s="204"/>
    </row>
    <row r="3019" spans="1:28" ht="32.5" customHeight="1">
      <c r="A3019" s="156" t="str">
        <f>'Reported burning'!A3019</f>
        <v>328d</v>
      </c>
      <c r="B3019" s="156" t="str">
        <f>'Reported burning'!B3019</f>
        <v>328d.8</v>
      </c>
      <c r="C3019" s="156" t="str">
        <f>'Reported burning'!C3019</f>
        <v>Lightning</v>
      </c>
      <c r="D3019" s="156" t="str">
        <f>'Reported burning'!D3019</f>
        <v>ND</v>
      </c>
      <c r="E3019" s="156" t="str">
        <f>'Reported burning'!E3019</f>
        <v>ND</v>
      </c>
      <c r="F3019" s="156" t="str">
        <f>'Reported burning'!F3019</f>
        <v>ND</v>
      </c>
      <c r="G3019" s="156" t="str">
        <f>'Reported burning'!G3019</f>
        <v>Forest</v>
      </c>
      <c r="H3019" s="156" t="str">
        <f>'Reported burning'!H3019</f>
        <v>Presence</v>
      </c>
      <c r="I3019" s="5"/>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c r="AB3019" s="204"/>
    </row>
    <row r="3020" spans="1:28" ht="32.5" customHeight="1">
      <c r="A3020" s="152" t="str">
        <f>'Reported burning'!A3020</f>
        <v>329a</v>
      </c>
      <c r="B3020" s="152" t="str">
        <f>'Reported burning'!B3020</f>
        <v>329a.1</v>
      </c>
      <c r="C3020" s="152" t="str">
        <f>'Reported burning'!C3020</f>
        <v>Human, deliberate</v>
      </c>
      <c r="D3020" s="152" t="str">
        <f>'Reported burning'!D3020</f>
        <v>Hunting</v>
      </c>
      <c r="E3020" s="152" t="str">
        <f>'Reported burning'!E3020</f>
        <v>Forestry, Traditional</v>
      </c>
      <c r="F3020" s="152" t="str">
        <f>'Reported burning'!F3020</f>
        <v>Shrubland (Mixed forest &amp; grassland)</v>
      </c>
      <c r="G3020" s="152" t="str">
        <f>'Reported burning'!G3020</f>
        <v>Shrubland (Mixed forest &amp; grassland)</v>
      </c>
      <c r="H3020" s="152" t="str">
        <f>'Reported burning'!H3020</f>
        <v>Presence</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1" t="s">
        <v>2402</v>
      </c>
      <c r="X3020" s="204" t="s">
        <v>38</v>
      </c>
      <c r="Y3020" s="204" t="s">
        <v>68</v>
      </c>
      <c r="Z3020" s="204" t="s">
        <v>2276</v>
      </c>
      <c r="AA3020" s="204"/>
      <c r="AB3020" s="204" t="s">
        <v>8161</v>
      </c>
    </row>
    <row r="3021" spans="1:28" ht="32.5" customHeight="1">
      <c r="A3021" s="152" t="str">
        <f>'Reported burning'!A3021</f>
        <v>329a</v>
      </c>
      <c r="B3021" s="152" t="str">
        <f>'Reported burning'!B3021</f>
        <v>329a.2</v>
      </c>
      <c r="C3021" s="152" t="str">
        <f>'Reported burning'!C3021</f>
        <v>Lightning</v>
      </c>
      <c r="D3021" s="152" t="str">
        <f>'Reported burning'!D3021</f>
        <v>ND</v>
      </c>
      <c r="E3021" s="152" t="str">
        <f>'Reported burning'!E3021</f>
        <v>ND</v>
      </c>
      <c r="F3021" s="152" t="str">
        <f>'Reported burning'!F3021</f>
        <v>ND</v>
      </c>
      <c r="G3021" s="152" t="str">
        <f>'Reported burning'!G3021</f>
        <v>Shrubland (Mixed forest &amp; grassland)</v>
      </c>
      <c r="H3021" s="152" t="str">
        <f>'Reported burning'!H3021</f>
        <v>Presence</v>
      </c>
      <c r="I3021" s="204"/>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204" t="s">
        <v>7894</v>
      </c>
    </row>
    <row r="3022" spans="1:28" ht="36" customHeight="1">
      <c r="A3022" s="152" t="str">
        <f>'Reported burning'!A3022</f>
        <v>330a</v>
      </c>
      <c r="B3022" s="152" t="str">
        <f>'Reported burning'!B3022</f>
        <v>330a.1</v>
      </c>
      <c r="C3022" s="152" t="str">
        <f>'Reported burning'!C3022</f>
        <v>Human, deliberate</v>
      </c>
      <c r="D3022" s="152" t="str">
        <f>'Reported burning'!D3022</f>
        <v>Pyrome management</v>
      </c>
      <c r="E3022" s="152" t="str">
        <f>'Reported burning'!E3022</f>
        <v>Forestry, Traditional</v>
      </c>
      <c r="F3022" s="152" t="str">
        <f>'Reported burning'!F3022</f>
        <v>Shrubland (Mixed forest &amp; grassland)</v>
      </c>
      <c r="G3022" s="152" t="str">
        <f>'Reported burning'!G3022</f>
        <v>Shrubland (Mixed forest &amp; grassland)</v>
      </c>
      <c r="H3022" s="152" t="str">
        <f>'Reported burning'!H3022</f>
        <v>Presence</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68</v>
      </c>
      <c r="Y3022" s="204" t="s">
        <v>127</v>
      </c>
      <c r="Z3022" s="204" t="s">
        <v>2655</v>
      </c>
      <c r="AA3022" s="204"/>
      <c r="AB3022" s="204"/>
    </row>
    <row r="3023" spans="1:28" ht="34.5" customHeight="1">
      <c r="A3023" s="152" t="str">
        <f>'Reported burning'!A3023</f>
        <v>330a</v>
      </c>
      <c r="B3023" s="152" t="str">
        <f>'Reported burning'!B3023</f>
        <v>330a.2</v>
      </c>
      <c r="C3023" s="152" t="str">
        <f>'Reported burning'!C3023</f>
        <v>Human, deliberate</v>
      </c>
      <c r="D3023" s="152" t="str">
        <f>'Reported burning'!D3023</f>
        <v>Pyrome management</v>
      </c>
      <c r="E3023" s="152" t="str">
        <f>'Reported burning'!E3023</f>
        <v>Cropping, Swidden</v>
      </c>
      <c r="F3023" s="152" t="str">
        <f>'Reported burning'!F3023</f>
        <v>Cropland</v>
      </c>
      <c r="G3023" s="152" t="str">
        <f>'Reported burning'!G3023</f>
        <v>ND</v>
      </c>
      <c r="H3023" s="152" t="str">
        <f>'Reported burning'!H3023</f>
        <v>Presence</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127</v>
      </c>
      <c r="Y3023" s="204" t="s">
        <v>399</v>
      </c>
      <c r="Z3023" s="204" t="s">
        <v>76</v>
      </c>
      <c r="AA3023" s="204"/>
      <c r="AB3023" s="204"/>
    </row>
    <row r="3024" spans="1:28" ht="44" customHeight="1">
      <c r="A3024" s="152" t="str">
        <f>'Reported burning'!A3024</f>
        <v>330a</v>
      </c>
      <c r="B3024" s="152" t="str">
        <f>'Reported burning'!B3024</f>
        <v>330a.3</v>
      </c>
      <c r="C3024" s="152" t="str">
        <f>'Reported burning'!C3024</f>
        <v>Human, deliberate</v>
      </c>
      <c r="D3024" s="152" t="str">
        <f>'Reported burning'!D3024</f>
        <v>Pasture renewal</v>
      </c>
      <c r="E3024" s="152" t="str">
        <f>'Reported burning'!E3024</f>
        <v>Cattle, Extensive</v>
      </c>
      <c r="F3024" s="152" t="str">
        <f>'Reported burning'!F3024</f>
        <v>ND</v>
      </c>
      <c r="G3024" s="152" t="str">
        <f>'Reported burning'!G3024</f>
        <v>Shrubland (Mixed forest &amp; grassland)</v>
      </c>
      <c r="H3024" s="152" t="str">
        <f>'Reported burning'!H3024</f>
        <v>Presence</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68</v>
      </c>
      <c r="Y3024" s="204" t="s">
        <v>127</v>
      </c>
      <c r="Z3024" s="204" t="s">
        <v>2276</v>
      </c>
      <c r="AA3024" s="204"/>
      <c r="AB3024" s="204"/>
    </row>
    <row r="3025" spans="1:28" ht="44" customHeight="1">
      <c r="A3025" s="152" t="str">
        <f>'Reported burning'!A3025</f>
        <v>330a</v>
      </c>
      <c r="B3025" s="152" t="str">
        <f>'Reported burning'!B3025</f>
        <v>330a.4</v>
      </c>
      <c r="C3025" s="152" t="str">
        <f>'Reported burning'!C3025</f>
        <v>Human, deliberate</v>
      </c>
      <c r="D3025" s="152" t="str">
        <f>'Reported burning'!D3025</f>
        <v>Hunting</v>
      </c>
      <c r="E3025" s="152" t="str">
        <f>'Reported burning'!E3025</f>
        <v>Forestry, Traditional</v>
      </c>
      <c r="F3025" s="152" t="str">
        <f>'Reported burning'!F3025</f>
        <v>ND</v>
      </c>
      <c r="G3025" s="152" t="str">
        <f>'Reported burning'!G3025</f>
        <v>Shrubland (Mixed forest &amp; grassland)</v>
      </c>
      <c r="H3025" s="152" t="str">
        <f>'Reported burning'!H3025</f>
        <v>Presence</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127</v>
      </c>
      <c r="Y3025" s="204" t="s">
        <v>127</v>
      </c>
      <c r="Z3025" s="204" t="s">
        <v>2276</v>
      </c>
      <c r="AA3025" s="204"/>
      <c r="AB3025" s="204"/>
    </row>
    <row r="3026" spans="1:28" ht="44" customHeight="1">
      <c r="A3026" s="152" t="str">
        <f>'Reported burning'!A3026</f>
        <v>330a</v>
      </c>
      <c r="B3026" s="152" t="str">
        <f>'Reported burning'!B3026</f>
        <v>330a.5</v>
      </c>
      <c r="C3026" s="152" t="str">
        <f>'Reported burning'!C3026</f>
        <v>All</v>
      </c>
      <c r="D3026" s="152" t="str">
        <f>'Reported burning'!D3026</f>
        <v>All</v>
      </c>
      <c r="E3026" s="152" t="str">
        <f>'Reported burning'!E3026</f>
        <v>All</v>
      </c>
      <c r="F3026" s="152" t="str">
        <f>'Reported burning'!F3026</f>
        <v>ND</v>
      </c>
      <c r="G3026" s="152" t="str">
        <f>'Reported burning'!G3026</f>
        <v>Shrubland (Mixed forest &amp; grassland)</v>
      </c>
      <c r="H3026" s="152" t="str">
        <f>'Reported burning'!H3026</f>
        <v>Presence</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1" t="s">
        <v>2376</v>
      </c>
      <c r="W3026" s="204" t="s">
        <v>2276</v>
      </c>
      <c r="X3026" s="204" t="s">
        <v>68</v>
      </c>
      <c r="Y3026" s="204" t="s">
        <v>68</v>
      </c>
      <c r="Z3026" s="204" t="s">
        <v>2276</v>
      </c>
      <c r="AA3026" s="204"/>
      <c r="AB3026" s="204"/>
    </row>
    <row r="3027" spans="1:28" ht="44" customHeight="1">
      <c r="A3027" s="152" t="str">
        <f>'Reported burning'!A3027</f>
        <v>330a</v>
      </c>
      <c r="B3027" s="152" t="str">
        <f>'Reported burning'!B3027</f>
        <v>330a.6</v>
      </c>
      <c r="C3027" s="152" t="str">
        <f>'Reported burning'!C3027</f>
        <v>All</v>
      </c>
      <c r="D3027" s="152" t="str">
        <f>'Reported burning'!D3027</f>
        <v>All</v>
      </c>
      <c r="E3027" s="152" t="str">
        <f>'Reported burning'!E3027</f>
        <v>All</v>
      </c>
      <c r="F3027" s="152" t="str">
        <f>'Reported burning'!F3027</f>
        <v>ND</v>
      </c>
      <c r="G3027" s="152" t="str">
        <f>'Reported burning'!G3027</f>
        <v>Shrubland (Mixed forest &amp; grassland)</v>
      </c>
      <c r="H3027" s="152" t="str">
        <f>'Reported burning'!H3027</f>
        <v>Presence</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1" t="s">
        <v>2374</v>
      </c>
      <c r="W3027" s="204" t="s">
        <v>2276</v>
      </c>
      <c r="X3027" s="204" t="s">
        <v>35</v>
      </c>
      <c r="Y3027" s="204" t="s">
        <v>35</v>
      </c>
      <c r="Z3027" s="204" t="s">
        <v>2276</v>
      </c>
      <c r="AA3027" s="204"/>
      <c r="AB3027" s="204"/>
    </row>
    <row r="3028" spans="1:28" ht="44" customHeight="1">
      <c r="A3028" s="152" t="str">
        <f>'Reported burning'!A3028</f>
        <v>330a</v>
      </c>
      <c r="B3028" s="152" t="str">
        <f>'Reported burning'!B3028</f>
        <v>330a.7</v>
      </c>
      <c r="C3028" s="152" t="str">
        <f>'Reported burning'!C3028</f>
        <v>All</v>
      </c>
      <c r="D3028" s="152" t="str">
        <f>'Reported burning'!D3028</f>
        <v>All</v>
      </c>
      <c r="E3028" s="152" t="str">
        <f>'Reported burning'!E3028</f>
        <v>All</v>
      </c>
      <c r="F3028" s="152" t="str">
        <f>'Reported burning'!F3028</f>
        <v>ND</v>
      </c>
      <c r="G3028" s="152" t="str">
        <f>'Reported burning'!G3028</f>
        <v>Shrubland (Mixed forest &amp; grassland)</v>
      </c>
      <c r="H3028" s="152" t="str">
        <f>'Reported burning'!H3028</f>
        <v>Presence</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1" t="s">
        <v>2376</v>
      </c>
      <c r="W3028" s="204" t="s">
        <v>2276</v>
      </c>
      <c r="X3028" s="204" t="s">
        <v>127</v>
      </c>
      <c r="Y3028" s="204" t="s">
        <v>127</v>
      </c>
      <c r="Z3028" s="204" t="s">
        <v>2276</v>
      </c>
      <c r="AA3028" s="204"/>
      <c r="AB3028" s="204"/>
    </row>
    <row r="3029" spans="1:28" ht="44" customHeight="1">
      <c r="A3029" s="152" t="str">
        <f>'Reported burning'!A3029</f>
        <v>330a</v>
      </c>
      <c r="B3029" s="152" t="str">
        <f>'Reported burning'!B3029</f>
        <v>330a.8</v>
      </c>
      <c r="C3029" s="152" t="str">
        <f>'Reported burning'!C3029</f>
        <v>All</v>
      </c>
      <c r="D3029" s="152" t="str">
        <f>'Reported burning'!D3029</f>
        <v>All</v>
      </c>
      <c r="E3029" s="152" t="str">
        <f>'Reported burning'!E3029</f>
        <v>All</v>
      </c>
      <c r="F3029" s="152" t="str">
        <f>'Reported burning'!F3029</f>
        <v>ND</v>
      </c>
      <c r="G3029" s="152" t="str">
        <f>'Reported burning'!G3029</f>
        <v>Shrubland (Mixed forest &amp; grassland)</v>
      </c>
      <c r="H3029" s="152" t="str">
        <f>'Reported burning'!H3029</f>
        <v>Presence</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1" t="s">
        <v>2374</v>
      </c>
      <c r="W3029" s="204" t="s">
        <v>2276</v>
      </c>
      <c r="X3029" s="204" t="s">
        <v>399</v>
      </c>
      <c r="Y3029" s="204" t="s">
        <v>399</v>
      </c>
      <c r="Z3029" s="204" t="s">
        <v>2276</v>
      </c>
      <c r="AA3029" s="204"/>
      <c r="AB3029" s="204"/>
    </row>
    <row r="3030" spans="1:28" ht="44" customHeight="1">
      <c r="A3030" s="152" t="str">
        <f>'Reported burning'!A3030</f>
        <v>330a</v>
      </c>
      <c r="B3030" s="152" t="str">
        <f>'Reported burning'!B3030</f>
        <v>330a.9</v>
      </c>
      <c r="C3030" s="152" t="str">
        <f>'Reported burning'!C3030</f>
        <v>All</v>
      </c>
      <c r="D3030" s="152" t="str">
        <f>'Reported burning'!D3030</f>
        <v>All</v>
      </c>
      <c r="E3030" s="152" t="str">
        <f>'Reported burning'!E3030</f>
        <v>All</v>
      </c>
      <c r="F3030" s="152" t="str">
        <f>'Reported burning'!F3030</f>
        <v>ND</v>
      </c>
      <c r="G3030" s="152" t="str">
        <f>'Reported burning'!G3030</f>
        <v>Shrubland (Mixed forest &amp; grassland)</v>
      </c>
      <c r="H3030" s="152" t="str">
        <f>'Reported burning'!H3030</f>
        <v>Presence</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1" t="s">
        <v>2374</v>
      </c>
      <c r="W3030" s="204" t="s">
        <v>2276</v>
      </c>
      <c r="X3030" s="204" t="s">
        <v>188</v>
      </c>
      <c r="Y3030" s="204" t="s">
        <v>188</v>
      </c>
      <c r="Z3030" s="204" t="s">
        <v>2276</v>
      </c>
      <c r="AA3030" s="204"/>
      <c r="AB3030" s="204"/>
    </row>
    <row r="3031" spans="1:28" ht="44" customHeight="1">
      <c r="A3031" s="152" t="str">
        <f>'Reported burning'!A3031</f>
        <v>330a</v>
      </c>
      <c r="B3031" s="152" t="str">
        <f>'Reported burning'!B3031</f>
        <v>330a.10</v>
      </c>
      <c r="C3031" s="152" t="str">
        <f>'Reported burning'!C3031</f>
        <v>All</v>
      </c>
      <c r="D3031" s="152" t="str">
        <f>'Reported burning'!D3031</f>
        <v>All</v>
      </c>
      <c r="E3031" s="152" t="str">
        <f>'Reported burning'!E3031</f>
        <v>All</v>
      </c>
      <c r="F3031" s="152" t="str">
        <f>'Reported burning'!F3031</f>
        <v>ND</v>
      </c>
      <c r="G3031" s="152" t="str">
        <f>'Reported burning'!G3031</f>
        <v>Shrubland (Mixed forest &amp; grassland)</v>
      </c>
      <c r="H3031" s="152" t="str">
        <f>'Reported burning'!H3031</f>
        <v>Presence</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1" t="s">
        <v>2527</v>
      </c>
      <c r="W3031" s="204" t="s">
        <v>2276</v>
      </c>
      <c r="X3031" s="204" t="s">
        <v>189</v>
      </c>
      <c r="Y3031" s="204" t="s">
        <v>189</v>
      </c>
      <c r="Z3031" s="204" t="s">
        <v>2276</v>
      </c>
      <c r="AA3031" s="204"/>
      <c r="AB3031" s="204"/>
    </row>
    <row r="3032" spans="1:28" ht="44" customHeight="1">
      <c r="A3032" s="152" t="str">
        <f>'Reported burning'!A3032</f>
        <v>330b</v>
      </c>
      <c r="B3032" s="152" t="str">
        <f>'Reported burning'!B3032</f>
        <v>330b.1</v>
      </c>
      <c r="C3032" s="152" t="str">
        <f>'Reported burning'!C3032</f>
        <v>All</v>
      </c>
      <c r="D3032" s="152" t="str">
        <f>'Reported burning'!D3032</f>
        <v>All</v>
      </c>
      <c r="E3032" s="152" t="str">
        <f>'Reported burning'!E3032</f>
        <v>All</v>
      </c>
      <c r="F3032" s="152" t="str">
        <f>'Reported burning'!F3032</f>
        <v>ND</v>
      </c>
      <c r="G3032" s="152" t="str">
        <f>'Reported burning'!G3032</f>
        <v>Shrubland (Mixed forest &amp; grassland)</v>
      </c>
      <c r="H3032" s="152" t="str">
        <f>'Reported burning'!H3032</f>
        <v>Presence</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1" t="s">
        <v>2527</v>
      </c>
      <c r="W3032" s="204" t="s">
        <v>2276</v>
      </c>
      <c r="X3032" s="204" t="s">
        <v>68</v>
      </c>
      <c r="Y3032" s="204" t="s">
        <v>68</v>
      </c>
      <c r="Z3032" s="204" t="s">
        <v>2276</v>
      </c>
      <c r="AA3032" s="204"/>
      <c r="AB3032" s="204"/>
    </row>
    <row r="3033" spans="1:28" ht="44" customHeight="1">
      <c r="A3033" s="152" t="str">
        <f>'Reported burning'!A3033</f>
        <v>330b</v>
      </c>
      <c r="B3033" s="152" t="str">
        <f>'Reported burning'!B3033</f>
        <v>330b.2</v>
      </c>
      <c r="C3033" s="152" t="str">
        <f>'Reported burning'!C3033</f>
        <v>All</v>
      </c>
      <c r="D3033" s="152" t="str">
        <f>'Reported burning'!D3033</f>
        <v>All</v>
      </c>
      <c r="E3033" s="152" t="str">
        <f>'Reported burning'!E3033</f>
        <v>All</v>
      </c>
      <c r="F3033" s="152" t="str">
        <f>'Reported burning'!F3033</f>
        <v>ND</v>
      </c>
      <c r="G3033" s="152" t="str">
        <f>'Reported burning'!G3033</f>
        <v>Shrubland (Mixed forest &amp; grassland)</v>
      </c>
      <c r="H3033" s="152" t="str">
        <f>'Reported burning'!H3033</f>
        <v>Presence</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1" t="s">
        <v>2376</v>
      </c>
      <c r="W3033" s="204" t="s">
        <v>2276</v>
      </c>
      <c r="X3033" s="204" t="s">
        <v>35</v>
      </c>
      <c r="Y3033" s="204" t="s">
        <v>35</v>
      </c>
      <c r="Z3033" s="204" t="s">
        <v>2276</v>
      </c>
      <c r="AA3033" s="204"/>
      <c r="AB3033" s="204"/>
    </row>
    <row r="3034" spans="1:28" ht="43" customHeight="1">
      <c r="A3034" s="152" t="str">
        <f>'Reported burning'!A3034</f>
        <v>330b</v>
      </c>
      <c r="B3034" s="152" t="str">
        <f>'Reported burning'!B3034</f>
        <v>330b.3</v>
      </c>
      <c r="C3034" s="152" t="str">
        <f>'Reported burning'!C3034</f>
        <v>All</v>
      </c>
      <c r="D3034" s="152" t="str">
        <f>'Reported burning'!D3034</f>
        <v>All</v>
      </c>
      <c r="E3034" s="152" t="str">
        <f>'Reported burning'!E3034</f>
        <v>All</v>
      </c>
      <c r="F3034" s="152" t="str">
        <f>'Reported burning'!F3034</f>
        <v>ND</v>
      </c>
      <c r="G3034" s="152" t="str">
        <f>'Reported burning'!G3034</f>
        <v>Shrubland (Mixed forest &amp; grassland)</v>
      </c>
      <c r="H3034" s="152" t="str">
        <f>'Reported burning'!H3034</f>
        <v>Presence</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1" t="s">
        <v>2374</v>
      </c>
      <c r="W3034" s="204" t="s">
        <v>2276</v>
      </c>
      <c r="X3034" s="204" t="s">
        <v>127</v>
      </c>
      <c r="Y3034" s="204" t="s">
        <v>127</v>
      </c>
      <c r="Z3034" s="204" t="s">
        <v>2276</v>
      </c>
      <c r="AA3034" s="204"/>
      <c r="AB3034" s="204"/>
    </row>
    <row r="3035" spans="1:28" ht="43" customHeight="1">
      <c r="A3035" s="152" t="str">
        <f>'Reported burning'!A3035</f>
        <v>330b</v>
      </c>
      <c r="B3035" s="152" t="str">
        <f>'Reported burning'!B3035</f>
        <v>330b.4</v>
      </c>
      <c r="C3035" s="152" t="str">
        <f>'Reported burning'!C3035</f>
        <v>All</v>
      </c>
      <c r="D3035" s="152" t="str">
        <f>'Reported burning'!D3035</f>
        <v>All</v>
      </c>
      <c r="E3035" s="152" t="str">
        <f>'Reported burning'!E3035</f>
        <v>All</v>
      </c>
      <c r="F3035" s="152" t="str">
        <f>'Reported burning'!F3035</f>
        <v>ND</v>
      </c>
      <c r="G3035" s="152" t="str">
        <f>'Reported burning'!G3035</f>
        <v>Shrubland (Mixed forest &amp; grassland)</v>
      </c>
      <c r="H3035" s="152" t="str">
        <f>'Reported burning'!H3035</f>
        <v>Presence</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1" t="s">
        <v>2389</v>
      </c>
      <c r="W3035" s="204" t="s">
        <v>2276</v>
      </c>
      <c r="X3035" s="204" t="s">
        <v>399</v>
      </c>
      <c r="Y3035" s="204" t="s">
        <v>399</v>
      </c>
      <c r="Z3035" s="204" t="s">
        <v>2276</v>
      </c>
      <c r="AA3035" s="204"/>
      <c r="AB3035" s="204"/>
    </row>
    <row r="3036" spans="1:28" ht="43" customHeight="1">
      <c r="A3036" s="152" t="str">
        <f>'Reported burning'!A3036</f>
        <v>330b</v>
      </c>
      <c r="B3036" s="152" t="str">
        <f>'Reported burning'!B3036</f>
        <v>330b.5</v>
      </c>
      <c r="C3036" s="152" t="str">
        <f>'Reported burning'!C3036</f>
        <v>All</v>
      </c>
      <c r="D3036" s="152" t="str">
        <f>'Reported burning'!D3036</f>
        <v>All</v>
      </c>
      <c r="E3036" s="152" t="str">
        <f>'Reported burning'!E3036</f>
        <v>All</v>
      </c>
      <c r="F3036" s="152" t="str">
        <f>'Reported burning'!F3036</f>
        <v>ND</v>
      </c>
      <c r="G3036" s="152" t="str">
        <f>'Reported burning'!G3036</f>
        <v>Shrubland (Mixed forest &amp; grassland)</v>
      </c>
      <c r="H3036" s="152" t="str">
        <f>'Reported burning'!H3036</f>
        <v>Presence</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1" t="s">
        <v>2527</v>
      </c>
      <c r="W3036" s="204" t="s">
        <v>2276</v>
      </c>
      <c r="X3036" s="204" t="s">
        <v>188</v>
      </c>
      <c r="Y3036" s="204" t="s">
        <v>188</v>
      </c>
      <c r="Z3036" s="204" t="s">
        <v>2276</v>
      </c>
      <c r="AA3036" s="204"/>
      <c r="AB3036" s="204"/>
    </row>
    <row r="3037" spans="1:28" ht="43" customHeight="1">
      <c r="A3037" s="152" t="str">
        <f>'Reported burning'!A3037</f>
        <v>330b</v>
      </c>
      <c r="B3037" s="152" t="str">
        <f>'Reported burning'!B3037</f>
        <v>330b.6</v>
      </c>
      <c r="C3037" s="152" t="str">
        <f>'Reported burning'!C3037</f>
        <v>All</v>
      </c>
      <c r="D3037" s="152" t="str">
        <f>'Reported burning'!D3037</f>
        <v>All</v>
      </c>
      <c r="E3037" s="152" t="str">
        <f>'Reported burning'!E3037</f>
        <v>All</v>
      </c>
      <c r="F3037" s="152" t="str">
        <f>'Reported burning'!F3037</f>
        <v>ND</v>
      </c>
      <c r="G3037" s="152" t="str">
        <f>'Reported burning'!G3037</f>
        <v>Shrubland (Mixed forest &amp; grassland)</v>
      </c>
      <c r="H3037" s="152" t="str">
        <f>'Reported burning'!H3037</f>
        <v>Presence</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1" t="s">
        <v>2527</v>
      </c>
      <c r="W3037" s="204" t="s">
        <v>2276</v>
      </c>
      <c r="X3037" s="204" t="s">
        <v>189</v>
      </c>
      <c r="Y3037" s="204" t="s">
        <v>189</v>
      </c>
      <c r="Z3037" s="204" t="s">
        <v>2276</v>
      </c>
      <c r="AA3037" s="204"/>
      <c r="AB3037" s="204"/>
    </row>
    <row r="3038" spans="1:28" ht="43" customHeight="1">
      <c r="A3038" s="156" t="str">
        <f>'Reported burning'!A3038</f>
        <v>330b</v>
      </c>
      <c r="B3038" s="156" t="str">
        <f>'Reported burning'!B3038</f>
        <v>330b.7</v>
      </c>
      <c r="C3038" s="156" t="str">
        <f>'Reported burning'!C3038</f>
        <v>Human, deliberate</v>
      </c>
      <c r="D3038" s="156" t="str">
        <f>'Reported burning'!D3038</f>
        <v>Pyrome management</v>
      </c>
      <c r="E3038" s="156" t="str">
        <f>'Reported burning'!E3038</f>
        <v>Forestry, Traditional</v>
      </c>
      <c r="F3038" s="156" t="str">
        <f>'Reported burning'!F3038</f>
        <v>Shrubland (Mixed forest &amp; grassland)</v>
      </c>
      <c r="G3038" s="156" t="str">
        <f>'Reported burning'!G3038</f>
        <v>Shrubland (Mixed forest &amp; grassland)</v>
      </c>
      <c r="H3038" s="156" t="str">
        <f>'Reported burning'!H3038</f>
        <v>Absence</v>
      </c>
      <c r="I3038" s="5"/>
      <c r="J3038" s="21">
        <v>0</v>
      </c>
      <c r="K3038" s="21">
        <v>0</v>
      </c>
      <c r="L3038" s="21">
        <v>0</v>
      </c>
      <c r="M3038" s="21">
        <v>0</v>
      </c>
      <c r="N3038" s="21">
        <v>0</v>
      </c>
      <c r="O3038" s="21">
        <v>0</v>
      </c>
      <c r="P3038" s="21">
        <v>0</v>
      </c>
      <c r="Q3038" s="21">
        <v>0</v>
      </c>
      <c r="R3038" s="21">
        <v>0</v>
      </c>
      <c r="S3038" s="21">
        <v>0</v>
      </c>
      <c r="T3038" s="21">
        <v>0</v>
      </c>
      <c r="U3038" s="21">
        <v>0</v>
      </c>
      <c r="V3038" s="21">
        <v>0</v>
      </c>
      <c r="W3038" s="204" t="s">
        <v>2276</v>
      </c>
      <c r="X3038" s="204" t="s">
        <v>68</v>
      </c>
      <c r="Y3038" s="204" t="s">
        <v>127</v>
      </c>
      <c r="Z3038" s="204" t="s">
        <v>2655</v>
      </c>
      <c r="AA3038" s="204"/>
      <c r="AB3038" s="204"/>
    </row>
    <row r="3039" spans="1:28" ht="43" customHeight="1">
      <c r="A3039" s="156" t="str">
        <f>'Reported burning'!A3039</f>
        <v>331a</v>
      </c>
      <c r="B3039" s="156" t="str">
        <f>'Reported burning'!B3039</f>
        <v>331a.1</v>
      </c>
      <c r="C3039" s="156" t="str">
        <f>'Reported burning'!C3039</f>
        <v>Unknown</v>
      </c>
      <c r="D3039" s="156" t="str">
        <f>'Reported burning'!D3039</f>
        <v>ND</v>
      </c>
      <c r="E3039" s="156" t="str">
        <f>'Reported burning'!E3039</f>
        <v>ND</v>
      </c>
      <c r="F3039" s="156" t="str">
        <f>'Reported burning'!F3039</f>
        <v>ND</v>
      </c>
      <c r="G3039" s="156" t="str">
        <f>'Reported burning'!G3039</f>
        <v>Shrubland (Mixed forest &amp; grassland)</v>
      </c>
      <c r="H3039" s="156" t="str">
        <f>'Reported burning'!H3039</f>
        <v>Presence</v>
      </c>
      <c r="I3039" s="5"/>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2276</v>
      </c>
      <c r="AA3039" s="4" t="s">
        <v>8196</v>
      </c>
      <c r="AB3039" s="204"/>
    </row>
    <row r="3040" spans="1:28" ht="47" customHeight="1">
      <c r="A3040" s="156" t="str">
        <f>'Reported burning'!A3040</f>
        <v>331a</v>
      </c>
      <c r="B3040" s="156" t="str">
        <f>'Reported burning'!B3040</f>
        <v>331a.2</v>
      </c>
      <c r="C3040" s="156" t="str">
        <f>'Reported burning'!C3040</f>
        <v>Human, deliberate</v>
      </c>
      <c r="D3040" s="156" t="str">
        <f>'Reported burning'!D3040</f>
        <v>Pyrome management</v>
      </c>
      <c r="E3040" s="156" t="str">
        <f>'Reported burning'!E3040</f>
        <v>Biodiversity conservation</v>
      </c>
      <c r="F3040" s="156" t="str">
        <f>'Reported burning'!F3040</f>
        <v>Shrubland (Mixed forest &amp; grassland)</v>
      </c>
      <c r="G3040" s="156" t="str">
        <f>'Reported burning'!G3040</f>
        <v>Shrubland (Mixed forest &amp; grassland)</v>
      </c>
      <c r="H3040" s="156" t="str">
        <f>'Reported burning'!H3040</f>
        <v>Presence</v>
      </c>
      <c r="I3040" s="5"/>
      <c r="J3040" s="204" t="s">
        <v>2276</v>
      </c>
      <c r="K3040" s="204" t="s">
        <v>2276</v>
      </c>
      <c r="L3040" s="204" t="s">
        <v>2276</v>
      </c>
      <c r="M3040" s="204" t="s">
        <v>2276</v>
      </c>
      <c r="N3040" s="204" t="s">
        <v>2276</v>
      </c>
      <c r="O3040" s="204" t="s">
        <v>2276</v>
      </c>
      <c r="P3040" s="204" t="s">
        <v>2276</v>
      </c>
      <c r="Q3040" s="204" t="s">
        <v>2276</v>
      </c>
      <c r="R3040" s="204" t="s">
        <v>2276</v>
      </c>
      <c r="S3040" s="21" t="s">
        <v>2392</v>
      </c>
      <c r="T3040" s="204" t="s">
        <v>2276</v>
      </c>
      <c r="U3040" s="204" t="s">
        <v>2276</v>
      </c>
      <c r="V3040" s="204" t="s">
        <v>2276</v>
      </c>
      <c r="W3040" s="21" t="s">
        <v>2403</v>
      </c>
      <c r="X3040" s="204" t="s">
        <v>38</v>
      </c>
      <c r="Y3040" s="204" t="s">
        <v>86</v>
      </c>
      <c r="Z3040" s="204" t="s">
        <v>64</v>
      </c>
      <c r="AA3040" s="204" t="s">
        <v>8199</v>
      </c>
      <c r="AB3040" s="4" t="s">
        <v>8197</v>
      </c>
    </row>
    <row r="3041" spans="1:28" ht="47" customHeight="1">
      <c r="A3041" s="156" t="str">
        <f>'Reported burning'!A3041</f>
        <v>332a</v>
      </c>
      <c r="B3041" s="156" t="str">
        <f>'Reported burning'!B3041</f>
        <v>332a.1</v>
      </c>
      <c r="C3041" s="156" t="str">
        <f>'Reported burning'!C3041</f>
        <v>Human, deliberate</v>
      </c>
      <c r="D3041" s="156" t="str">
        <f>'Reported burning'!D3041</f>
        <v>Conservation</v>
      </c>
      <c r="E3041" s="156" t="str">
        <f>'Reported burning'!E3041</f>
        <v>Biodiversity conservation</v>
      </c>
      <c r="F3041" s="156" t="str">
        <f>'Reported burning'!F3041</f>
        <v>Forest</v>
      </c>
      <c r="G3041" s="156" t="str">
        <f>'Reported burning'!G3041</f>
        <v>ND</v>
      </c>
      <c r="H3041" s="156" t="str">
        <f>'Reported burning'!H3041</f>
        <v>Absence</v>
      </c>
      <c r="I3041" s="5"/>
      <c r="J3041" s="21">
        <v>0</v>
      </c>
      <c r="K3041" s="21">
        <v>0</v>
      </c>
      <c r="L3041" s="21">
        <v>0</v>
      </c>
      <c r="M3041" s="21">
        <v>0</v>
      </c>
      <c r="N3041" s="21">
        <v>0</v>
      </c>
      <c r="O3041" s="21">
        <v>0</v>
      </c>
      <c r="P3041" s="21">
        <v>0</v>
      </c>
      <c r="Q3041" s="21">
        <v>0</v>
      </c>
      <c r="R3041" s="21">
        <v>0</v>
      </c>
      <c r="S3041" s="21">
        <v>0</v>
      </c>
      <c r="T3041" s="21">
        <v>0</v>
      </c>
      <c r="U3041" s="21">
        <v>0</v>
      </c>
      <c r="V3041" s="21">
        <v>0</v>
      </c>
      <c r="W3041" s="204" t="s">
        <v>2276</v>
      </c>
      <c r="X3041" s="204" t="s">
        <v>2276</v>
      </c>
      <c r="Y3041" s="204" t="s">
        <v>2276</v>
      </c>
      <c r="Z3041" s="204" t="s">
        <v>2276</v>
      </c>
      <c r="AA3041" s="4" t="s">
        <v>8228</v>
      </c>
      <c r="AB3041" s="204"/>
    </row>
    <row r="3042" spans="1:28" ht="47" customHeight="1">
      <c r="A3042" s="156" t="str">
        <f>'Reported burning'!A3042</f>
        <v>332b</v>
      </c>
      <c r="B3042" s="156" t="str">
        <f>'Reported burning'!B3042</f>
        <v>332b.1</v>
      </c>
      <c r="C3042" s="156" t="str">
        <f>'Reported burning'!C3042</f>
        <v>Human, deliberate</v>
      </c>
      <c r="D3042" s="156" t="str">
        <f>'Reported burning'!D3042</f>
        <v>Conservation</v>
      </c>
      <c r="E3042" s="156" t="str">
        <f>'Reported burning'!E3042</f>
        <v>Biodiversity conservation</v>
      </c>
      <c r="F3042" s="156" t="str">
        <f>'Reported burning'!F3042</f>
        <v>Forest</v>
      </c>
      <c r="G3042" s="156" t="str">
        <f>'Reported burning'!G3042</f>
        <v>ND</v>
      </c>
      <c r="H3042" s="156" t="str">
        <f>'Reported burning'!H3042</f>
        <v>Absence</v>
      </c>
      <c r="I3042" s="5"/>
      <c r="J3042" s="21">
        <v>0</v>
      </c>
      <c r="K3042" s="21">
        <v>0</v>
      </c>
      <c r="L3042" s="21">
        <v>0</v>
      </c>
      <c r="M3042" s="21">
        <v>0</v>
      </c>
      <c r="N3042" s="21">
        <v>0</v>
      </c>
      <c r="O3042" s="21">
        <v>0</v>
      </c>
      <c r="P3042" s="21">
        <v>0</v>
      </c>
      <c r="Q3042" s="21">
        <v>0</v>
      </c>
      <c r="R3042" s="21">
        <v>0</v>
      </c>
      <c r="S3042" s="21">
        <v>0</v>
      </c>
      <c r="T3042" s="21">
        <v>0</v>
      </c>
      <c r="U3042" s="21">
        <v>0</v>
      </c>
      <c r="V3042" s="21">
        <v>0</v>
      </c>
      <c r="W3042" s="204" t="s">
        <v>2276</v>
      </c>
      <c r="X3042" s="204" t="s">
        <v>2276</v>
      </c>
      <c r="Y3042" s="204" t="s">
        <v>2276</v>
      </c>
      <c r="Z3042" s="204" t="s">
        <v>2276</v>
      </c>
      <c r="AA3042" s="4" t="s">
        <v>8228</v>
      </c>
      <c r="AB3042" s="204"/>
    </row>
    <row r="3043" spans="1:28" ht="48.5" customHeight="1">
      <c r="A3043" s="156" t="str">
        <f>'Reported burning'!A3043</f>
        <v>332c</v>
      </c>
      <c r="B3043" s="156" t="str">
        <f>'Reported burning'!B3043</f>
        <v>332c.1</v>
      </c>
      <c r="C3043" s="156" t="str">
        <f>'Reported burning'!C3043</f>
        <v>Human, deliberate</v>
      </c>
      <c r="D3043" s="156" t="str">
        <f>'Reported burning'!D3043</f>
        <v>Conservation</v>
      </c>
      <c r="E3043" s="156" t="str">
        <f>'Reported burning'!E3043</f>
        <v>Biodiversity conservation</v>
      </c>
      <c r="F3043" s="156" t="str">
        <f>'Reported burning'!F3043</f>
        <v>Forest</v>
      </c>
      <c r="G3043" s="156" t="str">
        <f>'Reported burning'!G3043</f>
        <v>ND</v>
      </c>
      <c r="H3043" s="156" t="str">
        <f>'Reported burning'!H3043</f>
        <v>Absence</v>
      </c>
      <c r="I3043" s="5"/>
      <c r="J3043" s="21">
        <v>0</v>
      </c>
      <c r="K3043" s="21">
        <v>0</v>
      </c>
      <c r="L3043" s="21">
        <v>0</v>
      </c>
      <c r="M3043" s="21">
        <v>0</v>
      </c>
      <c r="N3043" s="21">
        <v>0</v>
      </c>
      <c r="O3043" s="21">
        <v>0</v>
      </c>
      <c r="P3043" s="21">
        <v>0</v>
      </c>
      <c r="Q3043" s="21">
        <v>0</v>
      </c>
      <c r="R3043" s="21">
        <v>0</v>
      </c>
      <c r="S3043" s="21">
        <v>0</v>
      </c>
      <c r="T3043" s="21">
        <v>0</v>
      </c>
      <c r="U3043" s="21">
        <v>0</v>
      </c>
      <c r="V3043" s="21">
        <v>0</v>
      </c>
      <c r="W3043" s="204" t="s">
        <v>2276</v>
      </c>
      <c r="X3043" s="204" t="s">
        <v>2276</v>
      </c>
      <c r="Y3043" s="204" t="s">
        <v>2276</v>
      </c>
      <c r="Z3043" s="204" t="s">
        <v>2276</v>
      </c>
      <c r="AA3043" s="4" t="s">
        <v>8228</v>
      </c>
      <c r="AB3043" s="204"/>
    </row>
    <row r="3044" spans="1:28" ht="48.5" customHeight="1">
      <c r="A3044" s="156" t="str">
        <f>'Reported burning'!A3044</f>
        <v>332d</v>
      </c>
      <c r="B3044" s="156" t="str">
        <f>'Reported burning'!B3044</f>
        <v>332d.1</v>
      </c>
      <c r="C3044" s="156" t="str">
        <f>'Reported burning'!C3044</f>
        <v>Human, deliberate</v>
      </c>
      <c r="D3044" s="156" t="str">
        <f>'Reported burning'!D3044</f>
        <v>Conservation</v>
      </c>
      <c r="E3044" s="156" t="str">
        <f>'Reported burning'!E3044</f>
        <v>Biodiversity conservation</v>
      </c>
      <c r="F3044" s="156" t="str">
        <f>'Reported burning'!F3044</f>
        <v>Forest</v>
      </c>
      <c r="G3044" s="156" t="str">
        <f>'Reported burning'!G3044</f>
        <v>ND</v>
      </c>
      <c r="H3044" s="156" t="str">
        <f>'Reported burning'!H3044</f>
        <v>Absence</v>
      </c>
      <c r="I3044" s="5"/>
      <c r="J3044" s="21">
        <v>0</v>
      </c>
      <c r="K3044" s="21">
        <v>0</v>
      </c>
      <c r="L3044" s="21">
        <v>0</v>
      </c>
      <c r="M3044" s="21">
        <v>0</v>
      </c>
      <c r="N3044" s="21">
        <v>0</v>
      </c>
      <c r="O3044" s="21">
        <v>0</v>
      </c>
      <c r="P3044" s="21">
        <v>0</v>
      </c>
      <c r="Q3044" s="21">
        <v>0</v>
      </c>
      <c r="R3044" s="21">
        <v>0</v>
      </c>
      <c r="S3044" s="21">
        <v>0</v>
      </c>
      <c r="T3044" s="21">
        <v>0</v>
      </c>
      <c r="U3044" s="21">
        <v>0</v>
      </c>
      <c r="V3044" s="21">
        <v>0</v>
      </c>
      <c r="W3044" s="204" t="s">
        <v>2276</v>
      </c>
      <c r="X3044" s="204" t="s">
        <v>2276</v>
      </c>
      <c r="Y3044" s="204" t="s">
        <v>2276</v>
      </c>
      <c r="Z3044" s="204" t="s">
        <v>2276</v>
      </c>
      <c r="AA3044" s="4" t="s">
        <v>8228</v>
      </c>
      <c r="AB3044" s="204"/>
    </row>
    <row r="3045" spans="1:28" ht="48.5" customHeight="1">
      <c r="A3045" s="156" t="str">
        <f>'Reported burning'!A3045</f>
        <v>332e</v>
      </c>
      <c r="B3045" s="156" t="str">
        <f>'Reported burning'!B3045</f>
        <v>332e.1</v>
      </c>
      <c r="C3045" s="156" t="str">
        <f>'Reported burning'!C3045</f>
        <v>Human, deliberate</v>
      </c>
      <c r="D3045" s="156" t="str">
        <f>'Reported burning'!D3045</f>
        <v>Conservation</v>
      </c>
      <c r="E3045" s="156" t="str">
        <f>'Reported burning'!E3045</f>
        <v>Biodiversity conservation</v>
      </c>
      <c r="F3045" s="156" t="str">
        <f>'Reported burning'!F3045</f>
        <v>Forest</v>
      </c>
      <c r="G3045" s="156" t="str">
        <f>'Reported burning'!G3045</f>
        <v>ND</v>
      </c>
      <c r="H3045" s="156" t="str">
        <f>'Reported burning'!H3045</f>
        <v>Absence</v>
      </c>
      <c r="I3045" s="5"/>
      <c r="J3045" s="21">
        <v>0</v>
      </c>
      <c r="K3045" s="21">
        <v>0</v>
      </c>
      <c r="L3045" s="21">
        <v>0</v>
      </c>
      <c r="M3045" s="21">
        <v>0</v>
      </c>
      <c r="N3045" s="21">
        <v>0</v>
      </c>
      <c r="O3045" s="21">
        <v>0</v>
      </c>
      <c r="P3045" s="21">
        <v>0</v>
      </c>
      <c r="Q3045" s="21">
        <v>0</v>
      </c>
      <c r="R3045" s="21">
        <v>0</v>
      </c>
      <c r="S3045" s="21">
        <v>0</v>
      </c>
      <c r="T3045" s="21">
        <v>0</v>
      </c>
      <c r="U3045" s="21">
        <v>0</v>
      </c>
      <c r="V3045" s="21">
        <v>0</v>
      </c>
      <c r="W3045" s="204" t="s">
        <v>2276</v>
      </c>
      <c r="X3045" s="204" t="s">
        <v>2276</v>
      </c>
      <c r="Y3045" s="204" t="s">
        <v>2276</v>
      </c>
      <c r="Z3045" s="204" t="s">
        <v>2276</v>
      </c>
      <c r="AA3045" s="4" t="s">
        <v>8228</v>
      </c>
      <c r="AB3045" s="204"/>
    </row>
    <row r="3046" spans="1:28" ht="48.5" customHeight="1">
      <c r="A3046" s="156" t="str">
        <f>'Reported burning'!A3046</f>
        <v>332f</v>
      </c>
      <c r="B3046" s="156" t="str">
        <f>'Reported burning'!B3046</f>
        <v>332f.1</v>
      </c>
      <c r="C3046" s="156" t="str">
        <f>'Reported burning'!C3046</f>
        <v>Human, deliberate</v>
      </c>
      <c r="D3046" s="156" t="str">
        <f>'Reported burning'!D3046</f>
        <v>Conservation</v>
      </c>
      <c r="E3046" s="156" t="str">
        <f>'Reported burning'!E3046</f>
        <v>Biodiversity conservation</v>
      </c>
      <c r="F3046" s="156" t="str">
        <f>'Reported burning'!F3046</f>
        <v>Forest</v>
      </c>
      <c r="G3046" s="156" t="str">
        <f>'Reported burning'!G3046</f>
        <v>ND</v>
      </c>
      <c r="H3046" s="156" t="str">
        <f>'Reported burning'!H3046</f>
        <v>Absence</v>
      </c>
      <c r="I3046" s="5"/>
      <c r="J3046" s="21">
        <v>0</v>
      </c>
      <c r="K3046" s="21">
        <v>0</v>
      </c>
      <c r="L3046" s="21">
        <v>0</v>
      </c>
      <c r="M3046" s="21">
        <v>0</v>
      </c>
      <c r="N3046" s="21">
        <v>0</v>
      </c>
      <c r="O3046" s="21">
        <v>0</v>
      </c>
      <c r="P3046" s="21">
        <v>0</v>
      </c>
      <c r="Q3046" s="21">
        <v>0</v>
      </c>
      <c r="R3046" s="21">
        <v>0</v>
      </c>
      <c r="S3046" s="21">
        <v>0</v>
      </c>
      <c r="T3046" s="21">
        <v>0</v>
      </c>
      <c r="U3046" s="21">
        <v>0</v>
      </c>
      <c r="V3046" s="21">
        <v>0</v>
      </c>
      <c r="W3046" s="204" t="s">
        <v>2276</v>
      </c>
      <c r="X3046" s="204" t="s">
        <v>2276</v>
      </c>
      <c r="Y3046" s="204" t="s">
        <v>2276</v>
      </c>
      <c r="Z3046" s="204" t="s">
        <v>2276</v>
      </c>
      <c r="AA3046" s="4" t="s">
        <v>8228</v>
      </c>
      <c r="AB3046" s="204"/>
    </row>
    <row r="3047" spans="1:28" ht="48.5" customHeight="1">
      <c r="A3047" s="156" t="str">
        <f>'Reported burning'!A3047</f>
        <v>332g</v>
      </c>
      <c r="B3047" s="156" t="str">
        <f>'Reported burning'!B3047</f>
        <v>332g.1</v>
      </c>
      <c r="C3047" s="156" t="str">
        <f>'Reported burning'!C3047</f>
        <v>Human, deliberate</v>
      </c>
      <c r="D3047" s="156" t="str">
        <f>'Reported burning'!D3047</f>
        <v>Conservation</v>
      </c>
      <c r="E3047" s="156" t="str">
        <f>'Reported burning'!E3047</f>
        <v>Biodiversity conservation</v>
      </c>
      <c r="F3047" s="156" t="str">
        <f>'Reported burning'!F3047</f>
        <v>Forest</v>
      </c>
      <c r="G3047" s="156" t="str">
        <f>'Reported burning'!G3047</f>
        <v>ND</v>
      </c>
      <c r="H3047" s="156" t="str">
        <f>'Reported burning'!H3047</f>
        <v>Absence</v>
      </c>
      <c r="I3047" s="5"/>
      <c r="J3047" s="21">
        <v>0</v>
      </c>
      <c r="K3047" s="21">
        <v>0</v>
      </c>
      <c r="L3047" s="21">
        <v>0</v>
      </c>
      <c r="M3047" s="21">
        <v>0</v>
      </c>
      <c r="N3047" s="21">
        <v>0</v>
      </c>
      <c r="O3047" s="21">
        <v>0</v>
      </c>
      <c r="P3047" s="21">
        <v>0</v>
      </c>
      <c r="Q3047" s="21">
        <v>0</v>
      </c>
      <c r="R3047" s="21">
        <v>0</v>
      </c>
      <c r="S3047" s="21">
        <v>0</v>
      </c>
      <c r="T3047" s="21">
        <v>0</v>
      </c>
      <c r="U3047" s="21">
        <v>0</v>
      </c>
      <c r="V3047" s="21">
        <v>0</v>
      </c>
      <c r="W3047" s="204" t="s">
        <v>2276</v>
      </c>
      <c r="X3047" s="204" t="s">
        <v>2276</v>
      </c>
      <c r="Y3047" s="204" t="s">
        <v>2276</v>
      </c>
      <c r="Z3047" s="204" t="s">
        <v>2276</v>
      </c>
      <c r="AA3047" s="4" t="s">
        <v>8228</v>
      </c>
      <c r="AB3047" s="204"/>
    </row>
    <row r="3048" spans="1:28" ht="48.5" customHeight="1">
      <c r="A3048" s="156" t="str">
        <f>'Reported burning'!A3048</f>
        <v>332a</v>
      </c>
      <c r="B3048" s="156" t="str">
        <f>'Reported burning'!B3048</f>
        <v>332a.2</v>
      </c>
      <c r="C3048" s="156" t="str">
        <f>'Reported burning'!C3048</f>
        <v>All</v>
      </c>
      <c r="D3048" s="156" t="str">
        <f>'Reported burning'!D3048</f>
        <v>ND</v>
      </c>
      <c r="E3048" s="156" t="str">
        <f>'Reported burning'!E3048</f>
        <v>All</v>
      </c>
      <c r="F3048" s="156" t="str">
        <f>'Reported burning'!F3048</f>
        <v>ND</v>
      </c>
      <c r="G3048" s="156" t="str">
        <f>'Reported burning'!G3048</f>
        <v>ND</v>
      </c>
      <c r="H3048" s="156" t="str">
        <f>'Reported burning'!H3048</f>
        <v>Presence</v>
      </c>
      <c r="I3048" s="5"/>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2276</v>
      </c>
      <c r="AA3048" s="204"/>
      <c r="AB3048" s="204"/>
    </row>
    <row r="3049" spans="1:28" ht="48.5" customHeight="1">
      <c r="A3049" s="156" t="str">
        <f>'Reported burning'!A3049</f>
        <v>332b</v>
      </c>
      <c r="B3049" s="156" t="str">
        <f>'Reported burning'!B3049</f>
        <v>332b.2</v>
      </c>
      <c r="C3049" s="156" t="str">
        <f>'Reported burning'!C3049</f>
        <v>All</v>
      </c>
      <c r="D3049" s="156" t="str">
        <f>'Reported burning'!D3049</f>
        <v>ND</v>
      </c>
      <c r="E3049" s="156" t="str">
        <f>'Reported burning'!E3049</f>
        <v>All</v>
      </c>
      <c r="F3049" s="156" t="str">
        <f>'Reported burning'!F3049</f>
        <v>ND</v>
      </c>
      <c r="G3049" s="156" t="str">
        <f>'Reported burning'!G3049</f>
        <v>ND</v>
      </c>
      <c r="H3049" s="156" t="str">
        <f>'Reported burning'!H3049</f>
        <v>Presence</v>
      </c>
      <c r="I3049" s="5"/>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2276</v>
      </c>
      <c r="AA3049" s="204"/>
      <c r="AB3049" s="204"/>
    </row>
    <row r="3050" spans="1:28" ht="34.5" customHeight="1">
      <c r="A3050" s="156" t="str">
        <f>'Reported burning'!A3050</f>
        <v>332c</v>
      </c>
      <c r="B3050" s="156" t="str">
        <f>'Reported burning'!B3050</f>
        <v>332c.2</v>
      </c>
      <c r="C3050" s="156" t="str">
        <f>'Reported burning'!C3050</f>
        <v>All</v>
      </c>
      <c r="D3050" s="156" t="str">
        <f>'Reported burning'!D3050</f>
        <v>ND</v>
      </c>
      <c r="E3050" s="156" t="str">
        <f>'Reported burning'!E3050</f>
        <v>All</v>
      </c>
      <c r="F3050" s="156" t="str">
        <f>'Reported burning'!F3050</f>
        <v>ND</v>
      </c>
      <c r="G3050" s="156" t="str">
        <f>'Reported burning'!G3050</f>
        <v>ND</v>
      </c>
      <c r="H3050" s="156" t="str">
        <f>'Reported burning'!H3050</f>
        <v>Presence</v>
      </c>
      <c r="I3050" s="5"/>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2276</v>
      </c>
      <c r="AA3050" s="204"/>
      <c r="AB3050" s="204"/>
    </row>
    <row r="3051" spans="1:28" ht="34.5" customHeight="1">
      <c r="A3051" s="156" t="str">
        <f>'Reported burning'!A3051</f>
        <v>332d</v>
      </c>
      <c r="B3051" s="156" t="str">
        <f>'Reported burning'!B3051</f>
        <v>332d.2</v>
      </c>
      <c r="C3051" s="156" t="str">
        <f>'Reported burning'!C3051</f>
        <v>All</v>
      </c>
      <c r="D3051" s="156" t="str">
        <f>'Reported burning'!D3051</f>
        <v>ND</v>
      </c>
      <c r="E3051" s="156" t="str">
        <f>'Reported burning'!E3051</f>
        <v>All</v>
      </c>
      <c r="F3051" s="156" t="str">
        <f>'Reported burning'!F3051</f>
        <v>ND</v>
      </c>
      <c r="G3051" s="156" t="str">
        <f>'Reported burning'!G3051</f>
        <v>ND</v>
      </c>
      <c r="H3051" s="156" t="str">
        <f>'Reported burning'!H3051</f>
        <v>Presence</v>
      </c>
      <c r="I3051" s="5"/>
      <c r="J3051" s="204" t="s">
        <v>2276</v>
      </c>
      <c r="K3051" s="204" t="s">
        <v>2276</v>
      </c>
      <c r="L3051" s="204" t="s">
        <v>2276</v>
      </c>
      <c r="M3051" s="204" t="s">
        <v>2276</v>
      </c>
      <c r="N3051" s="204" t="s">
        <v>2276</v>
      </c>
      <c r="O3051" s="204" t="s">
        <v>2276</v>
      </c>
      <c r="P3051" s="204" t="s">
        <v>2276</v>
      </c>
      <c r="Q3051" s="204" t="s">
        <v>2276</v>
      </c>
      <c r="R3051" s="204" t="s">
        <v>2276</v>
      </c>
      <c r="S3051" s="204" t="s">
        <v>2276</v>
      </c>
      <c r="T3051" s="204" t="s">
        <v>2276</v>
      </c>
      <c r="U3051" s="204" t="s">
        <v>2276</v>
      </c>
      <c r="V3051" s="204" t="s">
        <v>2276</v>
      </c>
      <c r="W3051" s="204" t="s">
        <v>2276</v>
      </c>
      <c r="X3051" s="204" t="s">
        <v>2276</v>
      </c>
      <c r="Y3051" s="204" t="s">
        <v>2276</v>
      </c>
      <c r="Z3051" s="204" t="s">
        <v>2276</v>
      </c>
      <c r="AA3051" s="204"/>
      <c r="AB3051" s="204"/>
    </row>
    <row r="3052" spans="1:28" ht="34.5" customHeight="1">
      <c r="A3052" s="156" t="str">
        <f>'Reported burning'!A3052</f>
        <v>332e</v>
      </c>
      <c r="B3052" s="156" t="str">
        <f>'Reported burning'!B3052</f>
        <v>332e.2</v>
      </c>
      <c r="C3052" s="156" t="str">
        <f>'Reported burning'!C3052</f>
        <v>All</v>
      </c>
      <c r="D3052" s="156" t="str">
        <f>'Reported burning'!D3052</f>
        <v>ND</v>
      </c>
      <c r="E3052" s="156" t="str">
        <f>'Reported burning'!E3052</f>
        <v>All</v>
      </c>
      <c r="F3052" s="156" t="str">
        <f>'Reported burning'!F3052</f>
        <v>ND</v>
      </c>
      <c r="G3052" s="156" t="str">
        <f>'Reported burning'!G3052</f>
        <v>ND</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204"/>
      <c r="AB3052" s="204"/>
    </row>
    <row r="3053" spans="1:28" ht="34.5" customHeight="1">
      <c r="A3053" s="156" t="str">
        <f>'Reported burning'!A3053</f>
        <v>332f</v>
      </c>
      <c r="B3053" s="156" t="str">
        <f>'Reported burning'!B3053</f>
        <v>332f.2</v>
      </c>
      <c r="C3053" s="156" t="str">
        <f>'Reported burning'!C3053</f>
        <v>All</v>
      </c>
      <c r="D3053" s="156" t="str">
        <f>'Reported burning'!D3053</f>
        <v>ND</v>
      </c>
      <c r="E3053" s="156" t="str">
        <f>'Reported burning'!E3053</f>
        <v>All</v>
      </c>
      <c r="F3053" s="156" t="str">
        <f>'Reported burning'!F3053</f>
        <v>ND</v>
      </c>
      <c r="G3053" s="156" t="str">
        <f>'Reported burning'!G3053</f>
        <v>ND</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2276</v>
      </c>
      <c r="AA3053" s="204"/>
      <c r="AB3053" s="204"/>
    </row>
    <row r="3054" spans="1:28" ht="34.5" customHeight="1">
      <c r="A3054" s="156" t="str">
        <f>'Reported burning'!A3054</f>
        <v>332g</v>
      </c>
      <c r="B3054" s="156" t="str">
        <f>'Reported burning'!B3054</f>
        <v>332g.2</v>
      </c>
      <c r="C3054" s="156" t="str">
        <f>'Reported burning'!C3054</f>
        <v>All</v>
      </c>
      <c r="D3054" s="156" t="str">
        <f>'Reported burning'!D3054</f>
        <v>ND</v>
      </c>
      <c r="E3054" s="156" t="str">
        <f>'Reported burning'!E3054</f>
        <v>All</v>
      </c>
      <c r="F3054" s="156" t="str">
        <f>'Reported burning'!F3054</f>
        <v>ND</v>
      </c>
      <c r="G3054" s="156" t="str">
        <f>'Reported burning'!G3054</f>
        <v>ND</v>
      </c>
      <c r="H3054" s="156" t="str">
        <f>'Reported burning'!H3054</f>
        <v>Presence</v>
      </c>
      <c r="I3054" s="5"/>
      <c r="J3054" s="204" t="s">
        <v>2276</v>
      </c>
      <c r="K3054" s="204" t="s">
        <v>2276</v>
      </c>
      <c r="L3054" s="204" t="s">
        <v>2276</v>
      </c>
      <c r="M3054" s="204" t="s">
        <v>2276</v>
      </c>
      <c r="N3054" s="204" t="s">
        <v>2276</v>
      </c>
      <c r="O3054" s="204" t="s">
        <v>2276</v>
      </c>
      <c r="P3054" s="204" t="s">
        <v>2276</v>
      </c>
      <c r="Q3054" s="204" t="s">
        <v>2276</v>
      </c>
      <c r="R3054" s="204" t="s">
        <v>2276</v>
      </c>
      <c r="S3054" s="204" t="s">
        <v>2276</v>
      </c>
      <c r="T3054" s="204" t="s">
        <v>2276</v>
      </c>
      <c r="U3054" s="204" t="s">
        <v>2276</v>
      </c>
      <c r="V3054" s="204" t="s">
        <v>2276</v>
      </c>
      <c r="W3054" s="204" t="s">
        <v>2276</v>
      </c>
      <c r="X3054" s="204" t="s">
        <v>2276</v>
      </c>
      <c r="Y3054" s="204" t="s">
        <v>2276</v>
      </c>
      <c r="Z3054" s="204" t="s">
        <v>2276</v>
      </c>
      <c r="AA3054" s="204"/>
      <c r="AB3054" s="204"/>
    </row>
    <row r="3055" spans="1:28" ht="34.5" customHeight="1">
      <c r="A3055" s="156" t="str">
        <f>'Reported burning'!A3055</f>
        <v>333a</v>
      </c>
      <c r="B3055" s="156" t="str">
        <f>'Reported burning'!B3055</f>
        <v>333a.1</v>
      </c>
      <c r="C3055" s="156" t="str">
        <f>'Reported burning'!C3055</f>
        <v>Human, deliberate</v>
      </c>
      <c r="D3055" s="156" t="str">
        <f>'Reported burning'!D3055</f>
        <v>Pasture renewal</v>
      </c>
      <c r="E3055" s="156" t="str">
        <f>'Reported burning'!E3055</f>
        <v>Forestry, Traditional</v>
      </c>
      <c r="F3055" s="156" t="str">
        <f>'Reported burning'!F3055</f>
        <v>Grassland</v>
      </c>
      <c r="G3055" s="156" t="str">
        <f>'Reported burning'!G3055</f>
        <v>Grassland</v>
      </c>
      <c r="H3055" s="156" t="str">
        <f>'Reported burning'!H3055</f>
        <v>Presence</v>
      </c>
      <c r="I3055" s="5"/>
      <c r="J3055" s="204" t="s">
        <v>2276</v>
      </c>
      <c r="K3055" s="204" t="s">
        <v>2276</v>
      </c>
      <c r="L3055" s="204" t="s">
        <v>2276</v>
      </c>
      <c r="M3055" s="204" t="s">
        <v>2276</v>
      </c>
      <c r="N3055" s="204" t="s">
        <v>2276</v>
      </c>
      <c r="O3055" s="204" t="s">
        <v>2276</v>
      </c>
      <c r="P3055" s="204" t="s">
        <v>2276</v>
      </c>
      <c r="Q3055" s="204" t="s">
        <v>2276</v>
      </c>
      <c r="R3055" s="204" t="s">
        <v>2276</v>
      </c>
      <c r="S3055" s="204" t="s">
        <v>2276</v>
      </c>
      <c r="T3055" s="204" t="s">
        <v>2276</v>
      </c>
      <c r="U3055" s="204" t="s">
        <v>2276</v>
      </c>
      <c r="V3055" s="204" t="s">
        <v>2276</v>
      </c>
      <c r="W3055" s="204" t="s">
        <v>2276</v>
      </c>
      <c r="X3055" s="204" t="s">
        <v>86</v>
      </c>
      <c r="Y3055" s="204" t="s">
        <v>86</v>
      </c>
      <c r="Z3055" s="204" t="s">
        <v>2276</v>
      </c>
      <c r="AA3055" s="204"/>
      <c r="AB3055" s="204"/>
    </row>
    <row r="3056" spans="1:28" ht="34.5" customHeight="1">
      <c r="A3056" s="156" t="str">
        <f>'Reported burning'!A3056</f>
        <v>333b</v>
      </c>
      <c r="B3056" s="156" t="str">
        <f>'Reported burning'!B3056</f>
        <v>333b.1</v>
      </c>
      <c r="C3056" s="156" t="str">
        <f>'Reported burning'!C3056</f>
        <v>Human, deliberate</v>
      </c>
      <c r="D3056" s="156" t="str">
        <f>'Reported burning'!D3056</f>
        <v>Pasture renewal</v>
      </c>
      <c r="E3056" s="156" t="str">
        <f>'Reported burning'!E3056</f>
        <v>Forestry, Traditional</v>
      </c>
      <c r="F3056" s="156" t="str">
        <f>'Reported burning'!F3056</f>
        <v>Grassland</v>
      </c>
      <c r="G3056" s="156" t="str">
        <f>'Reported burning'!G3056</f>
        <v>Grassland</v>
      </c>
      <c r="H3056" s="156" t="str">
        <f>'Reported burning'!H3056</f>
        <v>Presence</v>
      </c>
      <c r="I3056" s="5"/>
      <c r="J3056" s="204" t="s">
        <v>2276</v>
      </c>
      <c r="K3056" s="204" t="s">
        <v>2276</v>
      </c>
      <c r="L3056" s="204" t="s">
        <v>2276</v>
      </c>
      <c r="M3056" s="204" t="s">
        <v>2276</v>
      </c>
      <c r="N3056" s="204" t="s">
        <v>2276</v>
      </c>
      <c r="O3056" s="204" t="s">
        <v>2276</v>
      </c>
      <c r="P3056" s="204" t="s">
        <v>2276</v>
      </c>
      <c r="Q3056" s="204" t="s">
        <v>2276</v>
      </c>
      <c r="R3056" s="204" t="s">
        <v>2276</v>
      </c>
      <c r="S3056" s="204" t="s">
        <v>2276</v>
      </c>
      <c r="T3056" s="204" t="s">
        <v>2276</v>
      </c>
      <c r="U3056" s="204" t="s">
        <v>2276</v>
      </c>
      <c r="V3056" s="204" t="s">
        <v>2276</v>
      </c>
      <c r="W3056" s="204" t="s">
        <v>2276</v>
      </c>
      <c r="X3056" s="204" t="s">
        <v>86</v>
      </c>
      <c r="Y3056" s="204" t="s">
        <v>86</v>
      </c>
      <c r="Z3056" s="204" t="s">
        <v>2276</v>
      </c>
      <c r="AA3056" s="204"/>
      <c r="AB3056" s="204"/>
    </row>
    <row r="3057" spans="1:28" ht="34.5" customHeight="1">
      <c r="A3057" s="156" t="str">
        <f>'Reported burning'!A3057</f>
        <v>333c</v>
      </c>
      <c r="B3057" s="156" t="str">
        <f>'Reported burning'!B3057</f>
        <v>333c.1</v>
      </c>
      <c r="C3057" s="156" t="str">
        <f>'Reported burning'!C3057</f>
        <v>Human, deliberate</v>
      </c>
      <c r="D3057" s="156" t="str">
        <f>'Reported burning'!D3057</f>
        <v>Pasture renewal</v>
      </c>
      <c r="E3057" s="156" t="str">
        <f>'Reported burning'!E3057</f>
        <v>Forestry, Traditional</v>
      </c>
      <c r="F3057" s="156" t="str">
        <f>'Reported burning'!F3057</f>
        <v>Grassland</v>
      </c>
      <c r="G3057" s="156" t="str">
        <f>'Reported burning'!G3057</f>
        <v>Grassland</v>
      </c>
      <c r="H3057" s="156" t="str">
        <f>'Reported burning'!H3057</f>
        <v>Presence</v>
      </c>
      <c r="I3057" s="5"/>
      <c r="J3057" s="204" t="s">
        <v>2276</v>
      </c>
      <c r="K3057" s="204" t="s">
        <v>2276</v>
      </c>
      <c r="L3057" s="204" t="s">
        <v>2276</v>
      </c>
      <c r="M3057" s="204" t="s">
        <v>2276</v>
      </c>
      <c r="N3057" s="204" t="s">
        <v>2276</v>
      </c>
      <c r="O3057" s="204" t="s">
        <v>2276</v>
      </c>
      <c r="P3057" s="204" t="s">
        <v>2276</v>
      </c>
      <c r="Q3057" s="204" t="s">
        <v>2276</v>
      </c>
      <c r="R3057" s="204" t="s">
        <v>2276</v>
      </c>
      <c r="S3057" s="204" t="s">
        <v>2276</v>
      </c>
      <c r="T3057" s="204" t="s">
        <v>2276</v>
      </c>
      <c r="U3057" s="204" t="s">
        <v>2276</v>
      </c>
      <c r="V3057" s="204" t="s">
        <v>2276</v>
      </c>
      <c r="W3057" s="204" t="s">
        <v>2276</v>
      </c>
      <c r="X3057" s="204" t="s">
        <v>86</v>
      </c>
      <c r="Y3057" s="204" t="s">
        <v>86</v>
      </c>
      <c r="Z3057" s="204" t="s">
        <v>2276</v>
      </c>
      <c r="AA3057" s="204"/>
      <c r="AB3057" s="204"/>
    </row>
    <row r="3058" spans="1:28" ht="34.5" customHeight="1">
      <c r="A3058" s="156" t="str">
        <f>'Reported burning'!A3058</f>
        <v>333d</v>
      </c>
      <c r="B3058" s="156" t="str">
        <f>'Reported burning'!B3058</f>
        <v>333d.1</v>
      </c>
      <c r="C3058" s="156" t="str">
        <f>'Reported burning'!C3058</f>
        <v>Human, deliberate</v>
      </c>
      <c r="D3058" s="156" t="str">
        <f>'Reported burning'!D3058</f>
        <v>Pasture renewal</v>
      </c>
      <c r="E3058" s="156" t="str">
        <f>'Reported burning'!E3058</f>
        <v>Forestry, Traditional</v>
      </c>
      <c r="F3058" s="156" t="str">
        <f>'Reported burning'!F3058</f>
        <v>Grassland</v>
      </c>
      <c r="G3058" s="156" t="str">
        <f>'Reported burning'!G3058</f>
        <v>Grassland</v>
      </c>
      <c r="H3058" s="156" t="str">
        <f>'Reported burning'!H3058</f>
        <v>Presence</v>
      </c>
      <c r="I3058" s="5"/>
      <c r="J3058" s="204" t="s">
        <v>2276</v>
      </c>
      <c r="K3058" s="204" t="s">
        <v>2276</v>
      </c>
      <c r="L3058" s="204" t="s">
        <v>2276</v>
      </c>
      <c r="M3058" s="204" t="s">
        <v>2276</v>
      </c>
      <c r="N3058" s="204" t="s">
        <v>2276</v>
      </c>
      <c r="O3058" s="204" t="s">
        <v>2276</v>
      </c>
      <c r="P3058" s="204" t="s">
        <v>2276</v>
      </c>
      <c r="Q3058" s="204" t="s">
        <v>2276</v>
      </c>
      <c r="R3058" s="204" t="s">
        <v>2276</v>
      </c>
      <c r="S3058" s="204" t="s">
        <v>2276</v>
      </c>
      <c r="T3058" s="204" t="s">
        <v>2276</v>
      </c>
      <c r="U3058" s="204" t="s">
        <v>2276</v>
      </c>
      <c r="V3058" s="204" t="s">
        <v>2276</v>
      </c>
      <c r="W3058" s="204" t="s">
        <v>2276</v>
      </c>
      <c r="X3058" s="204" t="s">
        <v>86</v>
      </c>
      <c r="Y3058" s="204" t="s">
        <v>86</v>
      </c>
      <c r="Z3058" s="204" t="s">
        <v>2276</v>
      </c>
      <c r="AA3058" s="204"/>
      <c r="AB3058" s="204"/>
    </row>
    <row r="3059" spans="1:28" ht="34.5" customHeight="1">
      <c r="A3059" s="156" t="str">
        <f>'Reported burning'!A3059</f>
        <v>333a</v>
      </c>
      <c r="B3059" s="156" t="str">
        <f>'Reported burning'!B3059</f>
        <v>333a.2</v>
      </c>
      <c r="C3059" s="156" t="str">
        <f>'Reported burning'!C3059</f>
        <v>All</v>
      </c>
      <c r="D3059" s="156" t="str">
        <f>'Reported burning'!D3059</f>
        <v>ND</v>
      </c>
      <c r="E3059" s="156" t="str">
        <f>'Reported burning'!E3059</f>
        <v>All</v>
      </c>
      <c r="F3059" s="156" t="str">
        <f>'Reported burning'!F3059</f>
        <v>ND</v>
      </c>
      <c r="G3059" s="156" t="str">
        <f>'Reported burning'!G3059</f>
        <v>Shrubland (Mixed forest &amp; grassland)</v>
      </c>
      <c r="H3059" s="156" t="str">
        <f>'Reported burning'!H3059</f>
        <v>Presence</v>
      </c>
      <c r="I3059" s="5"/>
      <c r="J3059" s="204" t="s">
        <v>2276</v>
      </c>
      <c r="K3059" s="204" t="s">
        <v>2276</v>
      </c>
      <c r="L3059" s="204" t="s">
        <v>2276</v>
      </c>
      <c r="M3059" s="204" t="s">
        <v>2276</v>
      </c>
      <c r="N3059" s="204" t="s">
        <v>2276</v>
      </c>
      <c r="O3059" s="204" t="s">
        <v>2276</v>
      </c>
      <c r="P3059" s="204" t="s">
        <v>2276</v>
      </c>
      <c r="Q3059" s="204" t="s">
        <v>2276</v>
      </c>
      <c r="R3059" s="204" t="s">
        <v>2276</v>
      </c>
      <c r="S3059" s="204" t="s">
        <v>2276</v>
      </c>
      <c r="T3059" s="204" t="s">
        <v>2276</v>
      </c>
      <c r="U3059" s="204" t="s">
        <v>2276</v>
      </c>
      <c r="V3059" s="204" t="s">
        <v>2276</v>
      </c>
      <c r="W3059" s="204" t="s">
        <v>2276</v>
      </c>
      <c r="X3059" s="204" t="s">
        <v>86</v>
      </c>
      <c r="Y3059" s="204" t="s">
        <v>404</v>
      </c>
      <c r="Z3059" s="204" t="s">
        <v>2655</v>
      </c>
      <c r="AA3059" s="204"/>
      <c r="AB3059" s="204"/>
    </row>
    <row r="3060" spans="1:28" ht="34.5" customHeight="1">
      <c r="A3060" s="156" t="str">
        <f>'Reported burning'!A3060</f>
        <v>333b</v>
      </c>
      <c r="B3060" s="156" t="str">
        <f>'Reported burning'!B3060</f>
        <v>333b.2</v>
      </c>
      <c r="C3060" s="156" t="str">
        <f>'Reported burning'!C3060</f>
        <v>All</v>
      </c>
      <c r="D3060" s="156" t="str">
        <f>'Reported burning'!D3060</f>
        <v>ND</v>
      </c>
      <c r="E3060" s="156" t="str">
        <f>'Reported burning'!E3060</f>
        <v>All</v>
      </c>
      <c r="F3060" s="156" t="str">
        <f>'Reported burning'!F3060</f>
        <v>ND</v>
      </c>
      <c r="G3060" s="156" t="str">
        <f>'Reported burning'!G3060</f>
        <v>Shrubland (Mixed forest &amp; grassland)</v>
      </c>
      <c r="H3060" s="156" t="str">
        <f>'Reported burning'!H3060</f>
        <v>Presence</v>
      </c>
      <c r="I3060" s="5"/>
      <c r="J3060" s="204" t="s">
        <v>2276</v>
      </c>
      <c r="K3060" s="204" t="s">
        <v>2276</v>
      </c>
      <c r="L3060" s="204" t="s">
        <v>2276</v>
      </c>
      <c r="M3060" s="204" t="s">
        <v>2276</v>
      </c>
      <c r="N3060" s="204" t="s">
        <v>2276</v>
      </c>
      <c r="O3060" s="204" t="s">
        <v>2276</v>
      </c>
      <c r="P3060" s="204" t="s">
        <v>2276</v>
      </c>
      <c r="Q3060" s="204" t="s">
        <v>2276</v>
      </c>
      <c r="R3060" s="204" t="s">
        <v>2276</v>
      </c>
      <c r="S3060" s="204" t="s">
        <v>2276</v>
      </c>
      <c r="T3060" s="204" t="s">
        <v>2276</v>
      </c>
      <c r="U3060" s="204" t="s">
        <v>2276</v>
      </c>
      <c r="V3060" s="204" t="s">
        <v>2276</v>
      </c>
      <c r="W3060" s="204" t="s">
        <v>2276</v>
      </c>
      <c r="X3060" s="204" t="s">
        <v>86</v>
      </c>
      <c r="Y3060" s="204" t="s">
        <v>404</v>
      </c>
      <c r="Z3060" s="204" t="s">
        <v>2655</v>
      </c>
      <c r="AA3060" s="204"/>
      <c r="AB3060" s="204"/>
    </row>
    <row r="3061" spans="1:28" ht="34.5" customHeight="1">
      <c r="A3061" s="156" t="str">
        <f>'Reported burning'!A3061</f>
        <v>333c</v>
      </c>
      <c r="B3061" s="156" t="str">
        <f>'Reported burning'!B3061</f>
        <v>333c.2</v>
      </c>
      <c r="C3061" s="156" t="str">
        <f>'Reported burning'!C3061</f>
        <v>All</v>
      </c>
      <c r="D3061" s="156" t="str">
        <f>'Reported burning'!D3061</f>
        <v>ND</v>
      </c>
      <c r="E3061" s="156" t="str">
        <f>'Reported burning'!E3061</f>
        <v>All</v>
      </c>
      <c r="F3061" s="156" t="str">
        <f>'Reported burning'!F3061</f>
        <v>ND</v>
      </c>
      <c r="G3061" s="156" t="str">
        <f>'Reported burning'!G3061</f>
        <v>Shrubland (Mixed forest &amp; grassland)</v>
      </c>
      <c r="H3061" s="156" t="str">
        <f>'Reported burning'!H3061</f>
        <v>Presence</v>
      </c>
      <c r="I3061" s="5"/>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86</v>
      </c>
      <c r="Y3061" s="204" t="s">
        <v>404</v>
      </c>
      <c r="Z3061" s="204" t="s">
        <v>2655</v>
      </c>
      <c r="AA3061" s="204"/>
      <c r="AB3061" s="204"/>
    </row>
    <row r="3062" spans="1:28" ht="34.5" customHeight="1">
      <c r="A3062" s="156" t="str">
        <f>'Reported burning'!A3062</f>
        <v>333d</v>
      </c>
      <c r="B3062" s="156" t="str">
        <f>'Reported burning'!B3062</f>
        <v>333d.2</v>
      </c>
      <c r="C3062" s="156" t="str">
        <f>'Reported burning'!C3062</f>
        <v>All</v>
      </c>
      <c r="D3062" s="156" t="str">
        <f>'Reported burning'!D3062</f>
        <v>ND</v>
      </c>
      <c r="E3062" s="156" t="str">
        <f>'Reported burning'!E3062</f>
        <v>All</v>
      </c>
      <c r="F3062" s="156" t="str">
        <f>'Reported burning'!F3062</f>
        <v>ND</v>
      </c>
      <c r="G3062" s="156" t="str">
        <f>'Reported burning'!G3062</f>
        <v>Shrubland (Mixed forest &amp; grassland)</v>
      </c>
      <c r="H3062" s="156" t="str">
        <f>'Reported burning'!H3062</f>
        <v>Presence</v>
      </c>
      <c r="I3062" s="5"/>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86</v>
      </c>
      <c r="Y3062" s="204" t="s">
        <v>404</v>
      </c>
      <c r="Z3062" s="204" t="s">
        <v>2655</v>
      </c>
      <c r="AA3062" s="204"/>
      <c r="AB3062" s="204"/>
    </row>
    <row r="3063" spans="1:28" ht="34.5" customHeight="1">
      <c r="A3063" s="156" t="str">
        <f>'Reported burning'!A3063</f>
        <v>333a</v>
      </c>
      <c r="B3063" s="156" t="str">
        <f>'Reported burning'!B3063</f>
        <v>333a.3</v>
      </c>
      <c r="C3063" s="156" t="str">
        <f>'Reported burning'!C3063</f>
        <v>Lightning</v>
      </c>
      <c r="D3063" s="156" t="str">
        <f>'Reported burning'!D3063</f>
        <v>ND</v>
      </c>
      <c r="E3063" s="156" t="str">
        <f>'Reported burning'!E3063</f>
        <v>All</v>
      </c>
      <c r="F3063" s="156" t="str">
        <f>'Reported burning'!F3063</f>
        <v>ND</v>
      </c>
      <c r="G3063" s="156" t="str">
        <f>'Reported burning'!G3063</f>
        <v>Shrubland (Mixed forest &amp; grassland)</v>
      </c>
      <c r="H3063" s="156" t="str">
        <f>'Reported burning'!H3063</f>
        <v>Presence</v>
      </c>
      <c r="I3063" s="5"/>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34</v>
      </c>
      <c r="Y3063" s="204" t="s">
        <v>404</v>
      </c>
      <c r="Z3063" s="204" t="s">
        <v>2655</v>
      </c>
      <c r="AA3063" s="204"/>
      <c r="AB3063" s="204"/>
    </row>
    <row r="3064" spans="1:28" ht="34.5" customHeight="1">
      <c r="A3064" s="156" t="str">
        <f>'Reported burning'!A3064</f>
        <v>333b</v>
      </c>
      <c r="B3064" s="156" t="str">
        <f>'Reported burning'!B3064</f>
        <v>333b.3</v>
      </c>
      <c r="C3064" s="156" t="str">
        <f>'Reported burning'!C3064</f>
        <v>Lightning</v>
      </c>
      <c r="D3064" s="156" t="str">
        <f>'Reported burning'!D3064</f>
        <v>ND</v>
      </c>
      <c r="E3064" s="156" t="str">
        <f>'Reported burning'!E3064</f>
        <v>All</v>
      </c>
      <c r="F3064" s="156" t="str">
        <f>'Reported burning'!F3064</f>
        <v>ND</v>
      </c>
      <c r="G3064" s="156" t="str">
        <f>'Reported burning'!G3064</f>
        <v>Shrubland (Mixed forest &amp; grassland)</v>
      </c>
      <c r="H3064" s="156" t="str">
        <f>'Reported burning'!H3064</f>
        <v>Presence</v>
      </c>
      <c r="I3064" s="5"/>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34</v>
      </c>
      <c r="Y3064" s="204" t="s">
        <v>404</v>
      </c>
      <c r="Z3064" s="204" t="s">
        <v>2655</v>
      </c>
      <c r="AA3064" s="204"/>
      <c r="AB3064" s="204"/>
    </row>
    <row r="3065" spans="1:28" ht="34.5" customHeight="1">
      <c r="A3065" s="156" t="str">
        <f>'Reported burning'!A3065</f>
        <v>333c</v>
      </c>
      <c r="B3065" s="156" t="str">
        <f>'Reported burning'!B3065</f>
        <v>333c.3</v>
      </c>
      <c r="C3065" s="156" t="str">
        <f>'Reported burning'!C3065</f>
        <v>Lightning</v>
      </c>
      <c r="D3065" s="156" t="str">
        <f>'Reported burning'!D3065</f>
        <v>ND</v>
      </c>
      <c r="E3065" s="156" t="str">
        <f>'Reported burning'!E3065</f>
        <v>All</v>
      </c>
      <c r="F3065" s="156" t="str">
        <f>'Reported burning'!F3065</f>
        <v>ND</v>
      </c>
      <c r="G3065" s="156" t="str">
        <f>'Reported burning'!G3065</f>
        <v>Shrubland (Mixed forest &amp; grassland)</v>
      </c>
      <c r="H3065" s="156" t="str">
        <f>'Reported burning'!H3065</f>
        <v>Presence</v>
      </c>
      <c r="I3065" s="5"/>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34</v>
      </c>
      <c r="Y3065" s="204" t="s">
        <v>404</v>
      </c>
      <c r="Z3065" s="204" t="s">
        <v>2655</v>
      </c>
      <c r="AA3065" s="204"/>
      <c r="AB3065" s="204"/>
    </row>
    <row r="3066" spans="1:28" ht="34.5" customHeight="1">
      <c r="A3066" s="156" t="str">
        <f>'Reported burning'!A3066</f>
        <v>333d</v>
      </c>
      <c r="B3066" s="156" t="str">
        <f>'Reported burning'!B3066</f>
        <v>333d.3</v>
      </c>
      <c r="C3066" s="156" t="str">
        <f>'Reported burning'!C3066</f>
        <v>Lightning</v>
      </c>
      <c r="D3066" s="156" t="str">
        <f>'Reported burning'!D3066</f>
        <v>ND</v>
      </c>
      <c r="E3066" s="156" t="str">
        <f>'Reported burning'!E3066</f>
        <v>All</v>
      </c>
      <c r="F3066" s="156" t="str">
        <f>'Reported burning'!F3066</f>
        <v>ND</v>
      </c>
      <c r="G3066" s="156" t="str">
        <f>'Reported burning'!G3066</f>
        <v>Shrubland (Mixed forest &amp; grassland)</v>
      </c>
      <c r="H3066" s="156" t="str">
        <f>'Reported burning'!H3066</f>
        <v>Presence</v>
      </c>
      <c r="I3066" s="5"/>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34</v>
      </c>
      <c r="Y3066" s="204" t="s">
        <v>404</v>
      </c>
      <c r="Z3066" s="204" t="s">
        <v>2655</v>
      </c>
      <c r="AA3066" s="204"/>
      <c r="AB3066" s="204"/>
    </row>
    <row r="3067" spans="1:28" ht="34.5" customHeight="1">
      <c r="A3067" s="156" t="str">
        <f>'Reported burning'!A3067</f>
        <v>334a</v>
      </c>
      <c r="B3067" s="156" t="str">
        <f>'Reported burning'!B3067</f>
        <v>334a.1</v>
      </c>
      <c r="C3067" s="156" t="str">
        <f>'Reported burning'!C3067</f>
        <v>Human, deliberate</v>
      </c>
      <c r="D3067" s="156" t="str">
        <f>'Reported burning'!D3067</f>
        <v>Hunting</v>
      </c>
      <c r="E3067" s="156" t="str">
        <f>'Reported burning'!E3067</f>
        <v>Forestry, Traditional</v>
      </c>
      <c r="F3067" s="156" t="str">
        <f>'Reported burning'!F3067</f>
        <v>Shrubland (Mixed forest &amp; grassland)</v>
      </c>
      <c r="G3067" s="156" t="str">
        <f>'Reported burning'!G3067</f>
        <v>Shrubland (Mixed forest &amp; grassland)</v>
      </c>
      <c r="H3067" s="156" t="str">
        <f>'Reported burning'!H3067</f>
        <v>Presence</v>
      </c>
      <c r="I3067" s="5"/>
      <c r="J3067" s="204" t="s">
        <v>2276</v>
      </c>
      <c r="K3067" s="204" t="s">
        <v>2276</v>
      </c>
      <c r="L3067" s="21" t="s">
        <v>2362</v>
      </c>
      <c r="M3067" s="204" t="s">
        <v>2276</v>
      </c>
      <c r="N3067" s="204" t="s">
        <v>2276</v>
      </c>
      <c r="O3067" s="204" t="s">
        <v>2276</v>
      </c>
      <c r="P3067" s="21" t="s">
        <v>2362</v>
      </c>
      <c r="Q3067" s="204" t="s">
        <v>2276</v>
      </c>
      <c r="R3067" s="21" t="s">
        <v>2362</v>
      </c>
      <c r="S3067" s="204" t="s">
        <v>2276</v>
      </c>
      <c r="T3067" s="204" t="s">
        <v>2276</v>
      </c>
      <c r="U3067" s="204" t="s">
        <v>2276</v>
      </c>
      <c r="V3067" s="14" t="s">
        <v>2393</v>
      </c>
      <c r="W3067" s="204" t="s">
        <v>2276</v>
      </c>
      <c r="X3067" s="204" t="s">
        <v>425</v>
      </c>
      <c r="Y3067" s="204" t="s">
        <v>68</v>
      </c>
      <c r="Z3067" s="204" t="s">
        <v>76</v>
      </c>
      <c r="AA3067" s="4" t="s">
        <v>8267</v>
      </c>
      <c r="AB3067" s="4" t="s">
        <v>8268</v>
      </c>
    </row>
    <row r="3068" spans="1:28" ht="34.5" customHeight="1">
      <c r="A3068" s="156" t="str">
        <f>'Reported burning'!A3068</f>
        <v>334a</v>
      </c>
      <c r="B3068" s="156" t="str">
        <f>'Reported burning'!B3068</f>
        <v>334a.2</v>
      </c>
      <c r="C3068" s="156" t="str">
        <f>'Reported burning'!C3068</f>
        <v>Human, deliberate</v>
      </c>
      <c r="D3068" s="156" t="str">
        <f>'Reported burning'!D3068</f>
        <v>Accessibility</v>
      </c>
      <c r="E3068" s="156" t="str">
        <f>'Reported burning'!E3068</f>
        <v>Forestry, Traditional</v>
      </c>
      <c r="F3068" s="156" t="str">
        <f>'Reported burning'!F3068</f>
        <v>Shrubland (Mixed forest &amp; grassland)</v>
      </c>
      <c r="G3068" s="156" t="str">
        <f>'Reported burning'!G3068</f>
        <v>Shrubland (Mixed forest &amp; grassland)</v>
      </c>
      <c r="H3068" s="156" t="str">
        <f>'Reported burning'!H3068</f>
        <v>Presence</v>
      </c>
      <c r="I3068" s="5"/>
      <c r="J3068" s="204" t="s">
        <v>2276</v>
      </c>
      <c r="K3068" s="204" t="s">
        <v>2276</v>
      </c>
      <c r="L3068" s="21" t="s">
        <v>2362</v>
      </c>
      <c r="M3068" s="204" t="s">
        <v>2276</v>
      </c>
      <c r="N3068" s="204" t="s">
        <v>2276</v>
      </c>
      <c r="O3068" s="204" t="s">
        <v>2276</v>
      </c>
      <c r="P3068" s="21" t="s">
        <v>2362</v>
      </c>
      <c r="Q3068" s="204" t="s">
        <v>2276</v>
      </c>
      <c r="R3068" s="21" t="s">
        <v>2362</v>
      </c>
      <c r="S3068" s="204" t="s">
        <v>2276</v>
      </c>
      <c r="T3068" s="204" t="s">
        <v>2276</v>
      </c>
      <c r="U3068" s="204" t="s">
        <v>2276</v>
      </c>
      <c r="V3068" s="204" t="s">
        <v>2276</v>
      </c>
      <c r="W3068" s="204" t="s">
        <v>2276</v>
      </c>
      <c r="X3068" s="204" t="s">
        <v>425</v>
      </c>
      <c r="Y3068" s="204" t="s">
        <v>68</v>
      </c>
      <c r="Z3068" s="204" t="s">
        <v>76</v>
      </c>
      <c r="AA3068" s="204"/>
      <c r="AB3068" s="4" t="s">
        <v>8268</v>
      </c>
    </row>
    <row r="3069" spans="1:28" ht="50" customHeight="1">
      <c r="A3069" s="156" t="str">
        <f>'Reported burning'!A3069</f>
        <v>334a</v>
      </c>
      <c r="B3069" s="156" t="str">
        <f>'Reported burning'!B3069</f>
        <v>334a.3</v>
      </c>
      <c r="C3069" s="156" t="str">
        <f>'Reported burning'!C3069</f>
        <v>Human, deliberate</v>
      </c>
      <c r="D3069" s="156" t="str">
        <f>'Reported burning'!D3069</f>
        <v>Pyrome management</v>
      </c>
      <c r="E3069" s="156" t="str">
        <f>'Reported burning'!E3069</f>
        <v>Forestry, Traditional</v>
      </c>
      <c r="F3069" s="156" t="str">
        <f>'Reported burning'!F3069</f>
        <v>Shrubland (Mixed forest &amp; grassland)</v>
      </c>
      <c r="G3069" s="156" t="str">
        <f>'Reported burning'!G3069</f>
        <v>Shrubland (Mixed forest &amp; grassland)</v>
      </c>
      <c r="H3069" s="156" t="str">
        <f>'Reported burning'!H3069</f>
        <v>Presence</v>
      </c>
      <c r="I3069" s="5"/>
      <c r="J3069" s="204" t="s">
        <v>2276</v>
      </c>
      <c r="K3069" s="204" t="s">
        <v>2276</v>
      </c>
      <c r="L3069" s="21" t="s">
        <v>2362</v>
      </c>
      <c r="M3069" s="204" t="s">
        <v>2276</v>
      </c>
      <c r="N3069" s="204" t="s">
        <v>2276</v>
      </c>
      <c r="O3069" s="204" t="s">
        <v>2276</v>
      </c>
      <c r="P3069" s="21" t="s">
        <v>2362</v>
      </c>
      <c r="Q3069" s="204" t="s">
        <v>2276</v>
      </c>
      <c r="R3069" s="21" t="s">
        <v>2362</v>
      </c>
      <c r="S3069" s="204" t="s">
        <v>2276</v>
      </c>
      <c r="T3069" s="204" t="s">
        <v>2276</v>
      </c>
      <c r="U3069" s="204" t="s">
        <v>2276</v>
      </c>
      <c r="V3069" s="204" t="s">
        <v>2276</v>
      </c>
      <c r="W3069" s="204" t="s">
        <v>2276</v>
      </c>
      <c r="X3069" s="38" t="s">
        <v>189</v>
      </c>
      <c r="Y3069" s="38" t="s">
        <v>38</v>
      </c>
      <c r="Z3069" s="38" t="s">
        <v>2655</v>
      </c>
      <c r="AA3069" s="168" t="s">
        <v>8266</v>
      </c>
      <c r="AB3069" s="4" t="s">
        <v>8268</v>
      </c>
    </row>
    <row r="3070" spans="1:28" ht="50" customHeight="1">
      <c r="A3070" s="156" t="str">
        <f>'Reported burning'!A3070</f>
        <v>334a</v>
      </c>
      <c r="B3070" s="156" t="str">
        <f>'Reported burning'!B3070</f>
        <v>334a.4</v>
      </c>
      <c r="C3070" s="156" t="str">
        <f>'Reported burning'!C3070</f>
        <v>Human, deliberate</v>
      </c>
      <c r="D3070" s="156" t="str">
        <f>'Reported burning'!D3070</f>
        <v>Fishing</v>
      </c>
      <c r="E3070" s="156" t="str">
        <f>'Reported burning'!E3070</f>
        <v>Forestry, Traditional</v>
      </c>
      <c r="F3070" s="156" t="str">
        <f>'Reported burning'!F3070</f>
        <v>Shrubland (Mixed forest &amp; grassland)</v>
      </c>
      <c r="G3070" s="156" t="str">
        <f>'Reported burning'!G3070</f>
        <v>Shrubland (Mixed forest &amp; grassland)</v>
      </c>
      <c r="H3070" s="156" t="str">
        <f>'Reported burning'!H3070</f>
        <v>Presence</v>
      </c>
      <c r="I3070" s="5"/>
      <c r="J3070" s="204" t="s">
        <v>2276</v>
      </c>
      <c r="K3070" s="204" t="s">
        <v>2276</v>
      </c>
      <c r="L3070" s="21" t="s">
        <v>2362</v>
      </c>
      <c r="M3070" s="204" t="s">
        <v>2276</v>
      </c>
      <c r="N3070" s="204" t="s">
        <v>2276</v>
      </c>
      <c r="O3070" s="204" t="s">
        <v>2276</v>
      </c>
      <c r="P3070" s="21" t="s">
        <v>2362</v>
      </c>
      <c r="Q3070" s="204" t="s">
        <v>2276</v>
      </c>
      <c r="R3070" s="21" t="s">
        <v>2362</v>
      </c>
      <c r="S3070" s="204" t="s">
        <v>2276</v>
      </c>
      <c r="T3070" s="204" t="s">
        <v>2276</v>
      </c>
      <c r="U3070" s="204" t="s">
        <v>2276</v>
      </c>
      <c r="V3070" s="204" t="s">
        <v>2276</v>
      </c>
      <c r="W3070" s="204" t="s">
        <v>2276</v>
      </c>
      <c r="X3070" s="204" t="s">
        <v>38</v>
      </c>
      <c r="Y3070" s="204" t="s">
        <v>34</v>
      </c>
      <c r="Z3070" s="204" t="s">
        <v>2655</v>
      </c>
      <c r="AA3070" s="168" t="s">
        <v>8266</v>
      </c>
      <c r="AB3070" s="4" t="s">
        <v>8268</v>
      </c>
    </row>
    <row r="3071" spans="1:28" ht="50" customHeight="1">
      <c r="A3071" s="156" t="str">
        <f>'Reported burning'!A3071</f>
        <v>334a</v>
      </c>
      <c r="B3071" s="156" t="str">
        <f>'Reported burning'!B3071</f>
        <v>334a.5</v>
      </c>
      <c r="C3071" s="156" t="str">
        <f>'Reported burning'!C3071</f>
        <v>Human, deliberate</v>
      </c>
      <c r="D3071" s="156" t="str">
        <f>'Reported burning'!D3071</f>
        <v>Harvesting of NTFP</v>
      </c>
      <c r="E3071" s="156" t="str">
        <f>'Reported burning'!E3071</f>
        <v>Forestry, Traditional</v>
      </c>
      <c r="F3071" s="156" t="str">
        <f>'Reported burning'!F3071</f>
        <v>Shrubland (Mixed forest &amp; grassland)</v>
      </c>
      <c r="G3071" s="156" t="str">
        <f>'Reported burning'!G3071</f>
        <v>Shrubland (Mixed forest &amp; grassland)</v>
      </c>
      <c r="H3071" s="156" t="str">
        <f>'Reported burning'!H3071</f>
        <v>Presence</v>
      </c>
      <c r="I3071" s="5"/>
      <c r="J3071" s="204" t="s">
        <v>2276</v>
      </c>
      <c r="K3071" s="204" t="s">
        <v>2276</v>
      </c>
      <c r="L3071" s="21" t="s">
        <v>2362</v>
      </c>
      <c r="M3071" s="204" t="s">
        <v>2276</v>
      </c>
      <c r="N3071" s="204" t="s">
        <v>2276</v>
      </c>
      <c r="O3071" s="204" t="s">
        <v>2276</v>
      </c>
      <c r="P3071" s="21" t="s">
        <v>2362</v>
      </c>
      <c r="Q3071" s="204" t="s">
        <v>2276</v>
      </c>
      <c r="R3071" s="21" t="s">
        <v>2362</v>
      </c>
      <c r="S3071" s="204" t="s">
        <v>2276</v>
      </c>
      <c r="T3071" s="204" t="s">
        <v>2276</v>
      </c>
      <c r="U3071" s="204" t="s">
        <v>2276</v>
      </c>
      <c r="V3071" s="204" t="s">
        <v>2276</v>
      </c>
      <c r="W3071" s="204" t="s">
        <v>2276</v>
      </c>
      <c r="X3071" s="204" t="s">
        <v>38</v>
      </c>
      <c r="Y3071" s="204" t="s">
        <v>34</v>
      </c>
      <c r="Z3071" s="204" t="s">
        <v>64</v>
      </c>
      <c r="AA3071" s="4"/>
      <c r="AB3071" s="4" t="s">
        <v>8268</v>
      </c>
    </row>
    <row r="3072" spans="1:28" ht="50" customHeight="1">
      <c r="A3072" s="156" t="str">
        <f>'Reported burning'!A3072</f>
        <v>334a</v>
      </c>
      <c r="B3072" s="156" t="str">
        <f>'Reported burning'!B3072</f>
        <v>334a.6</v>
      </c>
      <c r="C3072" s="156" t="str">
        <f>'Reported burning'!C3072</f>
        <v>Human, deliberate</v>
      </c>
      <c r="D3072" s="156" t="str">
        <f>'Reported burning'!D3072</f>
        <v>Pyrome management</v>
      </c>
      <c r="E3072" s="156" t="str">
        <f>'Reported burning'!E3072</f>
        <v>Forestry, Traditional</v>
      </c>
      <c r="F3072" s="156" t="str">
        <f>'Reported burning'!F3072</f>
        <v>Shrubland (Mixed forest &amp; grassland)</v>
      </c>
      <c r="G3072" s="156" t="str">
        <f>'Reported burning'!G3072</f>
        <v>Shrubland (Mixed forest &amp; grassland)</v>
      </c>
      <c r="H3072" s="156" t="str">
        <f>'Reported burning'!H3072</f>
        <v>Presence</v>
      </c>
      <c r="I3072" s="5"/>
      <c r="J3072" s="204" t="s">
        <v>2276</v>
      </c>
      <c r="K3072" s="204" t="s">
        <v>2276</v>
      </c>
      <c r="L3072" s="21" t="s">
        <v>2362</v>
      </c>
      <c r="M3072" s="204" t="s">
        <v>2276</v>
      </c>
      <c r="N3072" s="204" t="s">
        <v>2276</v>
      </c>
      <c r="O3072" s="204" t="s">
        <v>2276</v>
      </c>
      <c r="P3072" s="21" t="s">
        <v>2362</v>
      </c>
      <c r="Q3072" s="204" t="s">
        <v>2276</v>
      </c>
      <c r="R3072" s="21" t="s">
        <v>2362</v>
      </c>
      <c r="S3072" s="204" t="s">
        <v>2276</v>
      </c>
      <c r="T3072" s="204" t="s">
        <v>2276</v>
      </c>
      <c r="U3072" s="204" t="s">
        <v>2276</v>
      </c>
      <c r="V3072" s="204" t="s">
        <v>2276</v>
      </c>
      <c r="W3072" s="204" t="s">
        <v>2276</v>
      </c>
      <c r="X3072" s="204" t="s">
        <v>34</v>
      </c>
      <c r="Y3072" s="204" t="s">
        <v>405</v>
      </c>
      <c r="Z3072" s="204" t="s">
        <v>64</v>
      </c>
      <c r="AA3072" s="4" t="s">
        <v>8265</v>
      </c>
      <c r="AB3072" s="4" t="s">
        <v>8268</v>
      </c>
    </row>
    <row r="3073" spans="1:28" ht="50" customHeight="1">
      <c r="A3073" s="152" t="str">
        <f>'Reported burning'!A3073</f>
        <v>335a</v>
      </c>
      <c r="B3073" s="152" t="str">
        <f>'Reported burning'!B3073</f>
        <v>335a.1</v>
      </c>
      <c r="C3073" s="152" t="str">
        <f>'Reported burning'!C3073</f>
        <v>Human, deliberate</v>
      </c>
      <c r="D3073" s="152" t="str">
        <f>'Reported burning'!D3073</f>
        <v>Hunting</v>
      </c>
      <c r="E3073" s="152" t="str">
        <f>'Reported burning'!E3073</f>
        <v>Forestry, Traditional</v>
      </c>
      <c r="F3073" s="152" t="str">
        <f>'Reported burning'!F3073</f>
        <v>Forest</v>
      </c>
      <c r="G3073" s="152" t="str">
        <f>'Reported burning'!G3073</f>
        <v>Forest</v>
      </c>
      <c r="H3073" s="152" t="str">
        <f>'Reported burning'!H3073</f>
        <v>Absence</v>
      </c>
      <c r="I3073" s="204"/>
      <c r="J3073" s="21">
        <v>0</v>
      </c>
      <c r="K3073" s="21">
        <v>0</v>
      </c>
      <c r="L3073" s="21">
        <v>0</v>
      </c>
      <c r="M3073" s="21">
        <v>0</v>
      </c>
      <c r="N3073" s="21">
        <v>0</v>
      </c>
      <c r="O3073" s="21">
        <v>0</v>
      </c>
      <c r="P3073" s="21">
        <v>0</v>
      </c>
      <c r="Q3073" s="21">
        <v>0</v>
      </c>
      <c r="R3073" s="21">
        <v>0</v>
      </c>
      <c r="S3073" s="21">
        <v>0</v>
      </c>
      <c r="T3073" s="21">
        <v>0</v>
      </c>
      <c r="U3073" s="21">
        <v>0</v>
      </c>
      <c r="V3073" s="21">
        <v>0</v>
      </c>
      <c r="W3073" s="204" t="s">
        <v>2276</v>
      </c>
      <c r="X3073" s="204" t="s">
        <v>2276</v>
      </c>
      <c r="Y3073" s="204" t="s">
        <v>2276</v>
      </c>
      <c r="Z3073" s="204" t="s">
        <v>2276</v>
      </c>
      <c r="AA3073" s="204"/>
      <c r="AB3073" s="204"/>
    </row>
    <row r="3074" spans="1:28" ht="50" customHeight="1">
      <c r="A3074" s="152" t="str">
        <f>'Reported burning'!A3074</f>
        <v>335a</v>
      </c>
      <c r="B3074" s="152" t="str">
        <f>'Reported burning'!B3074</f>
        <v>335a.2</v>
      </c>
      <c r="C3074" s="152" t="str">
        <f>'Reported burning'!C3074</f>
        <v>Lightning</v>
      </c>
      <c r="D3074" s="152" t="str">
        <f>'Reported burning'!D3074</f>
        <v>ND</v>
      </c>
      <c r="E3074" s="152" t="str">
        <f>'Reported burning'!E3074</f>
        <v>All</v>
      </c>
      <c r="F3074" s="152" t="str">
        <f>'Reported burning'!F3074</f>
        <v>ND</v>
      </c>
      <c r="G3074" s="152" t="str">
        <f>'Reported burning'!G3074</f>
        <v>Forest</v>
      </c>
      <c r="H3074" s="152" t="str">
        <f>'Reported burning'!H3074</f>
        <v>Presence</v>
      </c>
      <c r="I3074" s="204"/>
      <c r="J3074" s="204" t="s">
        <v>2276</v>
      </c>
      <c r="K3074" s="204" t="s">
        <v>2276</v>
      </c>
      <c r="L3074" s="204" t="s">
        <v>2276</v>
      </c>
      <c r="M3074" s="204" t="s">
        <v>2276</v>
      </c>
      <c r="N3074" s="21" t="s">
        <v>2386</v>
      </c>
      <c r="O3074" s="204" t="s">
        <v>2276</v>
      </c>
      <c r="P3074" s="204" t="s">
        <v>2276</v>
      </c>
      <c r="Q3074" s="204" t="s">
        <v>2276</v>
      </c>
      <c r="R3074" s="204" t="s">
        <v>2276</v>
      </c>
      <c r="S3074" s="204" t="s">
        <v>2276</v>
      </c>
      <c r="T3074" s="204" t="s">
        <v>2276</v>
      </c>
      <c r="U3074" s="204" t="s">
        <v>2276</v>
      </c>
      <c r="V3074" s="204" t="s">
        <v>2276</v>
      </c>
      <c r="W3074" s="204" t="s">
        <v>2276</v>
      </c>
      <c r="X3074" s="204" t="s">
        <v>2276</v>
      </c>
      <c r="Y3074" s="204" t="s">
        <v>2276</v>
      </c>
      <c r="Z3074" s="204" t="s">
        <v>2276</v>
      </c>
      <c r="AA3074" s="204"/>
      <c r="AB3074" s="204"/>
    </row>
    <row r="3075" spans="1:28" ht="33.5" customHeight="1">
      <c r="A3075" s="156" t="str">
        <f>'Reported burning'!A3075</f>
        <v>335a</v>
      </c>
      <c r="B3075" s="156" t="str">
        <f>'Reported burning'!B3075</f>
        <v>335a.3</v>
      </c>
      <c r="C3075" s="156" t="str">
        <f>'Reported burning'!C3075</f>
        <v>Human, deliberate</v>
      </c>
      <c r="D3075" s="156" t="str">
        <f>'Reported burning'!D3075</f>
        <v>Hunting</v>
      </c>
      <c r="E3075" s="156" t="str">
        <f>'Reported burning'!E3075</f>
        <v>Forestry, Traditional</v>
      </c>
      <c r="F3075" s="156" t="str">
        <f>'Reported burning'!F3075</f>
        <v>Forest</v>
      </c>
      <c r="G3075" s="156" t="str">
        <f>'Reported burning'!G3075</f>
        <v>Forest</v>
      </c>
      <c r="H3075" s="156" t="str">
        <f>'Reported burning'!H3075</f>
        <v>Presence</v>
      </c>
      <c r="I3075" s="5"/>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1" t="s">
        <v>2402</v>
      </c>
      <c r="X3075" s="204" t="s">
        <v>189</v>
      </c>
      <c r="Y3075" s="204" t="s">
        <v>38</v>
      </c>
      <c r="Z3075" s="204" t="s">
        <v>2276</v>
      </c>
      <c r="AA3075" s="204"/>
      <c r="AB3075" s="204"/>
    </row>
    <row r="3076" spans="1:28" ht="33.5" customHeight="1">
      <c r="A3076" s="156" t="str">
        <f>'Reported burning'!A3076</f>
        <v>335a</v>
      </c>
      <c r="B3076" s="156" t="str">
        <f>'Reported burning'!B3076</f>
        <v>335a.4</v>
      </c>
      <c r="C3076" s="156" t="str">
        <f>'Reported burning'!C3076</f>
        <v>Human, deliberate</v>
      </c>
      <c r="D3076" s="156" t="str">
        <f>'Reported burning'!D3076</f>
        <v>Harvesting of NTFP</v>
      </c>
      <c r="E3076" s="156" t="str">
        <f>'Reported burning'!E3076</f>
        <v>Forestry, Traditional</v>
      </c>
      <c r="F3076" s="156" t="str">
        <f>'Reported burning'!F3076</f>
        <v>Forest</v>
      </c>
      <c r="G3076" s="156" t="str">
        <f>'Reported burning'!G3076</f>
        <v>Forest</v>
      </c>
      <c r="H3076" s="156" t="str">
        <f>'Reported burning'!H3076</f>
        <v>Presence</v>
      </c>
      <c r="I3076" s="5"/>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1" t="s">
        <v>2402</v>
      </c>
      <c r="X3076" s="204" t="s">
        <v>189</v>
      </c>
      <c r="Y3076" s="204" t="s">
        <v>38</v>
      </c>
      <c r="Z3076" s="204" t="s">
        <v>2276</v>
      </c>
      <c r="AA3076" s="204"/>
      <c r="AB3076" s="204"/>
    </row>
    <row r="3077" spans="1:28" ht="40.5" customHeight="1">
      <c r="A3077" s="156" t="str">
        <f>'Reported burning'!A3077</f>
        <v>336a</v>
      </c>
      <c r="B3077" s="156" t="str">
        <f>'Reported burning'!B3077</f>
        <v>336a.1</v>
      </c>
      <c r="C3077" s="156" t="str">
        <f>'Reported burning'!C3077</f>
        <v>Human, deliberate</v>
      </c>
      <c r="D3077" s="156" t="str">
        <f>'Reported burning'!D3077</f>
        <v>Pyrome management</v>
      </c>
      <c r="E3077" s="156" t="str">
        <f>'Reported burning'!E3077</f>
        <v>Forestry, Traditional</v>
      </c>
      <c r="F3077" s="156" t="str">
        <f>'Reported burning'!F3077</f>
        <v>Shrubland (Mixed forest &amp; grassland)</v>
      </c>
      <c r="G3077" s="156" t="str">
        <f>'Reported burning'!G3077</f>
        <v>Shrubland (Mixed forest &amp; grassland)</v>
      </c>
      <c r="H3077" s="156" t="str">
        <f>'Reported burning'!H3077</f>
        <v>Presence</v>
      </c>
      <c r="I3077" s="5"/>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2276</v>
      </c>
      <c r="AA3077" s="204"/>
      <c r="AB3077" s="204"/>
    </row>
    <row r="3078" spans="1:28" ht="31" customHeight="1">
      <c r="A3078" s="156" t="str">
        <f>'Reported burning'!A3078</f>
        <v>336b</v>
      </c>
      <c r="B3078" s="156" t="str">
        <f>'Reported burning'!B3078</f>
        <v>336b.1</v>
      </c>
      <c r="C3078" s="156" t="str">
        <f>'Reported burning'!C3078</f>
        <v>Human, deliberate</v>
      </c>
      <c r="D3078" s="156" t="str">
        <f>'Reported burning'!D3078</f>
        <v>Pyrome management</v>
      </c>
      <c r="E3078" s="156" t="str">
        <f>'Reported burning'!E3078</f>
        <v>Forestry, Traditional</v>
      </c>
      <c r="F3078" s="156" t="str">
        <f>'Reported burning'!F3078</f>
        <v>Shrubland (Mixed forest &amp; grassland)</v>
      </c>
      <c r="G3078" s="156" t="str">
        <f>'Reported burning'!G3078</f>
        <v>Shrubland (Mixed forest &amp; grassland)</v>
      </c>
      <c r="H3078" s="156" t="str">
        <f>'Reported burning'!H3078</f>
        <v>Presence</v>
      </c>
      <c r="I3078" s="5"/>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2276</v>
      </c>
      <c r="AA3078" s="204"/>
      <c r="AB3078" s="204"/>
    </row>
    <row r="3079" spans="1:28" ht="39.5" customHeight="1">
      <c r="A3079" s="156" t="str">
        <f>'Reported burning'!A3079</f>
        <v>336c</v>
      </c>
      <c r="B3079" s="156" t="str">
        <f>'Reported burning'!B3079</f>
        <v>336c.1</v>
      </c>
      <c r="C3079" s="156" t="str">
        <f>'Reported burning'!C3079</f>
        <v>Human, deliberate</v>
      </c>
      <c r="D3079" s="156" t="str">
        <f>'Reported burning'!D3079</f>
        <v>Pyrome management</v>
      </c>
      <c r="E3079" s="156" t="str">
        <f>'Reported burning'!E3079</f>
        <v>Forestry, Traditional</v>
      </c>
      <c r="F3079" s="156" t="str">
        <f>'Reported burning'!F3079</f>
        <v>Shrubland (Mixed forest &amp; grassland)</v>
      </c>
      <c r="G3079" s="156" t="str">
        <f>'Reported burning'!G3079</f>
        <v>Shrubland (Mixed forest &amp; grassland)</v>
      </c>
      <c r="H3079" s="156" t="str">
        <f>'Reported burning'!H3079</f>
        <v>Presence</v>
      </c>
      <c r="I3079" s="5"/>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2276</v>
      </c>
      <c r="AA3079" s="204"/>
      <c r="AB3079" s="204"/>
    </row>
    <row r="3080" spans="1:28" ht="39.5" customHeight="1">
      <c r="A3080" s="156" t="str">
        <f>'Reported burning'!A3080</f>
        <v>336a</v>
      </c>
      <c r="B3080" s="156" t="str">
        <f>'Reported burning'!B3080</f>
        <v>336a.2</v>
      </c>
      <c r="C3080" s="156" t="str">
        <f>'Reported burning'!C3080</f>
        <v>Human, deliberate</v>
      </c>
      <c r="D3080" s="156" t="str">
        <f>'Reported burning'!D3080</f>
        <v>Pyrome management</v>
      </c>
      <c r="E3080" s="156" t="str">
        <f>'Reported burning'!E3080</f>
        <v>Fire suppression agent</v>
      </c>
      <c r="F3080" s="156" t="str">
        <f>'Reported burning'!F3080</f>
        <v>Shrubland (Mixed forest &amp; grassland)</v>
      </c>
      <c r="G3080" s="156" t="str">
        <f>'Reported burning'!G3080</f>
        <v>Shrubland (Mixed forest &amp; grassland)</v>
      </c>
      <c r="H3080" s="156" t="str">
        <f>'Reported burning'!H3080</f>
        <v>Presence</v>
      </c>
      <c r="I3080" s="5"/>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204" t="s">
        <v>2276</v>
      </c>
      <c r="Z3080" s="204" t="s">
        <v>2276</v>
      </c>
      <c r="AA3080" s="204"/>
      <c r="AB3080" s="204"/>
    </row>
    <row r="3081" spans="1:28" ht="39.5" customHeight="1">
      <c r="A3081" s="156" t="str">
        <f>'Reported burning'!A3081</f>
        <v>336b</v>
      </c>
      <c r="B3081" s="156" t="str">
        <f>'Reported burning'!B3081</f>
        <v>336b.2</v>
      </c>
      <c r="C3081" s="156" t="str">
        <f>'Reported burning'!C3081</f>
        <v>Human, deliberate</v>
      </c>
      <c r="D3081" s="156" t="str">
        <f>'Reported burning'!D3081</f>
        <v>Pyrome management</v>
      </c>
      <c r="E3081" s="156" t="str">
        <f>'Reported burning'!E3081</f>
        <v>Fire suppression agent</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2276</v>
      </c>
      <c r="AA3081" s="204"/>
      <c r="AB3081" s="204"/>
    </row>
    <row r="3082" spans="1:28" ht="39.5" customHeight="1">
      <c r="A3082" s="156" t="str">
        <f>'Reported burning'!A3082</f>
        <v>336c</v>
      </c>
      <c r="B3082" s="156" t="str">
        <f>'Reported burning'!B3082</f>
        <v>336c.2</v>
      </c>
      <c r="C3082" s="156" t="str">
        <f>'Reported burning'!C3082</f>
        <v>Human, deliberate</v>
      </c>
      <c r="D3082" s="156" t="str">
        <f>'Reported burning'!D3082</f>
        <v>Pyrome management</v>
      </c>
      <c r="E3082" s="156" t="str">
        <f>'Reported burning'!E3082</f>
        <v>Fire suppression agent</v>
      </c>
      <c r="F3082" s="156" t="str">
        <f>'Reported burning'!F3082</f>
        <v>Shrubland (Mixed forest &amp; grassland)</v>
      </c>
      <c r="G3082" s="156" t="str">
        <f>'Reported burning'!G3082</f>
        <v>Shrubland (Mixed forest &amp; grassland)</v>
      </c>
      <c r="H3082" s="156" t="str">
        <f>'Reported burning'!H3082</f>
        <v>Presence</v>
      </c>
      <c r="I3082" s="5"/>
      <c r="J3082" s="204" t="s">
        <v>2276</v>
      </c>
      <c r="K3082" s="204" t="s">
        <v>2276</v>
      </c>
      <c r="L3082" s="204" t="s">
        <v>2276</v>
      </c>
      <c r="M3082" s="204" t="s">
        <v>2276</v>
      </c>
      <c r="N3082" s="204" t="s">
        <v>2276</v>
      </c>
      <c r="O3082" s="204" t="s">
        <v>2276</v>
      </c>
      <c r="P3082" s="204" t="s">
        <v>2276</v>
      </c>
      <c r="Q3082" s="204" t="s">
        <v>2276</v>
      </c>
      <c r="R3082" s="204" t="s">
        <v>2276</v>
      </c>
      <c r="S3082" s="204" t="s">
        <v>2276</v>
      </c>
      <c r="T3082" s="204" t="s">
        <v>2276</v>
      </c>
      <c r="U3082" s="204" t="s">
        <v>2276</v>
      </c>
      <c r="V3082" s="204" t="s">
        <v>2276</v>
      </c>
      <c r="W3082" s="204" t="s">
        <v>2276</v>
      </c>
      <c r="X3082" s="204" t="s">
        <v>2276</v>
      </c>
      <c r="Y3082" s="204" t="s">
        <v>2276</v>
      </c>
      <c r="Z3082" s="204" t="s">
        <v>2276</v>
      </c>
      <c r="AA3082" s="204"/>
      <c r="AB3082" s="204"/>
    </row>
    <row r="3083" spans="1:28" ht="39.5" customHeight="1">
      <c r="A3083" s="156" t="str">
        <f>'Reported burning'!A3083</f>
        <v>336c</v>
      </c>
      <c r="B3083" s="156" t="str">
        <f>'Reported burning'!B3083</f>
        <v>336c.3</v>
      </c>
      <c r="C3083" s="156" t="str">
        <f>'Reported burning'!C3083</f>
        <v>Human, deliberate</v>
      </c>
      <c r="D3083" s="156" t="str">
        <f>'Reported burning'!D3083</f>
        <v>Harvesting of NTFP</v>
      </c>
      <c r="E3083" s="156" t="str">
        <f>'Reported burning'!E3083</f>
        <v>Forestry, Traditional</v>
      </c>
      <c r="F3083" s="156" t="str">
        <f>'Reported burning'!F3083</f>
        <v>Shrubland (Mixed forest &amp; grassland)</v>
      </c>
      <c r="G3083" s="156" t="str">
        <f>'Reported burning'!G3083</f>
        <v>Shrubland (Mixed forest &amp; grassland)</v>
      </c>
      <c r="H3083" s="156" t="str">
        <f>'Reported burning'!H3083</f>
        <v>Presence</v>
      </c>
      <c r="I3083" s="5"/>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2276</v>
      </c>
      <c r="AA3083" s="204"/>
      <c r="AB3083" s="204"/>
    </row>
    <row r="3084" spans="1:28" ht="39.5" customHeight="1">
      <c r="A3084" s="156" t="str">
        <f>'Reported burning'!A3084</f>
        <v>337a</v>
      </c>
      <c r="B3084" s="156" t="str">
        <f>'Reported burning'!B3084</f>
        <v>337a.1</v>
      </c>
      <c r="C3084" s="156" t="str">
        <f>'Reported burning'!C3084</f>
        <v>Human, deliberate</v>
      </c>
      <c r="D3084" s="156" t="str">
        <f>'Reported burning'!D3084</f>
        <v>Cultural &amp; Spiritual</v>
      </c>
      <c r="E3084" s="156" t="str">
        <f>'Reported burning'!E3084</f>
        <v>Forestry, Traditional</v>
      </c>
      <c r="F3084" s="156" t="str">
        <f>'Reported burning'!F3084</f>
        <v>Shrubland (Mixed forest &amp; grassland)</v>
      </c>
      <c r="G3084" s="156" t="str">
        <f>'Reported burning'!G3084</f>
        <v>Shrubland (Mixed forest &amp; grassland)</v>
      </c>
      <c r="H3084" s="156" t="str">
        <f>'Reported burning'!H3084</f>
        <v>Presence</v>
      </c>
      <c r="I3084" s="5"/>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2276</v>
      </c>
      <c r="AA3084" s="204"/>
      <c r="AB3084" s="204"/>
    </row>
    <row r="3085" spans="1:28" ht="39.5" customHeight="1">
      <c r="A3085" s="156" t="str">
        <f>'Reported burning'!A3085</f>
        <v>337a</v>
      </c>
      <c r="B3085" s="156" t="str">
        <f>'Reported burning'!B3085</f>
        <v>337a.2</v>
      </c>
      <c r="C3085" s="156" t="str">
        <f>'Reported burning'!C3085</f>
        <v>Human, deliberate</v>
      </c>
      <c r="D3085" s="156" t="str">
        <f>'Reported burning'!D3085</f>
        <v>Harvesting of NTFP</v>
      </c>
      <c r="E3085" s="156" t="str">
        <f>'Reported burning'!E3085</f>
        <v>Forestry, Traditional</v>
      </c>
      <c r="F3085" s="156" t="str">
        <f>'Reported burning'!F3085</f>
        <v>Shrubland (Mixed forest &amp; grassland)</v>
      </c>
      <c r="G3085" s="156" t="str">
        <f>'Reported burning'!G3085</f>
        <v>Shrubland (Mixed forest &amp; grassland)</v>
      </c>
      <c r="H3085" s="156" t="str">
        <f>'Reported burning'!H3085</f>
        <v>Presence</v>
      </c>
      <c r="I3085" s="5"/>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2276</v>
      </c>
      <c r="AA3085" s="204"/>
      <c r="AB3085" s="204"/>
    </row>
    <row r="3086" spans="1:28" ht="31" customHeight="1">
      <c r="A3086" s="156" t="str">
        <f>'Reported burning'!A3086</f>
        <v>337a</v>
      </c>
      <c r="B3086" s="156" t="str">
        <f>'Reported burning'!B3086</f>
        <v>337a.3</v>
      </c>
      <c r="C3086" s="156" t="str">
        <f>'Reported burning'!C3086</f>
        <v>Human, deliberate</v>
      </c>
      <c r="D3086" s="156" t="str">
        <f>'Reported burning'!D3086</f>
        <v>Hunting</v>
      </c>
      <c r="E3086" s="156" t="str">
        <f>'Reported burning'!E3086</f>
        <v>Forestry, Traditional</v>
      </c>
      <c r="F3086" s="156" t="str">
        <f>'Reported burning'!F3086</f>
        <v>Shrubland (Mixed forest &amp; grassland)</v>
      </c>
      <c r="G3086" s="156" t="str">
        <f>'Reported burning'!G3086</f>
        <v>Shrubland (Mixed forest &amp; grassland)</v>
      </c>
      <c r="H3086" s="156" t="str">
        <f>'Reported burning'!H3086</f>
        <v>Presence</v>
      </c>
      <c r="I3086" s="5"/>
      <c r="J3086" s="204" t="s">
        <v>2276</v>
      </c>
      <c r="K3086" s="204" t="s">
        <v>2276</v>
      </c>
      <c r="L3086" s="204" t="s">
        <v>2276</v>
      </c>
      <c r="M3086" s="204" t="s">
        <v>2276</v>
      </c>
      <c r="N3086" s="204" t="s">
        <v>2276</v>
      </c>
      <c r="O3086" s="204" t="s">
        <v>2276</v>
      </c>
      <c r="P3086" s="204" t="s">
        <v>2276</v>
      </c>
      <c r="Q3086" s="204" t="s">
        <v>2276</v>
      </c>
      <c r="R3086" s="204" t="s">
        <v>2276</v>
      </c>
      <c r="S3086" s="204" t="s">
        <v>2276</v>
      </c>
      <c r="T3086" s="204" t="s">
        <v>2276</v>
      </c>
      <c r="U3086" s="204" t="s">
        <v>2276</v>
      </c>
      <c r="V3086" s="204" t="s">
        <v>2276</v>
      </c>
      <c r="W3086" s="204" t="s">
        <v>2276</v>
      </c>
      <c r="X3086" s="204" t="s">
        <v>2276</v>
      </c>
      <c r="Y3086" s="204" t="s">
        <v>2276</v>
      </c>
      <c r="Z3086" s="204" t="s">
        <v>2276</v>
      </c>
      <c r="AA3086" s="204"/>
      <c r="AB3086" s="204"/>
    </row>
    <row r="3087" spans="1:28" ht="31" customHeight="1">
      <c r="A3087" s="156" t="str">
        <f>'Reported burning'!A3087</f>
        <v>337a</v>
      </c>
      <c r="B3087" s="156" t="str">
        <f>'Reported burning'!B3087</f>
        <v>337a.4</v>
      </c>
      <c r="C3087" s="156" t="str">
        <f>'Reported burning'!C3087</f>
        <v>Human, deliberate</v>
      </c>
      <c r="D3087" s="156" t="str">
        <f>'Reported burning'!D3087</f>
        <v>Crop residue burning</v>
      </c>
      <c r="E3087" s="156" t="str">
        <f>'Reported burning'!E3087</f>
        <v>Forestry, Industrial</v>
      </c>
      <c r="F3087" s="156" t="str">
        <f>'Reported burning'!F3087</f>
        <v>Forest</v>
      </c>
      <c r="G3087" s="156" t="str">
        <f>'Reported burning'!G3087</f>
        <v>ND</v>
      </c>
      <c r="H3087" s="156" t="str">
        <f>'Reported burning'!H3087</f>
        <v>Presence</v>
      </c>
      <c r="I3087" s="5"/>
      <c r="J3087" s="204" t="s">
        <v>2276</v>
      </c>
      <c r="K3087" s="204" t="s">
        <v>2276</v>
      </c>
      <c r="L3087" s="204" t="s">
        <v>2276</v>
      </c>
      <c r="M3087" s="204" t="s">
        <v>2276</v>
      </c>
      <c r="N3087" s="204" t="s">
        <v>2276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t="s">
        <v>8312</v>
      </c>
      <c r="AB3087" s="204"/>
    </row>
    <row r="3088" spans="1:28" ht="31" customHeight="1">
      <c r="A3088" s="156" t="str">
        <f>'Reported burning'!A3088</f>
        <v>337a</v>
      </c>
      <c r="B3088" s="156" t="str">
        <f>'Reported burning'!B3088</f>
        <v>337a.5</v>
      </c>
      <c r="C3088" s="156" t="str">
        <f>'Reported burning'!C3088</f>
        <v>Human, deliberate</v>
      </c>
      <c r="D3088" s="156" t="str">
        <f>'Reported burning'!D3088</f>
        <v>Forest management</v>
      </c>
      <c r="E3088" s="156" t="str">
        <f>'Reported burning'!E3088</f>
        <v>Forestry, Industrial</v>
      </c>
      <c r="F3088" s="156" t="str">
        <f>'Reported burning'!F3088</f>
        <v>Forest</v>
      </c>
      <c r="G3088" s="156" t="str">
        <f>'Reported burning'!G3088</f>
        <v>ND</v>
      </c>
      <c r="H3088" s="156" t="str">
        <f>'Reported burning'!H3088</f>
        <v>Presence</v>
      </c>
      <c r="I3088" s="5"/>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c r="AB3088" s="204"/>
    </row>
    <row r="3089" spans="1:28" ht="31" customHeight="1">
      <c r="A3089" s="156" t="str">
        <f>'Reported burning'!A3089</f>
        <v>337a</v>
      </c>
      <c r="B3089" s="156" t="str">
        <f>'Reported burning'!B3089</f>
        <v>337a.6</v>
      </c>
      <c r="C3089" s="156" t="str">
        <f>'Reported burning'!C3089</f>
        <v>Human, deliberate</v>
      </c>
      <c r="D3089" s="156" t="str">
        <f>'Reported burning'!D3089</f>
        <v>Pyrome management</v>
      </c>
      <c r="E3089" s="156" t="str">
        <f>'Reported burning'!E3089</f>
        <v>Forestry, Traditional</v>
      </c>
      <c r="F3089" s="156" t="str">
        <f>'Reported burning'!F3089</f>
        <v>Shrubland (Mixed forest &amp; grassland)</v>
      </c>
      <c r="G3089" s="156" t="str">
        <f>'Reported burning'!G3089</f>
        <v>Shrubland (Mixed forest &amp; grassland)</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c r="AB3089" s="204"/>
    </row>
    <row r="3090" spans="1:28" ht="31" customHeight="1">
      <c r="A3090" s="156" t="str">
        <f>'Reported burning'!A3090</f>
        <v>337a</v>
      </c>
      <c r="B3090" s="156" t="str">
        <f>'Reported burning'!B3090</f>
        <v>337a.7</v>
      </c>
      <c r="C3090" s="156" t="str">
        <f>'Reported burning'!C3090</f>
        <v>Human, deliberate</v>
      </c>
      <c r="D3090" s="156" t="str">
        <f>'Reported burning'!D3090</f>
        <v>Pest management</v>
      </c>
      <c r="E3090" s="156" t="str">
        <f>'Reported burning'!E3090</f>
        <v>Forestry, Traditional</v>
      </c>
      <c r="F3090" s="156" t="str">
        <f>'Reported burning'!F3090</f>
        <v>Shrubland (Mixed forest &amp; grassland)</v>
      </c>
      <c r="G3090" s="156" t="str">
        <f>'Reported burning'!G3090</f>
        <v>Shrubland (Mixed forest &amp; grassland)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31" customHeight="1">
      <c r="A3091" s="156" t="str">
        <f>'Reported burning'!A3091</f>
        <v>338a</v>
      </c>
      <c r="B3091" s="156" t="str">
        <f>'Reported burning'!B3091</f>
        <v>338a.1</v>
      </c>
      <c r="C3091" s="156" t="str">
        <f>'Reported burning'!C3091</f>
        <v>Human, deliberate</v>
      </c>
      <c r="D3091" s="156" t="str">
        <f>'Reported burning'!D3091</f>
        <v>Crop residue burning</v>
      </c>
      <c r="E3091" s="156" t="str">
        <f>'Reported burning'!E3091</f>
        <v>Mixed cropping-livestock small holder, Subsistence-oriented</v>
      </c>
      <c r="F3091" s="156" t="str">
        <f>'Reported burning'!F3091</f>
        <v>Cropland</v>
      </c>
      <c r="G3091" s="156" t="str">
        <f>'Reported burning'!G3091</f>
        <v>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189</v>
      </c>
      <c r="Y3091" s="204" t="s">
        <v>86</v>
      </c>
      <c r="Z3091" s="204" t="s">
        <v>64</v>
      </c>
      <c r="AA3091" s="204"/>
      <c r="AB3091" s="204"/>
    </row>
    <row r="3092" spans="1:28" ht="31" customHeight="1">
      <c r="A3092" s="156" t="str">
        <f>'Reported burning'!A3092</f>
        <v>338a</v>
      </c>
      <c r="B3092" s="156" t="str">
        <f>'Reported burning'!B3092</f>
        <v>338a.2</v>
      </c>
      <c r="C3092" s="156" t="str">
        <f>'Reported burning'!C3092</f>
        <v>Human, deliberate</v>
      </c>
      <c r="D3092" s="156" t="str">
        <f>'Reported burning'!D3092</f>
        <v>Crop field preparation</v>
      </c>
      <c r="E3092" s="156" t="str">
        <f>'Reported burning'!E3092</f>
        <v>Mixed cropping-livestock small holder, Subsistence-oriented</v>
      </c>
      <c r="F3092" s="156" t="str">
        <f>'Reported burning'!F3092</f>
        <v>Cropland</v>
      </c>
      <c r="G3092" s="156" t="str">
        <f>'Reported burning'!G3092</f>
        <v>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404</v>
      </c>
      <c r="Y3092" s="204" t="s">
        <v>425</v>
      </c>
      <c r="Z3092" s="204" t="s">
        <v>64</v>
      </c>
      <c r="AA3092" s="204"/>
      <c r="AB3092" s="204"/>
    </row>
    <row r="3093" spans="1:28" ht="31" customHeight="1">
      <c r="A3093" s="156" t="str">
        <f>'Reported burning'!A3093</f>
        <v>338a</v>
      </c>
      <c r="B3093" s="156" t="str">
        <f>'Reported burning'!B3093</f>
        <v>338a.3</v>
      </c>
      <c r="C3093" s="156" t="str">
        <f>'Reported burning'!C3093</f>
        <v>Human, deliberate</v>
      </c>
      <c r="D3093" s="156" t="str">
        <f>'Reported burning'!D3093</f>
        <v>Land clearance</v>
      </c>
      <c r="E3093" s="156" t="str">
        <f>'Reported burning'!E3093</f>
        <v>Mixed cropping-livestock small holder, Subsistence-oriented</v>
      </c>
      <c r="F3093" s="156" t="str">
        <f>'Reported burning'!F3093</f>
        <v>Shrubland (Mixed forest &amp; grassland)</v>
      </c>
      <c r="G3093" s="156" t="str">
        <f>'Reported burning'!G3093</f>
        <v>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404</v>
      </c>
      <c r="Y3093" s="204" t="s">
        <v>425</v>
      </c>
      <c r="Z3093" s="204" t="s">
        <v>64</v>
      </c>
      <c r="AA3093" s="204"/>
      <c r="AB3093" s="204"/>
    </row>
    <row r="3094" spans="1:28" ht="31" customHeight="1">
      <c r="A3094" s="156" t="str">
        <f>'Reported burning'!A3094</f>
        <v>338a</v>
      </c>
      <c r="B3094" s="156" t="str">
        <f>'Reported burning'!B3094</f>
        <v>338a.4</v>
      </c>
      <c r="C3094" s="156" t="str">
        <f>'Reported burning'!C3094</f>
        <v>Human, deliberate</v>
      </c>
      <c r="D3094" s="156" t="str">
        <f>'Reported burning'!D3094</f>
        <v>Pasture renewal</v>
      </c>
      <c r="E3094" s="156" t="str">
        <f>'Reported burning'!E3094</f>
        <v>Mixed cropping-livestock small holder, Subsistence-oriented</v>
      </c>
      <c r="F3094" s="156" t="str">
        <f>'Reported burning'!F3094</f>
        <v>Shrubland (Mixed forest &amp; grassland)</v>
      </c>
      <c r="G3094" s="156" t="str">
        <f>'Reported burning'!G3094</f>
        <v>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404</v>
      </c>
      <c r="Y3094" s="204" t="s">
        <v>68</v>
      </c>
      <c r="Z3094" s="204" t="s">
        <v>64</v>
      </c>
      <c r="AA3094" s="204"/>
      <c r="AB3094" s="204"/>
    </row>
    <row r="3095" spans="1:28" ht="31" customHeight="1">
      <c r="A3095" s="156" t="str">
        <f>'Reported burning'!A3095</f>
        <v>338a</v>
      </c>
      <c r="B3095" s="156" t="str">
        <f>'Reported burning'!B3095</f>
        <v>338a.5</v>
      </c>
      <c r="C3095" s="156" t="str">
        <f>'Reported burning'!C3095</f>
        <v>Human, deliberate</v>
      </c>
      <c r="D3095" s="156" t="str">
        <f>'Reported burning'!D3095</f>
        <v>Hunting</v>
      </c>
      <c r="E3095" s="156" t="str">
        <f>'Reported burning'!E3095</f>
        <v>Mixed cropping-livestock small holder, Subsistence-oriented</v>
      </c>
      <c r="F3095" s="156" t="str">
        <f>'Reported burning'!F3095</f>
        <v>Shrubland (Mixed forest &amp; grassland)</v>
      </c>
      <c r="G3095" s="156" t="str">
        <f>'Reported burning'!G3095</f>
        <v>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425</v>
      </c>
      <c r="Y3095" s="204" t="s">
        <v>425</v>
      </c>
      <c r="Z3095" s="204" t="s">
        <v>64</v>
      </c>
      <c r="AA3095" s="204"/>
      <c r="AB3095" s="204"/>
    </row>
    <row r="3096" spans="1:28" ht="31" customHeight="1">
      <c r="A3096" s="156" t="str">
        <f>'Reported burning'!A3096</f>
        <v>338b</v>
      </c>
      <c r="B3096" s="156" t="str">
        <f>'Reported burning'!B3096</f>
        <v>338b.1</v>
      </c>
      <c r="C3096" s="156" t="str">
        <f>'Reported burning'!C3096</f>
        <v>Human, deliberate</v>
      </c>
      <c r="D3096" s="156" t="str">
        <f>'Reported burning'!D3096</f>
        <v>Crop residue burning</v>
      </c>
      <c r="E3096" s="156" t="str">
        <f>'Reported burning'!E3096</f>
        <v>Mixed cropping-livestock small holder, Subsistence-oriented</v>
      </c>
      <c r="F3096" s="156" t="str">
        <f>'Reported burning'!F3096</f>
        <v>Cropland</v>
      </c>
      <c r="G3096" s="156" t="str">
        <f>'Reported burning'!G3096</f>
        <v>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189</v>
      </c>
      <c r="Y3096" s="204" t="s">
        <v>86</v>
      </c>
      <c r="Z3096" s="204" t="s">
        <v>64</v>
      </c>
      <c r="AA3096" s="204"/>
      <c r="AB3096" s="204"/>
    </row>
    <row r="3097" spans="1:28" ht="31" customHeight="1">
      <c r="A3097" s="156" t="str">
        <f>'Reported burning'!A3097</f>
        <v>338b</v>
      </c>
      <c r="B3097" s="156" t="str">
        <f>'Reported burning'!B3097</f>
        <v>338b.2</v>
      </c>
      <c r="C3097" s="156" t="str">
        <f>'Reported burning'!C3097</f>
        <v>Human, deliberate</v>
      </c>
      <c r="D3097" s="156" t="str">
        <f>'Reported burning'!D3097</f>
        <v>Crop field preparation</v>
      </c>
      <c r="E3097" s="156" t="str">
        <f>'Reported burning'!E3097</f>
        <v>Mixed cropping-livestock small holder, Subsistence-oriented</v>
      </c>
      <c r="F3097" s="156" t="str">
        <f>'Reported burning'!F3097</f>
        <v>Cropland</v>
      </c>
      <c r="G3097" s="156" t="str">
        <f>'Reported burning'!G3097</f>
        <v>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34</v>
      </c>
      <c r="Y3097" s="204" t="s">
        <v>404</v>
      </c>
      <c r="Z3097" s="204" t="s">
        <v>64</v>
      </c>
      <c r="AA3097" s="204"/>
      <c r="AB3097" s="204"/>
    </row>
    <row r="3098" spans="1:28" ht="31" customHeight="1">
      <c r="A3098" s="156" t="str">
        <f>'Reported burning'!A3098</f>
        <v>338b</v>
      </c>
      <c r="B3098" s="156" t="str">
        <f>'Reported burning'!B3098</f>
        <v>338b.3</v>
      </c>
      <c r="C3098" s="156" t="str">
        <f>'Reported burning'!C3098</f>
        <v>Human, deliberate</v>
      </c>
      <c r="D3098" s="156" t="str">
        <f>'Reported burning'!D3098</f>
        <v>Land clearance</v>
      </c>
      <c r="E3098" s="156" t="str">
        <f>'Reported burning'!E3098</f>
        <v>Mixed cropping-livestock small holder, Subsistence-oriented</v>
      </c>
      <c r="F3098" s="156" t="str">
        <f>'Reported burning'!F3098</f>
        <v>Shrubland (Mixed forest &amp; grassland)</v>
      </c>
      <c r="G3098" s="156" t="str">
        <f>'Reported burning'!G3098</f>
        <v>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34</v>
      </c>
      <c r="Y3098" s="204" t="s">
        <v>404</v>
      </c>
      <c r="Z3098" s="204" t="s">
        <v>64</v>
      </c>
      <c r="AA3098" s="204"/>
      <c r="AB3098" s="204"/>
    </row>
    <row r="3099" spans="1:28" ht="31" customHeight="1">
      <c r="A3099" s="156" t="str">
        <f>'Reported burning'!A3099</f>
        <v>338b</v>
      </c>
      <c r="B3099" s="156" t="str">
        <f>'Reported burning'!B3099</f>
        <v>338b.4</v>
      </c>
      <c r="C3099" s="156" t="str">
        <f>'Reported burning'!C3099</f>
        <v>Human, deliberate</v>
      </c>
      <c r="D3099" s="156" t="str">
        <f>'Reported burning'!D3099</f>
        <v>Pasture renewal</v>
      </c>
      <c r="E3099" s="156" t="str">
        <f>'Reported burning'!E3099</f>
        <v>Mixed cropping-livestock small holder, Subsistence-oriented</v>
      </c>
      <c r="F3099" s="156" t="str">
        <f>'Reported burning'!F3099</f>
        <v>Shrubland (Mixed forest &amp; grassland)</v>
      </c>
      <c r="G3099" s="156" t="str">
        <f>'Reported burning'!G3099</f>
        <v>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34</v>
      </c>
      <c r="Y3099" s="204" t="s">
        <v>68</v>
      </c>
      <c r="Z3099" s="204" t="s">
        <v>64</v>
      </c>
      <c r="AA3099" s="204"/>
      <c r="AB3099" s="204"/>
    </row>
    <row r="3100" spans="1:28" ht="31" customHeight="1">
      <c r="A3100" s="156" t="str">
        <f>'Reported burning'!A3100</f>
        <v>338b</v>
      </c>
      <c r="B3100" s="156" t="str">
        <f>'Reported burning'!B3100</f>
        <v>338b.5</v>
      </c>
      <c r="C3100" s="156" t="str">
        <f>'Reported burning'!C3100</f>
        <v>Human, deliberate</v>
      </c>
      <c r="D3100" s="156" t="str">
        <f>'Reported burning'!D3100</f>
        <v>Hunting</v>
      </c>
      <c r="E3100" s="156" t="str">
        <f>'Reported burning'!E3100</f>
        <v>Mixed cropping-livestock small holder, Subsistence-oriented</v>
      </c>
      <c r="F3100" s="156" t="str">
        <f>'Reported burning'!F3100</f>
        <v>Shrubland (Mixed forest &amp; grassland)</v>
      </c>
      <c r="G3100" s="156" t="str">
        <f>'Reported burning'!G3100</f>
        <v>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425</v>
      </c>
      <c r="Y3100" s="204" t="s">
        <v>425</v>
      </c>
      <c r="Z3100" s="204" t="s">
        <v>64</v>
      </c>
      <c r="AA3100" s="204"/>
      <c r="AB3100" s="204"/>
    </row>
    <row r="3101" spans="1:28" ht="31" customHeight="1">
      <c r="A3101" s="156" t="str">
        <f>'Reported burning'!A3101</f>
        <v>338b</v>
      </c>
      <c r="B3101" s="156" t="str">
        <f>'Reported burning'!B3101</f>
        <v>338b.6</v>
      </c>
      <c r="C3101" s="156" t="str">
        <f>'Reported burning'!C3101</f>
        <v>Human, deliberate</v>
      </c>
      <c r="D3101" s="156" t="str">
        <f>'Reported burning'!D3101</f>
        <v>Land clearance</v>
      </c>
      <c r="E3101" s="156" t="str">
        <f>'Reported burning'!E3101</f>
        <v>Mixed cropping-livestock small holder, Subsistence-oriented</v>
      </c>
      <c r="F3101" s="156" t="str">
        <f>'Reported burning'!F3101</f>
        <v>Shrubland (Mixed forest &amp; grassland)</v>
      </c>
      <c r="G3101" s="156" t="str">
        <f>'Reported burning'!G3101</f>
        <v>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399</v>
      </c>
      <c r="Y3101" s="204" t="s">
        <v>188</v>
      </c>
      <c r="Z3101" s="204" t="s">
        <v>64</v>
      </c>
      <c r="AA3101" s="204"/>
      <c r="AB3101" s="204"/>
    </row>
    <row r="3102" spans="1:28" ht="31" customHeight="1">
      <c r="A3102" s="156" t="str">
        <f>'Reported burning'!A3102</f>
        <v>338c</v>
      </c>
      <c r="B3102" s="156" t="str">
        <f>'Reported burning'!B3102</f>
        <v>338c.1</v>
      </c>
      <c r="C3102" s="156" t="str">
        <f>'Reported burning'!C3102</f>
        <v>Human, deliberate</v>
      </c>
      <c r="D3102" s="156" t="str">
        <f>'Reported burning'!D3102</f>
        <v>Crop residue burning</v>
      </c>
      <c r="E3102" s="156" t="str">
        <f>'Reported burning'!E3102</f>
        <v>Mixed cropping-livestock small holder, Subsistence-oriented</v>
      </c>
      <c r="F3102" s="156" t="str">
        <f>'Reported burning'!F3102</f>
        <v>Cropland</v>
      </c>
      <c r="G3102" s="156" t="str">
        <f>'Reported burning'!G3102</f>
        <v>ND</v>
      </c>
      <c r="H3102" s="156" t="str">
        <f>'Reported burning'!H3102</f>
        <v>Absence</v>
      </c>
      <c r="I3102" s="5"/>
      <c r="J3102" s="21">
        <v>0</v>
      </c>
      <c r="K3102" s="21">
        <v>0</v>
      </c>
      <c r="L3102" s="21">
        <v>0</v>
      </c>
      <c r="M3102" s="21">
        <v>0</v>
      </c>
      <c r="N3102" s="21">
        <v>0</v>
      </c>
      <c r="O3102" s="21">
        <v>0</v>
      </c>
      <c r="P3102" s="21">
        <v>0</v>
      </c>
      <c r="Q3102" s="21">
        <v>0</v>
      </c>
      <c r="R3102" s="21">
        <v>0</v>
      </c>
      <c r="S3102" s="21">
        <v>0</v>
      </c>
      <c r="T3102" s="21">
        <v>0</v>
      </c>
      <c r="U3102" s="21">
        <v>0</v>
      </c>
      <c r="V3102" s="21">
        <v>0</v>
      </c>
      <c r="W3102" s="204" t="s">
        <v>2276</v>
      </c>
      <c r="X3102" s="204" t="s">
        <v>2276</v>
      </c>
      <c r="Y3102" s="204" t="s">
        <v>2276</v>
      </c>
      <c r="Z3102" s="204" t="s">
        <v>2276</v>
      </c>
      <c r="AA3102" s="204"/>
      <c r="AB3102" s="204"/>
    </row>
    <row r="3103" spans="1:28" ht="31" customHeight="1">
      <c r="A3103" s="156" t="str">
        <f>'Reported burning'!A3103</f>
        <v>338c</v>
      </c>
      <c r="B3103" s="156" t="str">
        <f>'Reported burning'!B3103</f>
        <v>338c.2</v>
      </c>
      <c r="C3103" s="156" t="str">
        <f>'Reported burning'!C3103</f>
        <v>Human, deliberate</v>
      </c>
      <c r="D3103" s="156" t="str">
        <f>'Reported burning'!D3103</f>
        <v>Crop field preparation</v>
      </c>
      <c r="E3103" s="156" t="str">
        <f>'Reported burning'!E3103</f>
        <v>Mixed cropping-livestock small holder, Subsistence-oriented</v>
      </c>
      <c r="F3103" s="156" t="str">
        <f>'Reported burning'!F3103</f>
        <v>Cropland</v>
      </c>
      <c r="G3103" s="156" t="str">
        <f>'Reported burning'!G3103</f>
        <v>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189</v>
      </c>
      <c r="Y3103" s="204" t="s">
        <v>38</v>
      </c>
      <c r="Z3103" s="204" t="s">
        <v>64</v>
      </c>
      <c r="AA3103" s="204"/>
      <c r="AB3103" s="204"/>
    </row>
    <row r="3104" spans="1:28" ht="45.5" customHeight="1">
      <c r="A3104" s="156" t="str">
        <f>'Reported burning'!A3104</f>
        <v>338c</v>
      </c>
      <c r="B3104" s="156" t="str">
        <f>'Reported burning'!B3104</f>
        <v>338c.3</v>
      </c>
      <c r="C3104" s="156" t="str">
        <f>'Reported burning'!C3104</f>
        <v>Human, deliberate</v>
      </c>
      <c r="D3104" s="156" t="str">
        <f>'Reported burning'!D3104</f>
        <v>Crop field preparation</v>
      </c>
      <c r="E3104" s="156" t="str">
        <f>'Reported burning'!E3104</f>
        <v>Mixed cropping-livestock small holder, Subsistence-oriented</v>
      </c>
      <c r="F3104" s="156" t="str">
        <f>'Reported burning'!F3104</f>
        <v>Cropland</v>
      </c>
      <c r="G3104" s="156" t="str">
        <f>'Reported burning'!G3104</f>
        <v>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68</v>
      </c>
      <c r="Y3104" s="204" t="s">
        <v>35</v>
      </c>
      <c r="Z3104" s="204" t="s">
        <v>64</v>
      </c>
      <c r="AA3104" s="204"/>
      <c r="AB3104" s="204"/>
    </row>
    <row r="3105" spans="1:28" ht="45.5" customHeight="1">
      <c r="A3105" s="156" t="str">
        <f>'Reported burning'!A3105</f>
        <v>338c</v>
      </c>
      <c r="B3105" s="156" t="str">
        <f>'Reported burning'!B3105</f>
        <v>338c.4</v>
      </c>
      <c r="C3105" s="156" t="str">
        <f>'Reported burning'!C3105</f>
        <v>Human, deliberate</v>
      </c>
      <c r="D3105" s="156" t="str">
        <f>'Reported burning'!D3105</f>
        <v>Land clearance</v>
      </c>
      <c r="E3105" s="156" t="str">
        <f>'Reported burning'!E3105</f>
        <v>Mixed cropping-livestock small holder, Subsistence-oriented</v>
      </c>
      <c r="F3105" s="156" t="str">
        <f>'Reported burning'!F3105</f>
        <v>Shrubland (Mixed forest &amp; grassland)</v>
      </c>
      <c r="G3105" s="156" t="str">
        <f>'Reported burning'!G3105</f>
        <v>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68</v>
      </c>
      <c r="Y3105" s="204" t="s">
        <v>35</v>
      </c>
      <c r="Z3105" s="204" t="s">
        <v>64</v>
      </c>
      <c r="AA3105" s="204"/>
      <c r="AB3105" s="204"/>
    </row>
    <row r="3106" spans="1:28" ht="45.5" customHeight="1">
      <c r="A3106" s="156" t="str">
        <f>'Reported burning'!A3106</f>
        <v>338c</v>
      </c>
      <c r="B3106" s="156" t="str">
        <f>'Reported burning'!B3106</f>
        <v>338c.5</v>
      </c>
      <c r="C3106" s="156" t="str">
        <f>'Reported burning'!C3106</f>
        <v>Human, deliberate</v>
      </c>
      <c r="D3106" s="156" t="str">
        <f>'Reported burning'!D3106</f>
        <v>Pasture renewal</v>
      </c>
      <c r="E3106" s="156" t="str">
        <f>'Reported burning'!E3106</f>
        <v>Mixed cropping-livestock small holder, Subsistence-oriented</v>
      </c>
      <c r="F3106" s="156" t="str">
        <f>'Reported burning'!F3106</f>
        <v>Shrubland (Mixed forest &amp; grassland)</v>
      </c>
      <c r="G3106" s="156" t="str">
        <f>'Reported burning'!G3106</f>
        <v>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405</v>
      </c>
      <c r="Y3106" s="204" t="s">
        <v>35</v>
      </c>
      <c r="Z3106" s="204" t="s">
        <v>64</v>
      </c>
      <c r="AA3106" s="204"/>
      <c r="AB3106" s="204"/>
    </row>
    <row r="3107" spans="1:28" ht="45.5" customHeight="1">
      <c r="A3107" s="156" t="str">
        <f>'Reported burning'!A3107</f>
        <v>338c</v>
      </c>
      <c r="B3107" s="156" t="str">
        <f>'Reported burning'!B3107</f>
        <v>338c.6</v>
      </c>
      <c r="C3107" s="156" t="str">
        <f>'Reported burning'!C3107</f>
        <v>Human, deliberate</v>
      </c>
      <c r="D3107" s="156" t="str">
        <f>'Reported burning'!D3107</f>
        <v>Hunting</v>
      </c>
      <c r="E3107" s="156" t="str">
        <f>'Reported burning'!E3107</f>
        <v>Mixed cropping-livestock small holder, Subsistence-oriented</v>
      </c>
      <c r="F3107" s="156" t="str">
        <f>'Reported burning'!F3107</f>
        <v>Shrubland (Mixed forest &amp; grassland)</v>
      </c>
      <c r="G3107" s="156" t="str">
        <f>'Reported burning'!G3107</f>
        <v>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86</v>
      </c>
      <c r="Y3107" s="204" t="s">
        <v>35</v>
      </c>
      <c r="Z3107" s="204" t="s">
        <v>64</v>
      </c>
      <c r="AA3107" s="204"/>
      <c r="AB3107" s="204"/>
    </row>
    <row r="3108" spans="1:28" ht="45.5" customHeight="1">
      <c r="A3108" s="156" t="str">
        <f>'Reported burning'!A3108</f>
        <v>338c</v>
      </c>
      <c r="B3108" s="156" t="str">
        <f>'Reported burning'!B3108</f>
        <v>338c.7</v>
      </c>
      <c r="C3108" s="156" t="str">
        <f>'Reported burning'!C3108</f>
        <v>Human, deliberate</v>
      </c>
      <c r="D3108" s="156" t="str">
        <f>'Reported burning'!D3108</f>
        <v>Harvesting of NTFP</v>
      </c>
      <c r="E3108" s="156" t="str">
        <f>'Reported burning'!E3108</f>
        <v>Mixed cropping-livestock small holder, Subsistence-oriented</v>
      </c>
      <c r="F3108" s="156" t="str">
        <f>'Reported burning'!F3108</f>
        <v>Forest</v>
      </c>
      <c r="G3108" s="156" t="str">
        <f>'Reported burning'!G3108</f>
        <v>ND</v>
      </c>
      <c r="H3108" s="156" t="str">
        <f>'Reported burning'!H3108</f>
        <v>Presence</v>
      </c>
      <c r="I3108" s="5"/>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68</v>
      </c>
      <c r="Y3108" s="204" t="s">
        <v>127</v>
      </c>
      <c r="Z3108" s="204" t="s">
        <v>64</v>
      </c>
      <c r="AA3108" s="204"/>
      <c r="AB3108" s="204"/>
    </row>
    <row r="3109" spans="1:28" ht="45.5" customHeight="1">
      <c r="A3109" s="156" t="str">
        <f>'Reported burning'!A3109</f>
        <v>338c</v>
      </c>
      <c r="B3109" s="156" t="str">
        <f>'Reported burning'!B3109</f>
        <v>338c.8</v>
      </c>
      <c r="C3109" s="156" t="str">
        <f>'Reported burning'!C3109</f>
        <v>Human, deliberate</v>
      </c>
      <c r="D3109" s="156" t="str">
        <f>'Reported burning'!D3109</f>
        <v>Pest management</v>
      </c>
      <c r="E3109" s="156" t="str">
        <f>'Reported burning'!E3109</f>
        <v>Mixed cropping-livestock small holder, Subsistence-oriented</v>
      </c>
      <c r="F3109" s="156" t="str">
        <f>'Reported burning'!F3109</f>
        <v>Shrubland (Mixed forest &amp; grassland)</v>
      </c>
      <c r="G3109" s="156" t="str">
        <f>'Reported burning'!G3109</f>
        <v>ND</v>
      </c>
      <c r="H3109" s="156" t="str">
        <f>'Reported burning'!H3109</f>
        <v>Presence</v>
      </c>
      <c r="I3109" s="5"/>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38</v>
      </c>
      <c r="Y3109" s="204" t="s">
        <v>127</v>
      </c>
      <c r="Z3109" s="204" t="s">
        <v>64</v>
      </c>
      <c r="AA3109" s="204"/>
      <c r="AB3109" s="204"/>
    </row>
    <row r="3110" spans="1:28" ht="45.5" customHeight="1">
      <c r="A3110" s="156" t="str">
        <f>'Reported burning'!A3110</f>
        <v>338d</v>
      </c>
      <c r="B3110" s="156" t="str">
        <f>'Reported burning'!B3110</f>
        <v>338d.1</v>
      </c>
      <c r="C3110" s="156" t="str">
        <f>'Reported burning'!C3110</f>
        <v>Human, deliberate</v>
      </c>
      <c r="D3110" s="156" t="str">
        <f>'Reported burning'!D3110</f>
        <v>Crop residue burning</v>
      </c>
      <c r="E3110" s="156" t="str">
        <f>'Reported burning'!E3110</f>
        <v>Mixed cropping-livestock small holder, Subsistence-oriented</v>
      </c>
      <c r="F3110" s="156" t="str">
        <f>'Reported burning'!F3110</f>
        <v>Cropland</v>
      </c>
      <c r="G3110" s="156" t="str">
        <f>'Reported burning'!G3110</f>
        <v>ND</v>
      </c>
      <c r="H3110" s="156" t="str">
        <f>'Reported burning'!H3110</f>
        <v>Absence</v>
      </c>
      <c r="I3110" s="5"/>
      <c r="J3110" s="21">
        <v>0</v>
      </c>
      <c r="K3110" s="21">
        <v>0</v>
      </c>
      <c r="L3110" s="21">
        <v>0</v>
      </c>
      <c r="M3110" s="21">
        <v>0</v>
      </c>
      <c r="N3110" s="21">
        <v>0</v>
      </c>
      <c r="O3110" s="21">
        <v>0</v>
      </c>
      <c r="P3110" s="21">
        <v>0</v>
      </c>
      <c r="Q3110" s="21">
        <v>0</v>
      </c>
      <c r="R3110" s="21">
        <v>0</v>
      </c>
      <c r="S3110" s="21">
        <v>0</v>
      </c>
      <c r="T3110" s="21">
        <v>0</v>
      </c>
      <c r="U3110" s="21">
        <v>0</v>
      </c>
      <c r="V3110" s="21">
        <v>0</v>
      </c>
      <c r="W3110" s="204" t="s">
        <v>2276</v>
      </c>
      <c r="X3110" s="204" t="s">
        <v>2276</v>
      </c>
      <c r="Y3110" s="204" t="s">
        <v>2276</v>
      </c>
      <c r="Z3110" s="204" t="s">
        <v>2276</v>
      </c>
      <c r="AA3110" s="204"/>
      <c r="AB3110" s="204"/>
    </row>
    <row r="3111" spans="1:28" ht="45.5" customHeight="1">
      <c r="A3111" s="156" t="str">
        <f>'Reported burning'!A3111</f>
        <v>338d</v>
      </c>
      <c r="B3111" s="156" t="str">
        <f>'Reported burning'!B3111</f>
        <v>338d.2</v>
      </c>
      <c r="C3111" s="156" t="str">
        <f>'Reported burning'!C3111</f>
        <v>Human, deliberate</v>
      </c>
      <c r="D3111" s="156" t="str">
        <f>'Reported burning'!D3111</f>
        <v>Crop field preparation</v>
      </c>
      <c r="E3111" s="156" t="str">
        <f>'Reported burning'!E3111</f>
        <v>Mixed cropping-livestock small holder, Subsistence-oriented</v>
      </c>
      <c r="F3111" s="156" t="str">
        <f>'Reported burning'!F3111</f>
        <v>Cropland</v>
      </c>
      <c r="G3111" s="156" t="str">
        <f>'Reported burning'!G3111</f>
        <v>ND</v>
      </c>
      <c r="H3111" s="156" t="str">
        <f>'Reported burning'!H3111</f>
        <v>Presence</v>
      </c>
      <c r="I3111" s="5"/>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68</v>
      </c>
      <c r="Y3111" s="204" t="s">
        <v>35</v>
      </c>
      <c r="Z3111" s="204" t="s">
        <v>64</v>
      </c>
      <c r="AA3111" s="204"/>
      <c r="AB3111" s="204"/>
    </row>
    <row r="3112" spans="1:28" ht="45.5" customHeight="1">
      <c r="A3112" s="156" t="str">
        <f>'Reported burning'!A3112</f>
        <v>338d</v>
      </c>
      <c r="B3112" s="156" t="str">
        <f>'Reported burning'!B3112</f>
        <v>338d.3</v>
      </c>
      <c r="C3112" s="156" t="str">
        <f>'Reported burning'!C3112</f>
        <v>Human, deliberate</v>
      </c>
      <c r="D3112" s="156" t="str">
        <f>'Reported burning'!D3112</f>
        <v>Land clearance</v>
      </c>
      <c r="E3112" s="156" t="str">
        <f>'Reported burning'!E3112</f>
        <v>Mixed cropping-livestock small holder, Subsistence-oriented</v>
      </c>
      <c r="F3112" s="156" t="str">
        <f>'Reported burning'!F3112</f>
        <v>Cropland</v>
      </c>
      <c r="G3112" s="156" t="str">
        <f>'Reported burning'!G3112</f>
        <v>ND</v>
      </c>
      <c r="H3112" s="156" t="str">
        <f>'Reported burning'!H3112</f>
        <v>Presence</v>
      </c>
      <c r="I3112" s="5"/>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68</v>
      </c>
      <c r="Y3112" s="204" t="s">
        <v>35</v>
      </c>
      <c r="Z3112" s="204" t="s">
        <v>64</v>
      </c>
      <c r="AA3112" s="204"/>
      <c r="AB3112" s="204"/>
    </row>
    <row r="3113" spans="1:28" ht="45.5" customHeight="1">
      <c r="A3113" s="156" t="str">
        <f>'Reported burning'!A3113</f>
        <v>338d</v>
      </c>
      <c r="B3113" s="156" t="str">
        <f>'Reported burning'!B3113</f>
        <v>338d.4</v>
      </c>
      <c r="C3113" s="156" t="str">
        <f>'Reported burning'!C3113</f>
        <v>Human, deliberate</v>
      </c>
      <c r="D3113" s="156" t="str">
        <f>'Reported burning'!D3113</f>
        <v>Pasture renewal</v>
      </c>
      <c r="E3113" s="156" t="str">
        <f>'Reported burning'!E3113</f>
        <v>Mixed cropping-livestock small holder, Subsistence-oriented</v>
      </c>
      <c r="F3113" s="156" t="str">
        <f>'Reported burning'!F3113</f>
        <v>Shrubland (Mixed forest &amp; grassland)</v>
      </c>
      <c r="G3113" s="156" t="str">
        <f>'Reported burning'!G3113</f>
        <v>ND</v>
      </c>
      <c r="H3113" s="156" t="str">
        <f>'Reported burning'!H3113</f>
        <v>Presence</v>
      </c>
      <c r="I3113" s="5"/>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405</v>
      </c>
      <c r="Y3113" s="204" t="s">
        <v>35</v>
      </c>
      <c r="Z3113" s="204" t="s">
        <v>64</v>
      </c>
      <c r="AA3113" s="204"/>
      <c r="AB3113" s="204"/>
    </row>
    <row r="3114" spans="1:28" ht="45.5" customHeight="1">
      <c r="A3114" s="156" t="str">
        <f>'Reported burning'!A3114</f>
        <v>338d</v>
      </c>
      <c r="B3114" s="156" t="str">
        <f>'Reported burning'!B3114</f>
        <v>338d.5</v>
      </c>
      <c r="C3114" s="156" t="str">
        <f>'Reported burning'!C3114</f>
        <v>Human, deliberate</v>
      </c>
      <c r="D3114" s="156" t="str">
        <f>'Reported burning'!D3114</f>
        <v>Hunting</v>
      </c>
      <c r="E3114" s="156" t="str">
        <f>'Reported burning'!E3114</f>
        <v>Mixed cropping-livestock small holder, Subsistence-oriented</v>
      </c>
      <c r="F3114" s="156" t="str">
        <f>'Reported burning'!F3114</f>
        <v>Shrubland (Mixed forest &amp; grassland)</v>
      </c>
      <c r="G3114" s="156" t="str">
        <f>'Reported burning'!G3114</f>
        <v>ND</v>
      </c>
      <c r="H3114" s="156" t="str">
        <f>'Reported burning'!H3114</f>
        <v>Presence</v>
      </c>
      <c r="I3114" s="5"/>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86</v>
      </c>
      <c r="Y3114" s="204" t="s">
        <v>35</v>
      </c>
      <c r="Z3114" s="204" t="s">
        <v>64</v>
      </c>
      <c r="AA3114" s="204"/>
      <c r="AB3114" s="204"/>
    </row>
    <row r="3115" spans="1:28" ht="45.5" customHeight="1">
      <c r="A3115" s="156" t="str">
        <f>'Reported burning'!A3115</f>
        <v>338d</v>
      </c>
      <c r="B3115" s="156" t="str">
        <f>'Reported burning'!B3115</f>
        <v>338d.6</v>
      </c>
      <c r="C3115" s="156" t="str">
        <f>'Reported burning'!C3115</f>
        <v>Human, deliberate</v>
      </c>
      <c r="D3115" s="156" t="str">
        <f>'Reported burning'!D3115</f>
        <v>Harvesting of NTFP</v>
      </c>
      <c r="E3115" s="156" t="str">
        <f>'Reported burning'!E3115</f>
        <v>Mixed cropping-livestock small holder, Subsistence-oriented</v>
      </c>
      <c r="F3115" s="156" t="str">
        <f>'Reported burning'!F3115</f>
        <v>Shrubland (Mixed forest &amp; grassland)</v>
      </c>
      <c r="G3115" s="156" t="str">
        <f>'Reported burning'!G3115</f>
        <v>ND</v>
      </c>
      <c r="H3115" s="156" t="str">
        <f>'Reported burning'!H3115</f>
        <v>Presence</v>
      </c>
      <c r="I3115" s="5"/>
      <c r="J3115" s="204" t="s">
        <v>2276</v>
      </c>
      <c r="K3115" s="204" t="s">
        <v>2276</v>
      </c>
      <c r="L3115" s="204" t="s">
        <v>2276</v>
      </c>
      <c r="M3115" s="204" t="s">
        <v>2276</v>
      </c>
      <c r="N3115" s="204" t="s">
        <v>2276</v>
      </c>
      <c r="O3115" s="204" t="s">
        <v>2276</v>
      </c>
      <c r="P3115" s="204" t="s">
        <v>2276</v>
      </c>
      <c r="Q3115" s="204" t="s">
        <v>2276</v>
      </c>
      <c r="R3115" s="204" t="s">
        <v>2276</v>
      </c>
      <c r="S3115" s="204" t="s">
        <v>2276</v>
      </c>
      <c r="T3115" s="204" t="s">
        <v>2276</v>
      </c>
      <c r="U3115" s="204" t="s">
        <v>2276</v>
      </c>
      <c r="V3115" s="204" t="s">
        <v>2276</v>
      </c>
      <c r="W3115" s="204" t="s">
        <v>2276</v>
      </c>
      <c r="X3115" s="204" t="s">
        <v>68</v>
      </c>
      <c r="Y3115" s="204" t="s">
        <v>127</v>
      </c>
      <c r="Z3115" s="204" t="s">
        <v>64</v>
      </c>
      <c r="AA3115" s="204"/>
      <c r="AB3115" s="204"/>
    </row>
    <row r="3116" spans="1:28" ht="45.5" customHeight="1">
      <c r="A3116" s="156" t="str">
        <f>'Reported burning'!A3116</f>
        <v>338d</v>
      </c>
      <c r="B3116" s="156" t="str">
        <f>'Reported burning'!B3116</f>
        <v>338d.7</v>
      </c>
      <c r="C3116" s="156" t="str">
        <f>'Reported burning'!C3116</f>
        <v>Human, deliberate</v>
      </c>
      <c r="D3116" s="156" t="str">
        <f>'Reported burning'!D3116</f>
        <v>Pest management</v>
      </c>
      <c r="E3116" s="156" t="str">
        <f>'Reported burning'!E3116</f>
        <v>Mixed cropping-livestock small holder, Subsistence-oriented</v>
      </c>
      <c r="F3116" s="156" t="str">
        <f>'Reported burning'!F3116</f>
        <v>Forest</v>
      </c>
      <c r="G3116" s="156" t="str">
        <f>'Reported burning'!G3116</f>
        <v>ND</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38</v>
      </c>
      <c r="Y3116" s="204" t="s">
        <v>127</v>
      </c>
      <c r="Z3116" s="204" t="s">
        <v>64</v>
      </c>
      <c r="AA3116" s="204"/>
      <c r="AB3116" s="204"/>
    </row>
    <row r="3117" spans="1:28" ht="45.5" customHeight="1">
      <c r="A3117" s="156" t="str">
        <f>'Reported burning'!A3117</f>
        <v>338a</v>
      </c>
      <c r="B3117" s="156" t="str">
        <f>'Reported burning'!B3117</f>
        <v>338a.6</v>
      </c>
      <c r="C3117" s="156" t="str">
        <f>'Reported burning'!C3117</f>
        <v>Human, deliberate</v>
      </c>
      <c r="D3117" s="156" t="str">
        <f>'Reported burning'!D3117</f>
        <v>All</v>
      </c>
      <c r="E3117" s="156" t="str">
        <f>'Reported burning'!E3117</f>
        <v>Mixed cropping-livestock small holder, Subsistence-oriented</v>
      </c>
      <c r="F3117" s="156" t="str">
        <f>'Reported burning'!F3117</f>
        <v>Cropland</v>
      </c>
      <c r="G3117" s="156" t="str">
        <f>'Reported burning'!G3117</f>
        <v>Cropland</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2276</v>
      </c>
      <c r="AA3117" s="204"/>
      <c r="AB3117" s="204"/>
    </row>
    <row r="3118" spans="1:28" ht="48" customHeight="1">
      <c r="A3118" s="156" t="str">
        <f>'Reported burning'!A3118</f>
        <v>338b</v>
      </c>
      <c r="B3118" s="156" t="str">
        <f>'Reported burning'!B3118</f>
        <v>338b.7</v>
      </c>
      <c r="C3118" s="156" t="str">
        <f>'Reported burning'!C3118</f>
        <v>Human, deliberate</v>
      </c>
      <c r="D3118" s="156" t="str">
        <f>'Reported burning'!D3118</f>
        <v>All</v>
      </c>
      <c r="E3118" s="156" t="str">
        <f>'Reported burning'!E3118</f>
        <v>Mixed cropping-livestock small holder, Subsistence-oriented</v>
      </c>
      <c r="F3118" s="156" t="str">
        <f>'Reported burning'!F3118</f>
        <v>Cropland</v>
      </c>
      <c r="G3118" s="156" t="str">
        <f>'Reported burning'!G3118</f>
        <v>Cropland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2276</v>
      </c>
      <c r="AA3118" s="204"/>
      <c r="AB3118" s="204"/>
    </row>
    <row r="3119" spans="1:28" ht="48" customHeight="1">
      <c r="A3119" s="156" t="str">
        <f>'Reported burning'!A3119</f>
        <v>338c</v>
      </c>
      <c r="B3119" s="156" t="str">
        <f>'Reported burning'!B3119</f>
        <v>338c.9</v>
      </c>
      <c r="C3119" s="156" t="str">
        <f>'Reported burning'!C3119</f>
        <v>Human, deliberate</v>
      </c>
      <c r="D3119" s="156" t="str">
        <f>'Reported burning'!D3119</f>
        <v>All</v>
      </c>
      <c r="E3119" s="156" t="str">
        <f>'Reported burning'!E3119</f>
        <v>Mixed cropping-livestock small holder, Subsistence-oriented</v>
      </c>
      <c r="F3119" s="156" t="str">
        <f>'Reported burning'!F3119</f>
        <v>Cropland</v>
      </c>
      <c r="G3119" s="156" t="str">
        <f>'Reported burning'!G3119</f>
        <v>Cropland</v>
      </c>
      <c r="H3119" s="156" t="str">
        <f>'Reported burning'!H3119</f>
        <v>Presence</v>
      </c>
      <c r="I3119" s="5"/>
      <c r="J3119" s="204" t="s">
        <v>2276</v>
      </c>
      <c r="K3119" s="103" t="s">
        <v>2362</v>
      </c>
      <c r="L3119" s="204" t="s">
        <v>2276</v>
      </c>
      <c r="M3119" s="204" t="s">
        <v>2276</v>
      </c>
      <c r="N3119" s="204" t="s">
        <v>2276</v>
      </c>
      <c r="O3119" s="21" t="s">
        <v>2373</v>
      </c>
      <c r="P3119" s="204" t="s">
        <v>2276</v>
      </c>
      <c r="Q3119" s="21" t="s">
        <v>2375</v>
      </c>
      <c r="R3119" s="204" t="s">
        <v>2276</v>
      </c>
      <c r="S3119" s="204" t="s">
        <v>2276</v>
      </c>
      <c r="T3119" s="204" t="s">
        <v>2276</v>
      </c>
      <c r="U3119" s="204" t="s">
        <v>2276</v>
      </c>
      <c r="V3119" s="204" t="s">
        <v>2276</v>
      </c>
      <c r="W3119" s="204" t="s">
        <v>2276</v>
      </c>
      <c r="X3119" s="204" t="s">
        <v>2276</v>
      </c>
      <c r="Y3119" s="204" t="s">
        <v>2276</v>
      </c>
      <c r="Z3119" s="204" t="s">
        <v>2276</v>
      </c>
      <c r="AA3119" s="204"/>
      <c r="AB3119" s="4" t="s">
        <v>8374</v>
      </c>
    </row>
    <row r="3120" spans="1:28" ht="48" customHeight="1">
      <c r="A3120" s="156" t="str">
        <f>'Reported burning'!A3120</f>
        <v>338d</v>
      </c>
      <c r="B3120" s="156" t="str">
        <f>'Reported burning'!B3120</f>
        <v>338d.8</v>
      </c>
      <c r="C3120" s="156" t="str">
        <f>'Reported burning'!C3120</f>
        <v>Human, deliberate</v>
      </c>
      <c r="D3120" s="156" t="str">
        <f>'Reported burning'!D3120</f>
        <v>All</v>
      </c>
      <c r="E3120" s="156" t="str">
        <f>'Reported burning'!E3120</f>
        <v>Mixed cropping-livestock small holder, Subsistence-oriented</v>
      </c>
      <c r="F3120" s="156" t="str">
        <f>'Reported burning'!F3120</f>
        <v>Cropland</v>
      </c>
      <c r="G3120" s="156" t="str">
        <f>'Reported burning'!G3120</f>
        <v>Cropland</v>
      </c>
      <c r="H3120" s="156" t="str">
        <f>'Reported burning'!H3120</f>
        <v>Presence</v>
      </c>
      <c r="I3120" s="5"/>
      <c r="J3120" s="204" t="s">
        <v>2276</v>
      </c>
      <c r="K3120" s="103" t="s">
        <v>2362</v>
      </c>
      <c r="L3120" s="204" t="s">
        <v>2276</v>
      </c>
      <c r="M3120" s="204" t="s">
        <v>2276</v>
      </c>
      <c r="N3120" s="204" t="s">
        <v>2276</v>
      </c>
      <c r="O3120" s="21" t="s">
        <v>2373</v>
      </c>
      <c r="P3120" s="204" t="s">
        <v>2276</v>
      </c>
      <c r="Q3120" s="21" t="s">
        <v>2375</v>
      </c>
      <c r="R3120" s="204" t="s">
        <v>2276</v>
      </c>
      <c r="S3120" s="204" t="s">
        <v>2276</v>
      </c>
      <c r="T3120" s="204" t="s">
        <v>2276</v>
      </c>
      <c r="U3120" s="204" t="s">
        <v>2276</v>
      </c>
      <c r="V3120" s="204" t="s">
        <v>2276</v>
      </c>
      <c r="W3120" s="204" t="s">
        <v>2276</v>
      </c>
      <c r="X3120" s="204" t="s">
        <v>2276</v>
      </c>
      <c r="Y3120" s="204" t="s">
        <v>2276</v>
      </c>
      <c r="Z3120" s="204" t="s">
        <v>2276</v>
      </c>
      <c r="AA3120" s="204"/>
      <c r="AB3120" s="4" t="s">
        <v>8374</v>
      </c>
    </row>
    <row r="3121" spans="1:28" ht="48" customHeight="1">
      <c r="A3121" s="156" t="str">
        <f>'Reported burning'!A3121</f>
        <v>338a</v>
      </c>
      <c r="B3121" s="156" t="str">
        <f>'Reported burning'!B3121</f>
        <v>338a.7</v>
      </c>
      <c r="C3121" s="156" t="str">
        <f>'Reported burning'!C3121</f>
        <v>Human, deliberate</v>
      </c>
      <c r="D3121" s="156" t="str">
        <f>'Reported burning'!D3121</f>
        <v>All</v>
      </c>
      <c r="E3121" s="156" t="str">
        <f>'Reported burning'!E3121</f>
        <v>Mixed cropping-livestock small holder, Subsistence-oriented</v>
      </c>
      <c r="F3121" s="156" t="str">
        <f>'Reported burning'!F3121</f>
        <v>Shrubland (Mixed forest &amp; grassland)</v>
      </c>
      <c r="G3121" s="156" t="str">
        <f>'Reported burning'!G3121</f>
        <v>Shrubland (Mixed forest &amp; grassland)</v>
      </c>
      <c r="H3121" s="156" t="str">
        <f>'Reported burning'!H3121</f>
        <v>Presence</v>
      </c>
      <c r="I3121" s="5"/>
      <c r="J3121" s="204" t="s">
        <v>2276</v>
      </c>
      <c r="K3121" s="103" t="s">
        <v>2362</v>
      </c>
      <c r="L3121" s="204" t="s">
        <v>2276</v>
      </c>
      <c r="M3121" s="204" t="s">
        <v>2276</v>
      </c>
      <c r="N3121" s="204" t="s">
        <v>2276</v>
      </c>
      <c r="O3121" s="21" t="s">
        <v>2373</v>
      </c>
      <c r="P3121" s="204" t="s">
        <v>2276</v>
      </c>
      <c r="Q3121" s="21" t="s">
        <v>2375</v>
      </c>
      <c r="R3121" s="204" t="s">
        <v>2276</v>
      </c>
      <c r="S3121" s="204" t="s">
        <v>2276</v>
      </c>
      <c r="T3121" s="204" t="s">
        <v>2276</v>
      </c>
      <c r="U3121" s="204" t="s">
        <v>2276</v>
      </c>
      <c r="V3121" s="204" t="s">
        <v>2276</v>
      </c>
      <c r="W3121" s="204" t="s">
        <v>2276</v>
      </c>
      <c r="X3121" s="204" t="s">
        <v>2276</v>
      </c>
      <c r="Y3121" s="204" t="s">
        <v>2276</v>
      </c>
      <c r="Z3121" s="204" t="s">
        <v>2276</v>
      </c>
      <c r="AA3121" s="204"/>
      <c r="AB3121" s="4" t="s">
        <v>8373</v>
      </c>
    </row>
    <row r="3122" spans="1:28" ht="48" customHeight="1">
      <c r="A3122" s="156" t="str">
        <f>'Reported burning'!A3122</f>
        <v>338b</v>
      </c>
      <c r="B3122" s="156" t="str">
        <f>'Reported burning'!B3122</f>
        <v>338b.8</v>
      </c>
      <c r="C3122" s="156" t="str">
        <f>'Reported burning'!C3122</f>
        <v>Human, deliberate</v>
      </c>
      <c r="D3122" s="156" t="str">
        <f>'Reported burning'!D3122</f>
        <v>All</v>
      </c>
      <c r="E3122" s="156" t="str">
        <f>'Reported burning'!E3122</f>
        <v>Mixed cropping-livestock small holder, Subsistence-oriented</v>
      </c>
      <c r="F3122" s="156" t="str">
        <f>'Reported burning'!F3122</f>
        <v>Shrubland (Mixed forest &amp; grassland)</v>
      </c>
      <c r="G3122" s="156" t="str">
        <f>'Reported burning'!G3122</f>
        <v>Shrubland (Mixed forest &amp; grassland)</v>
      </c>
      <c r="H3122" s="156" t="str">
        <f>'Reported burning'!H3122</f>
        <v>Presence</v>
      </c>
      <c r="I3122" s="5"/>
      <c r="J3122" s="204" t="s">
        <v>2276</v>
      </c>
      <c r="K3122" s="103" t="s">
        <v>2362</v>
      </c>
      <c r="L3122" s="204" t="s">
        <v>2276</v>
      </c>
      <c r="M3122" s="204" t="s">
        <v>2276</v>
      </c>
      <c r="N3122" s="204" t="s">
        <v>2276</v>
      </c>
      <c r="O3122" s="21" t="s">
        <v>2373</v>
      </c>
      <c r="P3122" s="204" t="s">
        <v>2276</v>
      </c>
      <c r="Q3122" s="21" t="s">
        <v>2375</v>
      </c>
      <c r="R3122" s="204" t="s">
        <v>2276</v>
      </c>
      <c r="S3122" s="204" t="s">
        <v>2276</v>
      </c>
      <c r="T3122" s="204" t="s">
        <v>2276</v>
      </c>
      <c r="U3122" s="204" t="s">
        <v>2276</v>
      </c>
      <c r="V3122" s="204" t="s">
        <v>2276</v>
      </c>
      <c r="W3122" s="204" t="s">
        <v>2276</v>
      </c>
      <c r="X3122" s="204" t="s">
        <v>2276</v>
      </c>
      <c r="Y3122" s="204" t="s">
        <v>2276</v>
      </c>
      <c r="Z3122" s="204" t="s">
        <v>2276</v>
      </c>
      <c r="AA3122" s="204"/>
      <c r="AB3122" s="4" t="s">
        <v>8373</v>
      </c>
    </row>
    <row r="3123" spans="1:28" ht="48" customHeight="1">
      <c r="A3123" s="156" t="str">
        <f>'Reported burning'!A3123</f>
        <v>338c</v>
      </c>
      <c r="B3123" s="156" t="str">
        <f>'Reported burning'!B3123</f>
        <v>338c.10</v>
      </c>
      <c r="C3123" s="156" t="str">
        <f>'Reported burning'!C3123</f>
        <v>Human, deliberate</v>
      </c>
      <c r="D3123" s="156" t="str">
        <f>'Reported burning'!D3123</f>
        <v>All</v>
      </c>
      <c r="E3123" s="156" t="str">
        <f>'Reported burning'!E3123</f>
        <v>Mixed cropping-livestock small holder, Subsistence-oriented</v>
      </c>
      <c r="F3123" s="156" t="str">
        <f>'Reported burning'!F3123</f>
        <v>Shrubland (Mixed forest &amp; grassland)</v>
      </c>
      <c r="G3123" s="156" t="str">
        <f>'Reported burning'!G3123</f>
        <v>Shrubland (Mixed forest &amp; grassland)</v>
      </c>
      <c r="H3123" s="156" t="str">
        <f>'Reported burning'!H3123</f>
        <v>Presence</v>
      </c>
      <c r="I3123" s="5"/>
      <c r="J3123" s="204" t="s">
        <v>2276</v>
      </c>
      <c r="K3123" s="103" t="s">
        <v>2362</v>
      </c>
      <c r="L3123" s="204" t="s">
        <v>2276</v>
      </c>
      <c r="M3123" s="204" t="s">
        <v>2276</v>
      </c>
      <c r="N3123" s="204" t="s">
        <v>2276</v>
      </c>
      <c r="O3123" s="21" t="s">
        <v>2373</v>
      </c>
      <c r="P3123" s="204" t="s">
        <v>2276</v>
      </c>
      <c r="Q3123" s="21" t="s">
        <v>2375</v>
      </c>
      <c r="R3123" s="204" t="s">
        <v>2276</v>
      </c>
      <c r="S3123" s="204" t="s">
        <v>2276</v>
      </c>
      <c r="T3123" s="204" t="s">
        <v>2276</v>
      </c>
      <c r="U3123" s="204" t="s">
        <v>2276</v>
      </c>
      <c r="V3123" s="204" t="s">
        <v>2276</v>
      </c>
      <c r="W3123" s="204" t="s">
        <v>2276</v>
      </c>
      <c r="X3123" s="204" t="s">
        <v>2276</v>
      </c>
      <c r="Y3123" s="204" t="s">
        <v>2276</v>
      </c>
      <c r="Z3123" s="204" t="s">
        <v>2276</v>
      </c>
      <c r="AA3123" s="204"/>
      <c r="AB3123" s="4" t="s">
        <v>8373</v>
      </c>
    </row>
    <row r="3124" spans="1:28" ht="48" customHeight="1">
      <c r="A3124" s="156" t="str">
        <f>'Reported burning'!A3124</f>
        <v>338d</v>
      </c>
      <c r="B3124" s="156" t="str">
        <f>'Reported burning'!B3124</f>
        <v>338d.9</v>
      </c>
      <c r="C3124" s="156" t="str">
        <f>'Reported burning'!C3124</f>
        <v>Human, deliberate</v>
      </c>
      <c r="D3124" s="156" t="str">
        <f>'Reported burning'!D3124</f>
        <v>All</v>
      </c>
      <c r="E3124" s="156" t="str">
        <f>'Reported burning'!E3124</f>
        <v>Mixed cropping-livestock small holder, Subsistence-oriented</v>
      </c>
      <c r="F3124" s="156" t="str">
        <f>'Reported burning'!F3124</f>
        <v>Shrubland (Mixed forest &amp; grassland)</v>
      </c>
      <c r="G3124" s="156" t="str">
        <f>'Reported burning'!G3124</f>
        <v>Shrubland (Mixed forest &amp; grassland)</v>
      </c>
      <c r="H3124" s="156" t="str">
        <f>'Reported burning'!H3124</f>
        <v>Presence</v>
      </c>
      <c r="I3124" s="5"/>
      <c r="J3124" s="204" t="s">
        <v>2276</v>
      </c>
      <c r="K3124" s="103" t="s">
        <v>2362</v>
      </c>
      <c r="L3124" s="204" t="s">
        <v>2276</v>
      </c>
      <c r="M3124" s="204" t="s">
        <v>2276</v>
      </c>
      <c r="N3124" s="204" t="s">
        <v>2276</v>
      </c>
      <c r="O3124" s="21" t="s">
        <v>2373</v>
      </c>
      <c r="P3124" s="204" t="s">
        <v>2276</v>
      </c>
      <c r="Q3124" s="21" t="s">
        <v>2375</v>
      </c>
      <c r="R3124" s="204" t="s">
        <v>2276</v>
      </c>
      <c r="S3124" s="204" t="s">
        <v>2276</v>
      </c>
      <c r="T3124" s="204" t="s">
        <v>2276</v>
      </c>
      <c r="U3124" s="204" t="s">
        <v>2276</v>
      </c>
      <c r="V3124" s="204" t="s">
        <v>2276</v>
      </c>
      <c r="W3124" s="204" t="s">
        <v>2276</v>
      </c>
      <c r="X3124" s="204" t="s">
        <v>2276</v>
      </c>
      <c r="Y3124" s="204" t="s">
        <v>2276</v>
      </c>
      <c r="Z3124" s="204" t="s">
        <v>2276</v>
      </c>
      <c r="AA3124" s="204"/>
      <c r="AB3124" s="4" t="s">
        <v>8373</v>
      </c>
    </row>
    <row r="3125" spans="1:28" ht="48" customHeight="1">
      <c r="A3125" s="156" t="str">
        <f>'Reported burning'!A3125</f>
        <v>338a</v>
      </c>
      <c r="B3125" s="156" t="str">
        <f>'Reported burning'!B3125</f>
        <v>338a.8</v>
      </c>
      <c r="C3125" s="156" t="str">
        <f>'Reported burning'!C3125</f>
        <v>Human, deliberate</v>
      </c>
      <c r="D3125" s="156" t="str">
        <f>'Reported burning'!D3125</f>
        <v>All</v>
      </c>
      <c r="E3125" s="156" t="str">
        <f>'Reported burning'!E3125</f>
        <v>Mixed cropping-livestock small holder, Subsistence-oriented</v>
      </c>
      <c r="F3125" s="156" t="str">
        <f>'Reported burning'!F3125</f>
        <v>ND</v>
      </c>
      <c r="G3125" s="156" t="str">
        <f>'Reported burning'!G3125</f>
        <v>ND</v>
      </c>
      <c r="H3125" s="156" t="str">
        <f>'Reported burning'!H3125</f>
        <v>Presence</v>
      </c>
      <c r="I3125" s="5"/>
      <c r="J3125" s="204" t="s">
        <v>2276</v>
      </c>
      <c r="K3125" s="103" t="s">
        <v>2362</v>
      </c>
      <c r="L3125" s="204" t="s">
        <v>2276</v>
      </c>
      <c r="M3125" s="204" t="s">
        <v>2276</v>
      </c>
      <c r="N3125" s="204" t="s">
        <v>2276</v>
      </c>
      <c r="O3125" s="21" t="s">
        <v>2373</v>
      </c>
      <c r="P3125" s="204" t="s">
        <v>2276</v>
      </c>
      <c r="Q3125" s="21" t="s">
        <v>2375</v>
      </c>
      <c r="R3125" s="204" t="s">
        <v>2276</v>
      </c>
      <c r="S3125" s="204" t="s">
        <v>2276</v>
      </c>
      <c r="T3125" s="204" t="s">
        <v>2276</v>
      </c>
      <c r="U3125" s="204" t="s">
        <v>2276</v>
      </c>
      <c r="V3125" s="204" t="s">
        <v>2276</v>
      </c>
      <c r="W3125" s="21" t="s">
        <v>2402</v>
      </c>
      <c r="X3125" s="204" t="s">
        <v>34</v>
      </c>
      <c r="Y3125" s="204" t="s">
        <v>35</v>
      </c>
      <c r="Z3125" s="204" t="s">
        <v>64</v>
      </c>
      <c r="AA3125" s="204"/>
      <c r="AB3125" s="4" t="s">
        <v>8379</v>
      </c>
    </row>
    <row r="3126" spans="1:28" ht="48" customHeight="1">
      <c r="A3126" s="156" t="str">
        <f>'Reported burning'!A3126</f>
        <v>338b</v>
      </c>
      <c r="B3126" s="156" t="str">
        <f>'Reported burning'!B3126</f>
        <v>338b.9</v>
      </c>
      <c r="C3126" s="156" t="str">
        <f>'Reported burning'!C3126</f>
        <v>Human, deliberate</v>
      </c>
      <c r="D3126" s="156" t="str">
        <f>'Reported burning'!D3126</f>
        <v>All</v>
      </c>
      <c r="E3126" s="156" t="str">
        <f>'Reported burning'!E3126</f>
        <v>Mixed cropping-livestock small holder, Subsistence-oriented</v>
      </c>
      <c r="F3126" s="156" t="str">
        <f>'Reported burning'!F3126</f>
        <v>ND</v>
      </c>
      <c r="G3126" s="156" t="str">
        <f>'Reported burning'!G3126</f>
        <v>ND</v>
      </c>
      <c r="H3126" s="156" t="str">
        <f>'Reported burning'!H3126</f>
        <v>Presence</v>
      </c>
      <c r="I3126" s="5"/>
      <c r="J3126" s="204" t="s">
        <v>2276</v>
      </c>
      <c r="K3126" s="103" t="s">
        <v>2362</v>
      </c>
      <c r="L3126" s="204" t="s">
        <v>2276</v>
      </c>
      <c r="M3126" s="204" t="s">
        <v>2276</v>
      </c>
      <c r="N3126" s="204" t="s">
        <v>2276</v>
      </c>
      <c r="O3126" s="21" t="s">
        <v>2373</v>
      </c>
      <c r="P3126" s="204" t="s">
        <v>2276</v>
      </c>
      <c r="Q3126" s="21" t="s">
        <v>2375</v>
      </c>
      <c r="R3126" s="204" t="s">
        <v>2276</v>
      </c>
      <c r="S3126" s="204" t="s">
        <v>2276</v>
      </c>
      <c r="T3126" s="204" t="s">
        <v>2276</v>
      </c>
      <c r="U3126" s="204" t="s">
        <v>2276</v>
      </c>
      <c r="V3126" s="204" t="s">
        <v>2276</v>
      </c>
      <c r="W3126" s="21" t="s">
        <v>2403</v>
      </c>
      <c r="X3126" s="204" t="s">
        <v>34</v>
      </c>
      <c r="Y3126" s="204" t="s">
        <v>35</v>
      </c>
      <c r="Z3126" s="204" t="s">
        <v>64</v>
      </c>
      <c r="AA3126" s="204"/>
      <c r="AB3126" s="4" t="s">
        <v>8379</v>
      </c>
    </row>
    <row r="3127" spans="1:28" ht="48" customHeight="1">
      <c r="A3127" s="156" t="str">
        <f>'Reported burning'!A3127</f>
        <v>338c</v>
      </c>
      <c r="B3127" s="156" t="str">
        <f>'Reported burning'!B3127</f>
        <v>338c.11</v>
      </c>
      <c r="C3127" s="156" t="str">
        <f>'Reported burning'!C3127</f>
        <v>Human, deliberate</v>
      </c>
      <c r="D3127" s="156" t="str">
        <f>'Reported burning'!D3127</f>
        <v>All</v>
      </c>
      <c r="E3127" s="156" t="str">
        <f>'Reported burning'!E3127</f>
        <v>Mixed cropping-livestock small holder, Subsistence-oriented</v>
      </c>
      <c r="F3127" s="156" t="str">
        <f>'Reported burning'!F3127</f>
        <v>ND</v>
      </c>
      <c r="G3127" s="156" t="str">
        <f>'Reported burning'!G3127</f>
        <v>ND</v>
      </c>
      <c r="H3127" s="156" t="str">
        <f>'Reported burning'!H3127</f>
        <v>Presence</v>
      </c>
      <c r="I3127" s="5"/>
      <c r="J3127" s="204" t="s">
        <v>2276</v>
      </c>
      <c r="K3127" s="103" t="s">
        <v>2362</v>
      </c>
      <c r="L3127" s="204" t="s">
        <v>2276</v>
      </c>
      <c r="M3127" s="204" t="s">
        <v>2276</v>
      </c>
      <c r="N3127" s="204" t="s">
        <v>2276</v>
      </c>
      <c r="O3127" s="21" t="s">
        <v>2373</v>
      </c>
      <c r="P3127" s="204" t="s">
        <v>2276</v>
      </c>
      <c r="Q3127" s="21" t="s">
        <v>2375</v>
      </c>
      <c r="R3127" s="204" t="s">
        <v>2276</v>
      </c>
      <c r="S3127" s="204" t="s">
        <v>2276</v>
      </c>
      <c r="T3127" s="204" t="s">
        <v>2276</v>
      </c>
      <c r="U3127" s="204" t="s">
        <v>2276</v>
      </c>
      <c r="V3127" s="204" t="s">
        <v>2276</v>
      </c>
      <c r="W3127" s="21" t="s">
        <v>2404</v>
      </c>
      <c r="X3127" s="204" t="s">
        <v>86</v>
      </c>
      <c r="Y3127" s="204" t="s">
        <v>127</v>
      </c>
      <c r="Z3127" s="204" t="s">
        <v>64</v>
      </c>
      <c r="AA3127" s="204"/>
      <c r="AB3127" s="4" t="s">
        <v>8380</v>
      </c>
    </row>
    <row r="3128" spans="1:28" ht="48" customHeight="1">
      <c r="A3128" s="156" t="str">
        <f>'Reported burning'!A3128</f>
        <v>338d</v>
      </c>
      <c r="B3128" s="156" t="str">
        <f>'Reported burning'!B3128</f>
        <v>338d.10</v>
      </c>
      <c r="C3128" s="156" t="str">
        <f>'Reported burning'!C3128</f>
        <v>Human, deliberate</v>
      </c>
      <c r="D3128" s="156" t="str">
        <f>'Reported burning'!D3128</f>
        <v>All</v>
      </c>
      <c r="E3128" s="156" t="str">
        <f>'Reported burning'!E3128</f>
        <v>Mixed cropping-livestock small holder, Subsistence-oriented</v>
      </c>
      <c r="F3128" s="156" t="str">
        <f>'Reported burning'!F3128</f>
        <v>ND</v>
      </c>
      <c r="G3128" s="156" t="str">
        <f>'Reported burning'!G3128</f>
        <v>ND</v>
      </c>
      <c r="H3128" s="156" t="str">
        <f>'Reported burning'!H3128</f>
        <v>Presence</v>
      </c>
      <c r="I3128" s="5"/>
      <c r="J3128" s="204" t="s">
        <v>2276</v>
      </c>
      <c r="K3128" s="103" t="s">
        <v>2362</v>
      </c>
      <c r="L3128" s="204" t="s">
        <v>2276</v>
      </c>
      <c r="M3128" s="204" t="s">
        <v>2276</v>
      </c>
      <c r="N3128" s="204" t="s">
        <v>2276</v>
      </c>
      <c r="O3128" s="21" t="s">
        <v>2373</v>
      </c>
      <c r="P3128" s="204" t="s">
        <v>2276</v>
      </c>
      <c r="Q3128" s="21" t="s">
        <v>2375</v>
      </c>
      <c r="R3128" s="204" t="s">
        <v>2276</v>
      </c>
      <c r="S3128" s="204" t="s">
        <v>2276</v>
      </c>
      <c r="T3128" s="204" t="s">
        <v>2276</v>
      </c>
      <c r="U3128" s="204" t="s">
        <v>2276</v>
      </c>
      <c r="V3128" s="204" t="s">
        <v>2276</v>
      </c>
      <c r="W3128" s="21" t="s">
        <v>2402</v>
      </c>
      <c r="X3128" s="204" t="s">
        <v>86</v>
      </c>
      <c r="Y3128" s="204" t="s">
        <v>127</v>
      </c>
      <c r="Z3128" s="204" t="s">
        <v>64</v>
      </c>
      <c r="AA3128" s="204"/>
      <c r="AB3128" s="4" t="s">
        <v>8380</v>
      </c>
    </row>
    <row r="3129" spans="1:28" ht="56.5" customHeight="1">
      <c r="A3129" s="156" t="str">
        <f>'Reported burning'!A3129</f>
        <v>338a</v>
      </c>
      <c r="B3129" s="156" t="str">
        <f>'Reported burning'!B3129</f>
        <v>338a.9</v>
      </c>
      <c r="C3129" s="156" t="str">
        <f>'Reported burning'!C3129</f>
        <v>Human, escaped</v>
      </c>
      <c r="D3129" s="156" t="str">
        <f>'Reported burning'!D3129</f>
        <v>All</v>
      </c>
      <c r="E3129" s="156" t="str">
        <f>'Reported burning'!E3129</f>
        <v>Mixed cropping-livestock small holder, Subsistence-oriented</v>
      </c>
      <c r="F3129" s="156" t="str">
        <f>'Reported burning'!F3129</f>
        <v>Shrubland (Mixed forest &amp; grassland)</v>
      </c>
      <c r="G3129" s="156" t="str">
        <f>'Reported burning'!G3129</f>
        <v>Forest</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2276</v>
      </c>
      <c r="AA3129" s="204"/>
      <c r="AB3129" s="204"/>
    </row>
    <row r="3130" spans="1:28" ht="56.5" customHeight="1">
      <c r="A3130" s="156" t="str">
        <f>'Reported burning'!A3130</f>
        <v>338b</v>
      </c>
      <c r="B3130" s="156" t="str">
        <f>'Reported burning'!B3130</f>
        <v>338b.10</v>
      </c>
      <c r="C3130" s="156" t="str">
        <f>'Reported burning'!C3130</f>
        <v>Human, escaped</v>
      </c>
      <c r="D3130" s="156" t="str">
        <f>'Reported burning'!D3130</f>
        <v>All</v>
      </c>
      <c r="E3130" s="156" t="str">
        <f>'Reported burning'!E3130</f>
        <v>Mixed cropping-livestock small holder, Subsistence-oriented</v>
      </c>
      <c r="F3130" s="156" t="str">
        <f>'Reported burning'!F3130</f>
        <v>Shrubland (Mixed forest &amp; grassland)</v>
      </c>
      <c r="G3130" s="156" t="str">
        <f>'Reported burning'!G3130</f>
        <v>Forest</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56.5" customHeight="1">
      <c r="A3131" s="156" t="str">
        <f>'Reported burning'!A3131</f>
        <v>338c</v>
      </c>
      <c r="B3131" s="156" t="str">
        <f>'Reported burning'!B3131</f>
        <v>338c.12</v>
      </c>
      <c r="C3131" s="156" t="str">
        <f>'Reported burning'!C3131</f>
        <v>Human, escaped</v>
      </c>
      <c r="D3131" s="156" t="str">
        <f>'Reported burning'!D3131</f>
        <v>All</v>
      </c>
      <c r="E3131" s="156" t="str">
        <f>'Reported burning'!E3131</f>
        <v>Mixed cropping-livestock small holder, Subsistence-oriented</v>
      </c>
      <c r="F3131" s="156" t="str">
        <f>'Reported burning'!F3131</f>
        <v>Shrubland (Mixed forest &amp; grassland)</v>
      </c>
      <c r="G3131" s="156" t="str">
        <f>'Reported burning'!G3131</f>
        <v>Forest</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56.5" customHeight="1">
      <c r="A3132" s="156" t="str">
        <f>'Reported burning'!A3132</f>
        <v>338d</v>
      </c>
      <c r="B3132" s="156" t="str">
        <f>'Reported burning'!B3132</f>
        <v>338d.11</v>
      </c>
      <c r="C3132" s="156" t="str">
        <f>'Reported burning'!C3132</f>
        <v>Human, escaped</v>
      </c>
      <c r="D3132" s="156" t="str">
        <f>'Reported burning'!D3132</f>
        <v>All</v>
      </c>
      <c r="E3132" s="156" t="str">
        <f>'Reported burning'!E3132</f>
        <v>Mixed cropping-livestock small holder, Subsistence-oriented</v>
      </c>
      <c r="F3132" s="156" t="str">
        <f>'Reported burning'!F3132</f>
        <v>Shrubland (Mixed forest &amp; grassland)</v>
      </c>
      <c r="G3132" s="156" t="str">
        <f>'Reported burning'!G3132</f>
        <v>Forest</v>
      </c>
      <c r="H3132" s="156" t="str">
        <f>'Reported burning'!H3132</f>
        <v>Presence</v>
      </c>
      <c r="I3132" s="5"/>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04" t="s">
        <v>2276</v>
      </c>
      <c r="W3132" s="204" t="s">
        <v>2276</v>
      </c>
      <c r="X3132" s="204" t="s">
        <v>2276</v>
      </c>
      <c r="Y3132" s="204" t="s">
        <v>2276</v>
      </c>
      <c r="Z3132" s="204" t="s">
        <v>2276</v>
      </c>
      <c r="AA3132" s="204"/>
      <c r="AB3132" s="204"/>
    </row>
    <row r="3133" spans="1:28" ht="56.5" customHeight="1">
      <c r="A3133" s="156" t="str">
        <f>'Reported burning'!A3133</f>
        <v>339a</v>
      </c>
      <c r="B3133" s="156" t="str">
        <f>'Reported burning'!B3133</f>
        <v>339a.1</v>
      </c>
      <c r="C3133" s="156" t="str">
        <f>'Reported burning'!C3133</f>
        <v>Human, deliberate</v>
      </c>
      <c r="D3133" s="156" t="str">
        <f>'Reported burning'!D3133</f>
        <v>Crop residue burning</v>
      </c>
      <c r="E3133" s="156" t="str">
        <f>'Reported burning'!E3133</f>
        <v>Cropping, Monoculture, Market-oriented</v>
      </c>
      <c r="F3133" s="156" t="str">
        <f>'Reported burning'!F3133</f>
        <v>Cropland</v>
      </c>
      <c r="G3133" s="156" t="str">
        <f>'Reported burning'!G3133</f>
        <v>ND</v>
      </c>
      <c r="H3133" s="156" t="str">
        <f>'Reported burning'!H3133</f>
        <v>Presence</v>
      </c>
      <c r="I3133" s="5"/>
      <c r="J3133" s="204" t="s">
        <v>2276</v>
      </c>
      <c r="K3133" s="204" t="s">
        <v>2276</v>
      </c>
      <c r="L3133" s="204" t="s">
        <v>2276</v>
      </c>
      <c r="M3133" s="204" t="s">
        <v>2276</v>
      </c>
      <c r="N3133" s="204" t="s">
        <v>2276</v>
      </c>
      <c r="O3133" s="204" t="s">
        <v>2276</v>
      </c>
      <c r="P3133" s="204" t="s">
        <v>2276</v>
      </c>
      <c r="Q3133" s="204" t="s">
        <v>2276</v>
      </c>
      <c r="R3133" s="204" t="s">
        <v>2276</v>
      </c>
      <c r="S3133" s="21" t="s">
        <v>2392</v>
      </c>
      <c r="T3133" s="204" t="s">
        <v>2276</v>
      </c>
      <c r="U3133" s="204" t="s">
        <v>2276</v>
      </c>
      <c r="V3133" s="204" t="s">
        <v>2276</v>
      </c>
      <c r="W3133" s="204" t="s">
        <v>2276</v>
      </c>
      <c r="X3133" s="204" t="s">
        <v>2276</v>
      </c>
      <c r="Y3133" s="204" t="s">
        <v>2276</v>
      </c>
      <c r="Z3133" s="204" t="s">
        <v>2276</v>
      </c>
      <c r="AA3133" s="204"/>
      <c r="AB3133" s="204"/>
    </row>
    <row r="3134" spans="1:28" ht="38.5" customHeight="1">
      <c r="A3134" s="156" t="str">
        <f>'Reported burning'!A3134</f>
        <v>339a</v>
      </c>
      <c r="B3134" s="156" t="str">
        <f>'Reported burning'!B3134</f>
        <v>339a.2</v>
      </c>
      <c r="C3134" s="156" t="str">
        <f>'Reported burning'!C3134</f>
        <v>Human, deliberate</v>
      </c>
      <c r="D3134" s="156" t="str">
        <f>'Reported burning'!D3134</f>
        <v>Crop residue burning</v>
      </c>
      <c r="E3134" s="156" t="str">
        <f>'Reported burning'!E3134</f>
        <v>Cropping, Monoculture, Market-oriented</v>
      </c>
      <c r="F3134" s="156" t="str">
        <f>'Reported burning'!F3134</f>
        <v>Cropland</v>
      </c>
      <c r="G3134" s="156" t="str">
        <f>'Reported burning'!G3134</f>
        <v>ND</v>
      </c>
      <c r="H3134" s="156" t="str">
        <f>'Reported burning'!H3134</f>
        <v>Presence</v>
      </c>
      <c r="I3134" s="5"/>
      <c r="J3134" s="204" t="s">
        <v>2276</v>
      </c>
      <c r="K3134" s="204" t="s">
        <v>2276</v>
      </c>
      <c r="L3134" s="204" t="s">
        <v>2276</v>
      </c>
      <c r="M3134" s="204" t="s">
        <v>2276</v>
      </c>
      <c r="N3134" s="204" t="s">
        <v>2276</v>
      </c>
      <c r="O3134" s="204" t="s">
        <v>2276</v>
      </c>
      <c r="P3134" s="204" t="s">
        <v>2276</v>
      </c>
      <c r="Q3134" s="204" t="s">
        <v>2276</v>
      </c>
      <c r="R3134" s="204" t="s">
        <v>2276</v>
      </c>
      <c r="S3134" s="21" t="s">
        <v>2376</v>
      </c>
      <c r="T3134" s="204" t="s">
        <v>2276</v>
      </c>
      <c r="U3134" s="204" t="s">
        <v>2276</v>
      </c>
      <c r="V3134" s="204" t="s">
        <v>2276</v>
      </c>
      <c r="W3134" s="204" t="s">
        <v>2276</v>
      </c>
      <c r="X3134" s="204" t="s">
        <v>2276</v>
      </c>
      <c r="Y3134" s="204" t="s">
        <v>2276</v>
      </c>
      <c r="Z3134" s="204" t="s">
        <v>2276</v>
      </c>
      <c r="AA3134" s="204"/>
      <c r="AB3134" s="204"/>
    </row>
    <row r="3135" spans="1:28" ht="38.5" customHeight="1">
      <c r="A3135" s="156" t="str">
        <f>'Reported burning'!A3135</f>
        <v>339b</v>
      </c>
      <c r="B3135" s="156" t="str">
        <f>'Reported burning'!B3135</f>
        <v>339b.1</v>
      </c>
      <c r="C3135" s="156" t="str">
        <f>'Reported burning'!C3135</f>
        <v>Human, deliberate</v>
      </c>
      <c r="D3135" s="156" t="str">
        <f>'Reported burning'!D3135</f>
        <v>Crop residue burning</v>
      </c>
      <c r="E3135" s="156" t="str">
        <f>'Reported burning'!E3135</f>
        <v>Cropping, Monoculture, Market-oriented</v>
      </c>
      <c r="F3135" s="156" t="str">
        <f>'Reported burning'!F3135</f>
        <v>Cropland</v>
      </c>
      <c r="G3135" s="156" t="str">
        <f>'Reported burning'!G3135</f>
        <v>ND</v>
      </c>
      <c r="H3135" s="156" t="str">
        <f>'Reported burning'!H3135</f>
        <v>Presence</v>
      </c>
      <c r="I3135" s="5"/>
      <c r="J3135" s="204" t="s">
        <v>2276</v>
      </c>
      <c r="K3135" s="204" t="s">
        <v>2276</v>
      </c>
      <c r="L3135" s="204" t="s">
        <v>2276</v>
      </c>
      <c r="M3135" s="204" t="s">
        <v>2276</v>
      </c>
      <c r="N3135" s="204" t="s">
        <v>2276</v>
      </c>
      <c r="O3135" s="204" t="s">
        <v>2276</v>
      </c>
      <c r="P3135" s="204" t="s">
        <v>2276</v>
      </c>
      <c r="Q3135" s="204" t="s">
        <v>2276</v>
      </c>
      <c r="R3135" s="204" t="s">
        <v>2276</v>
      </c>
      <c r="S3135" s="21" t="s">
        <v>2390</v>
      </c>
      <c r="T3135" s="204" t="s">
        <v>2276</v>
      </c>
      <c r="U3135" s="204" t="s">
        <v>2276</v>
      </c>
      <c r="V3135" s="204" t="s">
        <v>2276</v>
      </c>
      <c r="W3135" s="204" t="s">
        <v>2276</v>
      </c>
      <c r="X3135" s="204" t="s">
        <v>2276</v>
      </c>
      <c r="Y3135" s="204" t="s">
        <v>2276</v>
      </c>
      <c r="Z3135" s="204" t="s">
        <v>2276</v>
      </c>
      <c r="AA3135" s="204"/>
      <c r="AB3135" s="204"/>
    </row>
    <row r="3136" spans="1:28" ht="38.5" customHeight="1">
      <c r="A3136" s="156" t="str">
        <f>'Reported burning'!A3136</f>
        <v>339b</v>
      </c>
      <c r="B3136" s="156" t="str">
        <f>'Reported burning'!B3136</f>
        <v>339b.2</v>
      </c>
      <c r="C3136" s="156" t="str">
        <f>'Reported burning'!C3136</f>
        <v>Human, deliberate</v>
      </c>
      <c r="D3136" s="156" t="str">
        <f>'Reported burning'!D3136</f>
        <v>Crop residue burning</v>
      </c>
      <c r="E3136" s="156" t="str">
        <f>'Reported burning'!E3136</f>
        <v>Cropping, Monoculture, Market-oriented</v>
      </c>
      <c r="F3136" s="156" t="str">
        <f>'Reported burning'!F3136</f>
        <v>Cropland</v>
      </c>
      <c r="G3136" s="156" t="str">
        <f>'Reported burning'!G3136</f>
        <v>ND</v>
      </c>
      <c r="H3136" s="156" t="str">
        <f>'Reported burning'!H3136</f>
        <v>Presence</v>
      </c>
      <c r="I3136" s="5"/>
      <c r="J3136" s="204" t="s">
        <v>2276</v>
      </c>
      <c r="K3136" s="204" t="s">
        <v>2276</v>
      </c>
      <c r="L3136" s="204" t="s">
        <v>2276</v>
      </c>
      <c r="M3136" s="204" t="s">
        <v>2276</v>
      </c>
      <c r="N3136" s="204" t="s">
        <v>2276</v>
      </c>
      <c r="O3136" s="204" t="s">
        <v>2276</v>
      </c>
      <c r="P3136" s="204" t="s">
        <v>2276</v>
      </c>
      <c r="Q3136" s="204" t="s">
        <v>2276</v>
      </c>
      <c r="R3136" s="204" t="s">
        <v>2276</v>
      </c>
      <c r="S3136" s="21" t="s">
        <v>2376</v>
      </c>
      <c r="T3136" s="204" t="s">
        <v>2276</v>
      </c>
      <c r="U3136" s="204" t="s">
        <v>2276</v>
      </c>
      <c r="V3136" s="204" t="s">
        <v>2276</v>
      </c>
      <c r="W3136" s="204" t="s">
        <v>2276</v>
      </c>
      <c r="X3136" s="204" t="s">
        <v>2276</v>
      </c>
      <c r="Y3136" s="204" t="s">
        <v>2276</v>
      </c>
      <c r="Z3136" s="204" t="s">
        <v>2276</v>
      </c>
      <c r="AA3136" s="204"/>
      <c r="AB3136" s="204"/>
    </row>
    <row r="3137" spans="1:28" ht="36" customHeight="1">
      <c r="A3137" s="156" t="str">
        <f>'Reported burning'!A3137</f>
        <v>339c</v>
      </c>
      <c r="B3137" s="156" t="str">
        <f>'Reported burning'!B3137</f>
        <v>339c.1</v>
      </c>
      <c r="C3137" s="156" t="str">
        <f>'Reported burning'!C3137</f>
        <v>Human, deliberate</v>
      </c>
      <c r="D3137" s="156" t="str">
        <f>'Reported burning'!D3137</f>
        <v>Crop residue burning</v>
      </c>
      <c r="E3137" s="156" t="str">
        <f>'Reported burning'!E3137</f>
        <v>Cropping, Monoculture, Market-oriented</v>
      </c>
      <c r="F3137" s="156" t="str">
        <f>'Reported burning'!F3137</f>
        <v>Cropland</v>
      </c>
      <c r="G3137" s="156" t="str">
        <f>'Reported burning'!G3137</f>
        <v>ND</v>
      </c>
      <c r="H3137" s="156" t="str">
        <f>'Reported burning'!H3137</f>
        <v>Presence</v>
      </c>
      <c r="I3137" s="5"/>
      <c r="J3137" s="204" t="s">
        <v>2276</v>
      </c>
      <c r="K3137" s="204" t="s">
        <v>2276</v>
      </c>
      <c r="L3137" s="204" t="s">
        <v>2276</v>
      </c>
      <c r="M3137" s="204" t="s">
        <v>2276</v>
      </c>
      <c r="N3137" s="204" t="s">
        <v>2276</v>
      </c>
      <c r="O3137" s="204" t="s">
        <v>2276</v>
      </c>
      <c r="P3137" s="204" t="s">
        <v>2276</v>
      </c>
      <c r="Q3137" s="204" t="s">
        <v>2276</v>
      </c>
      <c r="R3137" s="204" t="s">
        <v>2276</v>
      </c>
      <c r="S3137" s="14" t="s">
        <v>2376</v>
      </c>
      <c r="T3137" s="204" t="s">
        <v>2276</v>
      </c>
      <c r="U3137" s="204" t="s">
        <v>2276</v>
      </c>
      <c r="V3137" s="204" t="s">
        <v>2276</v>
      </c>
      <c r="W3137" s="204" t="s">
        <v>2276</v>
      </c>
      <c r="X3137" s="204" t="s">
        <v>2276</v>
      </c>
      <c r="Y3137" s="204" t="s">
        <v>2276</v>
      </c>
      <c r="Z3137" s="204" t="s">
        <v>2276</v>
      </c>
      <c r="AA3137" s="204"/>
      <c r="AB3137" s="204"/>
    </row>
    <row r="3138" spans="1:28" ht="46.5" customHeight="1">
      <c r="A3138" s="156" t="str">
        <f>'Reported burning'!A3138</f>
        <v>339c</v>
      </c>
      <c r="B3138" s="156" t="str">
        <f>'Reported burning'!B3138</f>
        <v>339c.2</v>
      </c>
      <c r="C3138" s="156" t="str">
        <f>'Reported burning'!C3138</f>
        <v>Human, deliberate</v>
      </c>
      <c r="D3138" s="156" t="str">
        <f>'Reported burning'!D3138</f>
        <v>Crop residue burning</v>
      </c>
      <c r="E3138" s="156" t="str">
        <f>'Reported burning'!E3138</f>
        <v>Cropping, Monoculture, Market-oriented</v>
      </c>
      <c r="F3138" s="156" t="str">
        <f>'Reported burning'!F3138</f>
        <v>Cropland</v>
      </c>
      <c r="G3138" s="156" t="str">
        <f>'Reported burning'!G3138</f>
        <v>ND</v>
      </c>
      <c r="H3138" s="156" t="str">
        <f>'Reported burning'!H3138</f>
        <v>Presence</v>
      </c>
      <c r="I3138" s="5"/>
      <c r="J3138" s="204" t="s">
        <v>2276</v>
      </c>
      <c r="K3138" s="204" t="s">
        <v>2276</v>
      </c>
      <c r="L3138" s="204" t="s">
        <v>2276</v>
      </c>
      <c r="M3138" s="204" t="s">
        <v>2276</v>
      </c>
      <c r="N3138" s="204" t="s">
        <v>2276</v>
      </c>
      <c r="O3138" s="204" t="s">
        <v>2276</v>
      </c>
      <c r="P3138" s="204" t="s">
        <v>2276</v>
      </c>
      <c r="Q3138" s="204" t="s">
        <v>2276</v>
      </c>
      <c r="R3138" s="204" t="s">
        <v>2276</v>
      </c>
      <c r="S3138" s="14" t="s">
        <v>2374</v>
      </c>
      <c r="T3138" s="204" t="s">
        <v>2276</v>
      </c>
      <c r="U3138" s="204" t="s">
        <v>2276</v>
      </c>
      <c r="V3138" s="204" t="s">
        <v>2276</v>
      </c>
      <c r="W3138" s="204" t="s">
        <v>2276</v>
      </c>
      <c r="X3138" s="204" t="s">
        <v>2276</v>
      </c>
      <c r="Y3138" s="204" t="s">
        <v>2276</v>
      </c>
      <c r="Z3138" s="204" t="s">
        <v>2276</v>
      </c>
      <c r="AA3138" s="204"/>
      <c r="AB3138" s="204"/>
    </row>
    <row r="3139" spans="1:28" ht="44" customHeight="1">
      <c r="A3139" s="156" t="str">
        <f>'Reported burning'!A3139</f>
        <v>339c</v>
      </c>
      <c r="B3139" s="156" t="str">
        <f>'Reported burning'!B3139</f>
        <v>339c.3</v>
      </c>
      <c r="C3139" s="156" t="str">
        <f>'Reported burning'!C3139</f>
        <v>Human, deliberate</v>
      </c>
      <c r="D3139" s="156" t="str">
        <f>'Reported burning'!D3139</f>
        <v>Crop residue burning</v>
      </c>
      <c r="E3139" s="156" t="str">
        <f>'Reported burning'!E3139</f>
        <v>Cropping, Monoculture, Subsistence-oriented</v>
      </c>
      <c r="F3139" s="156" t="str">
        <f>'Reported burning'!F3139</f>
        <v>Cropland</v>
      </c>
      <c r="G3139" s="156" t="str">
        <f>'Reported burning'!G3139</f>
        <v>ND</v>
      </c>
      <c r="H3139" s="156" t="str">
        <f>'Reported burning'!H3139</f>
        <v>Presence</v>
      </c>
      <c r="I3139" s="5"/>
      <c r="J3139" s="204" t="s">
        <v>2276</v>
      </c>
      <c r="K3139" s="204" t="s">
        <v>2276</v>
      </c>
      <c r="L3139" s="204" t="s">
        <v>2276</v>
      </c>
      <c r="M3139" s="204" t="s">
        <v>2276</v>
      </c>
      <c r="N3139" s="204" t="s">
        <v>2276</v>
      </c>
      <c r="O3139" s="204" t="s">
        <v>2276</v>
      </c>
      <c r="P3139" s="204" t="s">
        <v>2276</v>
      </c>
      <c r="Q3139" s="204" t="s">
        <v>2276</v>
      </c>
      <c r="R3139" s="204" t="s">
        <v>2276</v>
      </c>
      <c r="S3139" s="14" t="s">
        <v>2527</v>
      </c>
      <c r="T3139" s="204" t="s">
        <v>2276</v>
      </c>
      <c r="U3139" s="204" t="s">
        <v>2276</v>
      </c>
      <c r="V3139" s="204" t="s">
        <v>2276</v>
      </c>
      <c r="W3139" s="204" t="s">
        <v>2276</v>
      </c>
      <c r="X3139" s="204" t="s">
        <v>2276</v>
      </c>
      <c r="Y3139" s="204" t="s">
        <v>2276</v>
      </c>
      <c r="Z3139" s="204" t="s">
        <v>2276</v>
      </c>
      <c r="AA3139" s="204"/>
      <c r="AB3139" s="204"/>
    </row>
    <row r="3140" spans="1:28" ht="44" customHeight="1">
      <c r="A3140" s="156" t="str">
        <f>'Reported burning'!A3140</f>
        <v>339c</v>
      </c>
      <c r="B3140" s="156" t="str">
        <f>'Reported burning'!B3140</f>
        <v>339c.4</v>
      </c>
      <c r="C3140" s="156" t="str">
        <f>'Reported burning'!C3140</f>
        <v>Human, deliberate</v>
      </c>
      <c r="D3140" s="156" t="str">
        <f>'Reported burning'!D3140</f>
        <v>Crop residue burning</v>
      </c>
      <c r="E3140" s="156" t="str">
        <f>'Reported burning'!E3140</f>
        <v>Cropping, Monoculture, Subsistence-oriented</v>
      </c>
      <c r="F3140" s="156" t="str">
        <f>'Reported burning'!F3140</f>
        <v>Cropland</v>
      </c>
      <c r="G3140" s="156" t="str">
        <f>'Reported burning'!G3140</f>
        <v>ND</v>
      </c>
      <c r="H3140" s="156" t="str">
        <f>'Reported burning'!H3140</f>
        <v>Absence</v>
      </c>
      <c r="I3140" s="5"/>
      <c r="J3140" s="21">
        <v>0</v>
      </c>
      <c r="K3140" s="21">
        <v>0</v>
      </c>
      <c r="L3140" s="21">
        <v>0</v>
      </c>
      <c r="M3140" s="21">
        <v>0</v>
      </c>
      <c r="N3140" s="21">
        <v>0</v>
      </c>
      <c r="O3140" s="21">
        <v>0</v>
      </c>
      <c r="P3140" s="21">
        <v>0</v>
      </c>
      <c r="Q3140" s="21">
        <v>0</v>
      </c>
      <c r="R3140" s="21">
        <v>0</v>
      </c>
      <c r="S3140" s="21">
        <v>0</v>
      </c>
      <c r="T3140" s="21">
        <v>0</v>
      </c>
      <c r="U3140" s="21">
        <v>0</v>
      </c>
      <c r="V3140" s="21">
        <v>0</v>
      </c>
      <c r="W3140" s="204" t="s">
        <v>2276</v>
      </c>
      <c r="X3140" s="204" t="s">
        <v>2276</v>
      </c>
      <c r="Y3140" s="204" t="s">
        <v>2276</v>
      </c>
      <c r="Z3140" s="204" t="s">
        <v>2276</v>
      </c>
      <c r="AA3140" s="204"/>
      <c r="AB3140" s="204"/>
    </row>
    <row r="3141" spans="1:28" ht="30.5" customHeight="1">
      <c r="A3141" s="156" t="str">
        <f>'Reported burning'!A3141</f>
        <v>340a</v>
      </c>
      <c r="B3141" s="156" t="str">
        <f>'Reported burning'!B3141</f>
        <v>340a.1</v>
      </c>
      <c r="C3141" s="156" t="str">
        <f>'Reported burning'!C3141</f>
        <v>Human, deliberate</v>
      </c>
      <c r="D3141" s="156" t="str">
        <f>'Reported burning'!D3141</f>
        <v>Crop residue burning</v>
      </c>
      <c r="E3141" s="156" t="str">
        <f>'Reported burning'!E3141</f>
        <v>Cropping, Intensive</v>
      </c>
      <c r="F3141" s="156" t="str">
        <f>'Reported burning'!F3141</f>
        <v>Cropland</v>
      </c>
      <c r="G3141" s="156" t="str">
        <f>'Reported burning'!G3141</f>
        <v>ND</v>
      </c>
      <c r="H3141" s="156" t="str">
        <f>'Reported burning'!H3141</f>
        <v>Presence</v>
      </c>
      <c r="I3141" s="5"/>
      <c r="J3141" s="204" t="s">
        <v>2276</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2276</v>
      </c>
      <c r="AA3141" s="204"/>
      <c r="AB3141" s="204"/>
    </row>
    <row r="3142" spans="1:28" ht="30.5" customHeight="1">
      <c r="A3142" s="156" t="str">
        <f>'Reported burning'!A3142</f>
        <v>340a</v>
      </c>
      <c r="B3142" s="156" t="str">
        <f>'Reported burning'!B3142</f>
        <v>340a.2</v>
      </c>
      <c r="C3142" s="156" t="str">
        <f>'Reported burning'!C3142</f>
        <v>Human, deliberate</v>
      </c>
      <c r="D3142" s="156" t="str">
        <f>'Reported burning'!D3142</f>
        <v>Crop residue burning</v>
      </c>
      <c r="E3142" s="156" t="str">
        <f>'Reported burning'!E3142</f>
        <v>Cropping, Intensive</v>
      </c>
      <c r="F3142" s="156" t="str">
        <f>'Reported burning'!F3142</f>
        <v>Cropland</v>
      </c>
      <c r="G3142" s="156" t="str">
        <f>'Reported burning'!G3142</f>
        <v>ND</v>
      </c>
      <c r="H3142" s="156" t="str">
        <f>'Reported burning'!H3142</f>
        <v>Absence</v>
      </c>
      <c r="I3142" s="5"/>
      <c r="J3142" s="21">
        <v>0</v>
      </c>
      <c r="K3142" s="21">
        <v>0</v>
      </c>
      <c r="L3142" s="21">
        <v>0</v>
      </c>
      <c r="M3142" s="21">
        <v>0</v>
      </c>
      <c r="N3142" s="21">
        <v>0</v>
      </c>
      <c r="O3142" s="21">
        <v>0</v>
      </c>
      <c r="P3142" s="21">
        <v>0</v>
      </c>
      <c r="Q3142" s="21">
        <v>0</v>
      </c>
      <c r="R3142" s="21">
        <v>0</v>
      </c>
      <c r="S3142" s="21">
        <v>0</v>
      </c>
      <c r="T3142" s="21">
        <v>0</v>
      </c>
      <c r="U3142" s="21">
        <v>0</v>
      </c>
      <c r="V3142" s="21">
        <v>0</v>
      </c>
      <c r="W3142" s="204" t="s">
        <v>2276</v>
      </c>
      <c r="X3142" s="204" t="s">
        <v>2276</v>
      </c>
      <c r="Y3142" s="204" t="s">
        <v>2276</v>
      </c>
      <c r="Z3142" s="204" t="s">
        <v>2276</v>
      </c>
      <c r="AA3142" s="204"/>
      <c r="AB3142" s="204"/>
    </row>
    <row r="3143" spans="1:28" ht="29" customHeight="1">
      <c r="A3143" s="152" t="str">
        <f>'Reported burning'!A3143</f>
        <v>340c</v>
      </c>
      <c r="B3143" s="152" t="str">
        <f>'Reported burning'!B3143</f>
        <v>340c.1</v>
      </c>
      <c r="C3143" s="152" t="str">
        <f>'Reported burning'!C3143</f>
        <v>Human, deliberate</v>
      </c>
      <c r="D3143" s="152" t="str">
        <f>'Reported burning'!D3143</f>
        <v>Crop residue burning</v>
      </c>
      <c r="E3143" s="152" t="str">
        <f>'Reported burning'!E3143</f>
        <v>Cropping, Intensive</v>
      </c>
      <c r="F3143" s="152" t="str">
        <f>'Reported burning'!F3143</f>
        <v>Cropland</v>
      </c>
      <c r="G3143" s="152" t="str">
        <f>'Reported burning'!G3143</f>
        <v>ND</v>
      </c>
      <c r="H3143" s="152" t="str">
        <f>'Reported burning'!H3143</f>
        <v>Presence</v>
      </c>
      <c r="I3143" s="204">
        <v>1992</v>
      </c>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1" t="s">
        <v>2375</v>
      </c>
      <c r="X3143" s="204" t="s">
        <v>38</v>
      </c>
      <c r="Y3143" s="204" t="s">
        <v>35</v>
      </c>
      <c r="Z3143" s="204" t="s">
        <v>76</v>
      </c>
      <c r="AA3143" s="204"/>
      <c r="AB3143" s="204"/>
    </row>
    <row r="3144" spans="1:28" ht="29" customHeight="1">
      <c r="A3144" s="152" t="str">
        <f>'Reported burning'!A3144</f>
        <v>340c</v>
      </c>
      <c r="B3144" s="152" t="str">
        <f>'Reported burning'!B3144</f>
        <v>340c.2</v>
      </c>
      <c r="C3144" s="152" t="str">
        <f>'Reported burning'!C3144</f>
        <v>Human, deliberate</v>
      </c>
      <c r="D3144" s="152" t="str">
        <f>'Reported burning'!D3144</f>
        <v>Crop residue burning</v>
      </c>
      <c r="E3144" s="152" t="str">
        <f>'Reported burning'!E3144</f>
        <v>Cropping, Intensive</v>
      </c>
      <c r="F3144" s="152" t="str">
        <f>'Reported burning'!F3144</f>
        <v>Cropland</v>
      </c>
      <c r="G3144" s="152" t="str">
        <f>'Reported burning'!G3144</f>
        <v>ND</v>
      </c>
      <c r="H3144" s="152" t="str">
        <f>'Reported burning'!H3144</f>
        <v>Presence</v>
      </c>
      <c r="I3144" s="204">
        <v>1993</v>
      </c>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1" t="s">
        <v>2375</v>
      </c>
      <c r="X3144" s="204" t="s">
        <v>38</v>
      </c>
      <c r="Y3144" s="204" t="s">
        <v>35</v>
      </c>
      <c r="Z3144" s="204" t="s">
        <v>76</v>
      </c>
      <c r="AA3144" s="204"/>
      <c r="AB3144" s="204"/>
    </row>
    <row r="3145" spans="1:28" ht="29" customHeight="1">
      <c r="A3145" s="152" t="str">
        <f>'Reported burning'!A3145</f>
        <v>340c</v>
      </c>
      <c r="B3145" s="152" t="str">
        <f>'Reported burning'!B3145</f>
        <v>340c.3</v>
      </c>
      <c r="C3145" s="152" t="str">
        <f>'Reported burning'!C3145</f>
        <v>Human, deliberate</v>
      </c>
      <c r="D3145" s="152" t="str">
        <f>'Reported burning'!D3145</f>
        <v>Crop residue burning</v>
      </c>
      <c r="E3145" s="152" t="str">
        <f>'Reported burning'!E3145</f>
        <v>Cropping, Intensive</v>
      </c>
      <c r="F3145" s="152" t="str">
        <f>'Reported burning'!F3145</f>
        <v>Cropland</v>
      </c>
      <c r="G3145" s="152" t="str">
        <f>'Reported burning'!G3145</f>
        <v>ND</v>
      </c>
      <c r="H3145" s="152" t="str">
        <f>'Reported burning'!H3145</f>
        <v>Presence</v>
      </c>
      <c r="I3145" s="204">
        <v>1994</v>
      </c>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1" t="s">
        <v>2375</v>
      </c>
      <c r="X3145" s="204" t="s">
        <v>38</v>
      </c>
      <c r="Y3145" s="204" t="s">
        <v>35</v>
      </c>
      <c r="Z3145" s="204" t="s">
        <v>76</v>
      </c>
      <c r="AA3145" s="204"/>
      <c r="AB3145" s="204"/>
    </row>
    <row r="3146" spans="1:28" ht="29" customHeight="1">
      <c r="A3146" s="152" t="str">
        <f>'Reported burning'!A3146</f>
        <v>340c</v>
      </c>
      <c r="B3146" s="152" t="str">
        <f>'Reported burning'!B3146</f>
        <v>340c.4</v>
      </c>
      <c r="C3146" s="152" t="str">
        <f>'Reported burning'!C3146</f>
        <v>Human, deliberate</v>
      </c>
      <c r="D3146" s="152" t="str">
        <f>'Reported burning'!D3146</f>
        <v>Crop residue burning</v>
      </c>
      <c r="E3146" s="152" t="str">
        <f>'Reported burning'!E3146</f>
        <v>Cropping, Intensive</v>
      </c>
      <c r="F3146" s="152" t="str">
        <f>'Reported burning'!F3146</f>
        <v>Cropland</v>
      </c>
      <c r="G3146" s="152" t="str">
        <f>'Reported burning'!G3146</f>
        <v>ND</v>
      </c>
      <c r="H3146" s="152" t="str">
        <f>'Reported burning'!H3146</f>
        <v>Presence</v>
      </c>
      <c r="I3146" s="204">
        <v>1995</v>
      </c>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1" t="s">
        <v>2375</v>
      </c>
      <c r="X3146" s="204" t="s">
        <v>38</v>
      </c>
      <c r="Y3146" s="204" t="s">
        <v>35</v>
      </c>
      <c r="Z3146" s="204" t="s">
        <v>76</v>
      </c>
      <c r="AA3146" s="204"/>
      <c r="AB3146" s="204"/>
    </row>
    <row r="3147" spans="1:28" ht="29" customHeight="1">
      <c r="A3147" s="152" t="str">
        <f>'Reported burning'!A3147</f>
        <v>340c</v>
      </c>
      <c r="B3147" s="152" t="str">
        <f>'Reported burning'!B3147</f>
        <v>340c.5</v>
      </c>
      <c r="C3147" s="152" t="str">
        <f>'Reported burning'!C3147</f>
        <v>Human, deliberate</v>
      </c>
      <c r="D3147" s="152" t="str">
        <f>'Reported burning'!D3147</f>
        <v>Crop residue burning</v>
      </c>
      <c r="E3147" s="152" t="str">
        <f>'Reported burning'!E3147</f>
        <v>Cropping, Intensive</v>
      </c>
      <c r="F3147" s="152" t="str">
        <f>'Reported burning'!F3147</f>
        <v>Cropland</v>
      </c>
      <c r="G3147" s="152" t="str">
        <f>'Reported burning'!G3147</f>
        <v>ND</v>
      </c>
      <c r="H3147" s="152" t="str">
        <f>'Reported burning'!H3147</f>
        <v>Presence</v>
      </c>
      <c r="I3147" s="204">
        <v>1996</v>
      </c>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1" t="s">
        <v>2375</v>
      </c>
      <c r="X3147" s="204" t="s">
        <v>38</v>
      </c>
      <c r="Y3147" s="204" t="s">
        <v>35</v>
      </c>
      <c r="Z3147" s="204" t="s">
        <v>76</v>
      </c>
      <c r="AA3147" s="204"/>
      <c r="AB3147" s="204"/>
    </row>
    <row r="3148" spans="1:28" ht="29" customHeight="1">
      <c r="A3148" s="156" t="str">
        <f>'Reported burning'!A3148</f>
        <v>340c</v>
      </c>
      <c r="B3148" s="156" t="str">
        <f>'Reported burning'!B3148</f>
        <v>340c.6</v>
      </c>
      <c r="C3148" s="156" t="str">
        <f>'Reported burning'!C3148</f>
        <v>Human, deliberate</v>
      </c>
      <c r="D3148" s="156" t="str">
        <f>'Reported burning'!D3148</f>
        <v>Crop residue burning</v>
      </c>
      <c r="E3148" s="156" t="str">
        <f>'Reported burning'!E3148</f>
        <v>Cropping, Intensive</v>
      </c>
      <c r="F3148" s="156" t="str">
        <f>'Reported burning'!F3148</f>
        <v>Cropland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04" t="s">
        <v>2276</v>
      </c>
      <c r="Z3148" s="204" t="s">
        <v>2276</v>
      </c>
      <c r="AA3148" s="204"/>
      <c r="AB3148" s="204"/>
    </row>
    <row r="3149" spans="1:28" ht="29" customHeight="1">
      <c r="A3149" s="156" t="str">
        <f>'Reported burning'!A3149</f>
        <v>340b</v>
      </c>
      <c r="B3149" s="156" t="str">
        <f>'Reported burning'!B3149</f>
        <v>340b.1</v>
      </c>
      <c r="C3149" s="156" t="str">
        <f>'Reported burning'!C3149</f>
        <v>Human, deliberate</v>
      </c>
      <c r="D3149" s="156" t="str">
        <f>'Reported burning'!D3149</f>
        <v>Crop residue burning</v>
      </c>
      <c r="E3149" s="156" t="str">
        <f>'Reported burning'!E3149</f>
        <v>Cropping, Intensive</v>
      </c>
      <c r="F3149" s="156" t="str">
        <f>'Reported burning'!F3149</f>
        <v>Cropland</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04" t="s">
        <v>2276</v>
      </c>
      <c r="Z3149" s="204" t="s">
        <v>2276</v>
      </c>
      <c r="AA3149" s="204"/>
      <c r="AB3149" s="204"/>
    </row>
    <row r="3150" spans="1:28" ht="29" customHeight="1">
      <c r="A3150" s="156" t="str">
        <f>'Reported burning'!A3150</f>
        <v>340d</v>
      </c>
      <c r="B3150" s="156" t="str">
        <f>'Reported burning'!B3150</f>
        <v>340d.1</v>
      </c>
      <c r="C3150" s="156" t="str">
        <f>'Reported burning'!C3150</f>
        <v>Human, deliberate</v>
      </c>
      <c r="D3150" s="156" t="str">
        <f>'Reported burning'!D3150</f>
        <v>Crop residue burning</v>
      </c>
      <c r="E3150" s="156" t="str">
        <f>'Reported burning'!E3150</f>
        <v>Cropping, Intensive</v>
      </c>
      <c r="F3150" s="156" t="str">
        <f>'Reported burning'!F3150</f>
        <v>Cropland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04" t="s">
        <v>2276</v>
      </c>
      <c r="Z3150" s="204" t="s">
        <v>2276</v>
      </c>
      <c r="AA3150" s="204"/>
      <c r="AB3150" s="204"/>
    </row>
    <row r="3151" spans="1:28" ht="33" customHeight="1">
      <c r="A3151" s="156" t="str">
        <f>'Reported burning'!A3151</f>
        <v>341a</v>
      </c>
      <c r="B3151" s="156" t="str">
        <f>'Reported burning'!B3151</f>
        <v>341a.1</v>
      </c>
      <c r="C3151" s="156" t="str">
        <f>'Reported burning'!C3151</f>
        <v>Human, deliberate</v>
      </c>
      <c r="D3151" s="156" t="str">
        <f>'Reported burning'!D3151</f>
        <v>Crop residue burning</v>
      </c>
      <c r="E3151" s="156" t="str">
        <f>'Reported burning'!E3151</f>
        <v>Cropping, Monoculture, Subsistence-oriented</v>
      </c>
      <c r="F3151" s="156" t="str">
        <f>'Reported burning'!F3151</f>
        <v>Cropland</v>
      </c>
      <c r="G3151" s="156" t="str">
        <f>'Reported burning'!G3151</f>
        <v>ND</v>
      </c>
      <c r="H3151" s="156" t="str">
        <f>'Reported burning'!H3151</f>
        <v>Presence</v>
      </c>
      <c r="I3151" s="5"/>
      <c r="J3151" s="204" t="s">
        <v>2276</v>
      </c>
      <c r="K3151" s="204" t="s">
        <v>2276</v>
      </c>
      <c r="L3151" s="204" t="s">
        <v>2276</v>
      </c>
      <c r="M3151" s="204" t="s">
        <v>2276</v>
      </c>
      <c r="N3151" s="204" t="s">
        <v>2276</v>
      </c>
      <c r="O3151" s="204" t="s">
        <v>2276</v>
      </c>
      <c r="P3151" s="204" t="s">
        <v>2276</v>
      </c>
      <c r="Q3151" s="204" t="s">
        <v>2276</v>
      </c>
      <c r="R3151" s="204" t="s">
        <v>2276</v>
      </c>
      <c r="S3151" s="204" t="s">
        <v>2276</v>
      </c>
      <c r="T3151" s="204" t="s">
        <v>2276</v>
      </c>
      <c r="U3151" s="204" t="s">
        <v>2276</v>
      </c>
      <c r="V3151" s="204" t="s">
        <v>2276</v>
      </c>
      <c r="W3151" s="21" t="s">
        <v>2375</v>
      </c>
      <c r="X3151" s="204" t="s">
        <v>399</v>
      </c>
      <c r="Y3151" s="204" t="s">
        <v>189</v>
      </c>
      <c r="Z3151" s="204" t="s">
        <v>2276</v>
      </c>
      <c r="AA3151" s="204"/>
      <c r="AB3151" s="204"/>
    </row>
    <row r="3152" spans="1:28" ht="33" customHeight="1">
      <c r="A3152" s="156" t="str">
        <f>'Reported burning'!A3152</f>
        <v>341a</v>
      </c>
      <c r="B3152" s="156" t="str">
        <f>'Reported burning'!B3152</f>
        <v>341a.2</v>
      </c>
      <c r="C3152" s="156" t="str">
        <f>'Reported burning'!C3152</f>
        <v>Human, deliberate</v>
      </c>
      <c r="D3152" s="156" t="str">
        <f>'Reported burning'!D3152</f>
        <v>Crop residue burning</v>
      </c>
      <c r="E3152" s="156" t="str">
        <f>'Reported burning'!E3152</f>
        <v>Cropping, Monoculture, Subsistence-oriented</v>
      </c>
      <c r="F3152" s="156" t="str">
        <f>'Reported burning'!F3152</f>
        <v>Cropland</v>
      </c>
      <c r="G3152" s="156" t="str">
        <f>'Reported burning'!G3152</f>
        <v>ND</v>
      </c>
      <c r="H3152" s="156" t="str">
        <f>'Reported burning'!H3152</f>
        <v>Presence</v>
      </c>
      <c r="I3152" s="5"/>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1" t="s">
        <v>2375</v>
      </c>
      <c r="X3152" s="204" t="s">
        <v>38</v>
      </c>
      <c r="Y3152" s="204" t="s">
        <v>86</v>
      </c>
      <c r="Z3152" s="204" t="s">
        <v>2276</v>
      </c>
      <c r="AA3152" s="204"/>
      <c r="AB3152" s="204"/>
    </row>
    <row r="3153" spans="1:28" ht="33" customHeight="1">
      <c r="A3153" s="156" t="str">
        <f>'Reported burning'!A3153</f>
        <v>341a</v>
      </c>
      <c r="B3153" s="156" t="str">
        <f>'Reported burning'!B3153</f>
        <v>341a.3</v>
      </c>
      <c r="C3153" s="156" t="str">
        <f>'Reported burning'!C3153</f>
        <v>Human, deliberate</v>
      </c>
      <c r="D3153" s="156" t="str">
        <f>'Reported burning'!D3153</f>
        <v>Vegetation management</v>
      </c>
      <c r="E3153" s="156" t="str">
        <f>'Reported burning'!E3153</f>
        <v>Cropping, Monoculture, Market-oriented</v>
      </c>
      <c r="F3153" s="156" t="str">
        <f>'Reported burning'!F3153</f>
        <v>Cropland</v>
      </c>
      <c r="G3153" s="156" t="str">
        <f>'Reported burning'!G3153</f>
        <v>ND</v>
      </c>
      <c r="H3153" s="156" t="str">
        <f>'Reported burning'!H3153</f>
        <v>Presence</v>
      </c>
      <c r="I3153" s="5"/>
      <c r="J3153" s="204" t="s">
        <v>2276</v>
      </c>
      <c r="K3153" s="204" t="s">
        <v>2276</v>
      </c>
      <c r="L3153" s="204" t="s">
        <v>2276</v>
      </c>
      <c r="M3153" s="204" t="s">
        <v>2276</v>
      </c>
      <c r="N3153" s="204" t="s">
        <v>2276</v>
      </c>
      <c r="O3153" s="204" t="s">
        <v>2276</v>
      </c>
      <c r="P3153" s="204" t="s">
        <v>2276</v>
      </c>
      <c r="Q3153" s="204" t="s">
        <v>2276</v>
      </c>
      <c r="R3153" s="204" t="s">
        <v>2276</v>
      </c>
      <c r="S3153" s="204" t="s">
        <v>2276</v>
      </c>
      <c r="T3153" s="204" t="s">
        <v>2276</v>
      </c>
      <c r="U3153" s="204" t="s">
        <v>2276</v>
      </c>
      <c r="V3153" s="204" t="s">
        <v>2276</v>
      </c>
      <c r="W3153" s="21" t="s">
        <v>2375</v>
      </c>
      <c r="X3153" s="204" t="s">
        <v>68</v>
      </c>
      <c r="Y3153" s="204" t="s">
        <v>127</v>
      </c>
      <c r="Z3153" s="204" t="s">
        <v>2276</v>
      </c>
      <c r="AA3153" s="204"/>
      <c r="AB3153" s="204"/>
    </row>
    <row r="3154" spans="1:28" ht="33" customHeight="1">
      <c r="A3154" s="156" t="str">
        <f>'Reported burning'!A3154</f>
        <v>341a</v>
      </c>
      <c r="B3154" s="156" t="str">
        <f>'Reported burning'!B3154</f>
        <v>341a.4</v>
      </c>
      <c r="C3154" s="156" t="str">
        <f>'Reported burning'!C3154</f>
        <v>Human, deliberate</v>
      </c>
      <c r="D3154" s="156" t="str">
        <f>'Reported burning'!D3154</f>
        <v>Vegetation management</v>
      </c>
      <c r="E3154" s="156" t="str">
        <f>'Reported burning'!E3154</f>
        <v>Cropping, Monoculture, Market-oriented</v>
      </c>
      <c r="F3154" s="156" t="str">
        <f>'Reported burning'!F3154</f>
        <v>Cropland</v>
      </c>
      <c r="G3154" s="156" t="str">
        <f>'Reported burning'!G3154</f>
        <v>ND</v>
      </c>
      <c r="H3154" s="156" t="str">
        <f>'Reported burning'!H3154</f>
        <v>Presence</v>
      </c>
      <c r="I3154" s="5"/>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1" t="s">
        <v>2375</v>
      </c>
      <c r="X3154" s="204" t="s">
        <v>399</v>
      </c>
      <c r="Y3154" s="204" t="s">
        <v>189</v>
      </c>
      <c r="Z3154" s="204" t="s">
        <v>2276</v>
      </c>
      <c r="AA3154" s="204"/>
      <c r="AB3154" s="204"/>
    </row>
    <row r="3155" spans="1:28" ht="33" customHeight="1">
      <c r="A3155" s="156" t="str">
        <f>'Reported burning'!A3155</f>
        <v>341a</v>
      </c>
      <c r="B3155" s="156" t="str">
        <f>'Reported burning'!B3155</f>
        <v>341a.5</v>
      </c>
      <c r="C3155" s="156" t="str">
        <f>'Reported burning'!C3155</f>
        <v>Human, deliberate</v>
      </c>
      <c r="D3155" s="156" t="str">
        <f>'Reported burning'!D3155</f>
        <v>Vegetation management</v>
      </c>
      <c r="E3155" s="156" t="str">
        <f>'Reported burning'!E3155</f>
        <v>Cropping, Monoculture, Market-oriented</v>
      </c>
      <c r="F3155" s="156" t="str">
        <f>'Reported burning'!F3155</f>
        <v>Cropland</v>
      </c>
      <c r="G3155" s="156" t="str">
        <f>'Reported burning'!G3155</f>
        <v>ND</v>
      </c>
      <c r="H3155" s="156" t="str">
        <f>'Reported burning'!H3155</f>
        <v>Presence</v>
      </c>
      <c r="I3155" s="5"/>
      <c r="J3155" s="204" t="s">
        <v>2276</v>
      </c>
      <c r="K3155" s="204" t="s">
        <v>2276</v>
      </c>
      <c r="L3155" s="204" t="s">
        <v>2276</v>
      </c>
      <c r="M3155" s="204" t="s">
        <v>2276</v>
      </c>
      <c r="N3155" s="204" t="s">
        <v>2276</v>
      </c>
      <c r="O3155" s="204" t="s">
        <v>2276</v>
      </c>
      <c r="P3155" s="204" t="s">
        <v>2276</v>
      </c>
      <c r="Q3155" s="204" t="s">
        <v>2276</v>
      </c>
      <c r="R3155" s="204" t="s">
        <v>2276</v>
      </c>
      <c r="S3155" s="204" t="s">
        <v>2276</v>
      </c>
      <c r="T3155" s="204" t="s">
        <v>2276</v>
      </c>
      <c r="U3155" s="204" t="s">
        <v>2276</v>
      </c>
      <c r="V3155" s="204" t="s">
        <v>2276</v>
      </c>
      <c r="W3155" s="21" t="s">
        <v>2375</v>
      </c>
      <c r="X3155" s="204" t="s">
        <v>38</v>
      </c>
      <c r="Y3155" s="204" t="s">
        <v>86</v>
      </c>
      <c r="Z3155" s="204" t="s">
        <v>2276</v>
      </c>
      <c r="AA3155" s="204"/>
      <c r="AB3155" s="204"/>
    </row>
    <row r="3156" spans="1:28" ht="33" customHeight="1">
      <c r="A3156" s="156" t="str">
        <f>'Reported burning'!A3156</f>
        <v>341a</v>
      </c>
      <c r="B3156" s="156" t="str">
        <f>'Reported burning'!B3156</f>
        <v>341a.6</v>
      </c>
      <c r="C3156" s="156" t="str">
        <f>'Reported burning'!C3156</f>
        <v>Human, deliberate</v>
      </c>
      <c r="D3156" s="156" t="str">
        <f>'Reported burning'!D3156</f>
        <v>Crop residue burning</v>
      </c>
      <c r="E3156" s="156" t="str">
        <f>'Reported burning'!E3156</f>
        <v>Cropping, Monoculture, Market-oriented</v>
      </c>
      <c r="F3156" s="156" t="str">
        <f>'Reported burning'!F3156</f>
        <v>Cropland</v>
      </c>
      <c r="G3156" s="156" t="str">
        <f>'Reported burning'!G3156</f>
        <v>ND</v>
      </c>
      <c r="H3156" s="156" t="str">
        <f>'Reported burning'!H3156</f>
        <v>Presence</v>
      </c>
      <c r="I3156" s="5"/>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1" t="s">
        <v>2375</v>
      </c>
      <c r="X3156" s="204" t="s">
        <v>68</v>
      </c>
      <c r="Y3156" s="204" t="s">
        <v>127</v>
      </c>
      <c r="Z3156" s="204" t="s">
        <v>2276</v>
      </c>
      <c r="AA3156" s="204"/>
      <c r="AB3156" s="204"/>
    </row>
    <row r="3157" spans="1:28" ht="33" customHeight="1">
      <c r="A3157" s="156" t="str">
        <f>'Reported burning'!A3157</f>
        <v>341a</v>
      </c>
      <c r="B3157" s="156" t="str">
        <f>'Reported burning'!B3157</f>
        <v>341a.7</v>
      </c>
      <c r="C3157" s="156" t="str">
        <f>'Reported burning'!C3157</f>
        <v>Human, deliberate</v>
      </c>
      <c r="D3157" s="156" t="str">
        <f>'Reported burning'!D3157</f>
        <v>Crop residue burning</v>
      </c>
      <c r="E3157" s="156" t="str">
        <f>'Reported burning'!E3157</f>
        <v>Cropping, Monoculture, Market-oriented</v>
      </c>
      <c r="F3157" s="156" t="str">
        <f>'Reported burning'!F3157</f>
        <v>Cropland</v>
      </c>
      <c r="G3157" s="156" t="str">
        <f>'Reported burning'!G3157</f>
        <v>ND</v>
      </c>
      <c r="H3157" s="156" t="str">
        <f>'Reported burning'!H3157</f>
        <v>Presence</v>
      </c>
      <c r="I3157" s="5"/>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1" t="s">
        <v>2375</v>
      </c>
      <c r="X3157" s="204" t="s">
        <v>399</v>
      </c>
      <c r="Y3157" s="204" t="s">
        <v>189</v>
      </c>
      <c r="Z3157" s="204" t="s">
        <v>2276</v>
      </c>
      <c r="AA3157" s="204"/>
      <c r="AB3157" s="204"/>
    </row>
    <row r="3158" spans="1:28" ht="33" customHeight="1">
      <c r="A3158" s="156" t="str">
        <f>'Reported burning'!A3158</f>
        <v>341a</v>
      </c>
      <c r="B3158" s="156" t="str">
        <f>'Reported burning'!B3158</f>
        <v>341a.8</v>
      </c>
      <c r="C3158" s="156" t="str">
        <f>'Reported burning'!C3158</f>
        <v>Human, deliberate</v>
      </c>
      <c r="D3158" s="156" t="str">
        <f>'Reported burning'!D3158</f>
        <v>Crop residue burning</v>
      </c>
      <c r="E3158" s="156" t="str">
        <f>'Reported burning'!E3158</f>
        <v>Cropping, Monoculture, Market-oriented</v>
      </c>
      <c r="F3158" s="156" t="str">
        <f>'Reported burning'!F3158</f>
        <v>Cropland</v>
      </c>
      <c r="G3158" s="156" t="str">
        <f>'Reported burning'!G3158</f>
        <v>ND</v>
      </c>
      <c r="H3158" s="156" t="str">
        <f>'Reported burning'!H3158</f>
        <v>Presence</v>
      </c>
      <c r="I3158" s="5"/>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1" t="s">
        <v>2375</v>
      </c>
      <c r="X3158" s="204" t="s">
        <v>38</v>
      </c>
      <c r="Y3158" s="204" t="s">
        <v>86</v>
      </c>
      <c r="Z3158" s="204" t="s">
        <v>2276</v>
      </c>
      <c r="AA3158" s="204"/>
      <c r="AB3158" s="204"/>
    </row>
    <row r="3159" spans="1:28" ht="33" customHeight="1">
      <c r="A3159" s="156" t="str">
        <f>'Reported burning'!A3159</f>
        <v>341b</v>
      </c>
      <c r="B3159" s="156" t="str">
        <f>'Reported burning'!B3159</f>
        <v>341b.1</v>
      </c>
      <c r="C3159" s="156" t="str">
        <f>'Reported burning'!C3159</f>
        <v>Human, deliberate</v>
      </c>
      <c r="D3159" s="156" t="str">
        <f>'Reported burning'!D3159</f>
        <v>Vegetation management</v>
      </c>
      <c r="E3159" s="156" t="str">
        <f>'Reported burning'!E3159</f>
        <v>Cropping, Monoculture, Subsistence-oriented</v>
      </c>
      <c r="F3159" s="156" t="str">
        <f>'Reported burning'!F3159</f>
        <v>Cropland</v>
      </c>
      <c r="G3159" s="156" t="str">
        <f>'Reported burning'!G3159</f>
        <v>ND</v>
      </c>
      <c r="H3159" s="156" t="str">
        <f>'Reported burning'!H3159</f>
        <v>Absence</v>
      </c>
      <c r="I3159" s="5"/>
      <c r="J3159" s="21">
        <v>0</v>
      </c>
      <c r="K3159" s="21">
        <v>0</v>
      </c>
      <c r="L3159" s="21">
        <v>0</v>
      </c>
      <c r="M3159" s="21">
        <v>0</v>
      </c>
      <c r="N3159" s="21">
        <v>0</v>
      </c>
      <c r="O3159" s="21">
        <v>0</v>
      </c>
      <c r="P3159" s="21">
        <v>0</v>
      </c>
      <c r="Q3159" s="21">
        <v>0</v>
      </c>
      <c r="R3159" s="21">
        <v>0</v>
      </c>
      <c r="S3159" s="21">
        <v>0</v>
      </c>
      <c r="T3159" s="21">
        <v>0</v>
      </c>
      <c r="U3159" s="21">
        <v>0</v>
      </c>
      <c r="V3159" s="21">
        <v>0</v>
      </c>
      <c r="W3159" s="204" t="s">
        <v>2276</v>
      </c>
      <c r="X3159" s="204" t="s">
        <v>2276</v>
      </c>
      <c r="Y3159" s="204" t="s">
        <v>2276</v>
      </c>
      <c r="Z3159" s="204" t="s">
        <v>2276</v>
      </c>
      <c r="AA3159" s="204"/>
      <c r="AB3159" s="204"/>
    </row>
    <row r="3160" spans="1:28" ht="34.5" customHeight="1">
      <c r="A3160" s="156" t="str">
        <f>'Reported burning'!A3160</f>
        <v>342a</v>
      </c>
      <c r="B3160" s="156" t="str">
        <f>'Reported burning'!B3160</f>
        <v>342a.1</v>
      </c>
      <c r="C3160" s="156" t="str">
        <f>'Reported burning'!C3160</f>
        <v>Human, deliberate</v>
      </c>
      <c r="D3160" s="156" t="str">
        <f>'Reported burning'!D3160</f>
        <v>Crop residue burning</v>
      </c>
      <c r="E3160" s="156" t="str">
        <f>'Reported burning'!E3160</f>
        <v>Cropping, Monoculture, Market-oriented</v>
      </c>
      <c r="F3160" s="156" t="str">
        <f>'Reported burning'!F3160</f>
        <v>Cropland</v>
      </c>
      <c r="G3160" s="156" t="str">
        <f>'Reported burning'!G3160</f>
        <v>ND</v>
      </c>
      <c r="H3160" s="156" t="str">
        <f>'Reported burning'!H3160</f>
        <v>Presence</v>
      </c>
      <c r="I3160" s="5"/>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04" t="s">
        <v>2276</v>
      </c>
      <c r="X3160" s="204" t="s">
        <v>188</v>
      </c>
      <c r="Y3160" s="204" t="s">
        <v>86</v>
      </c>
      <c r="Z3160" s="204" t="s">
        <v>2276</v>
      </c>
      <c r="AA3160" s="204"/>
      <c r="AB3160" s="204"/>
    </row>
    <row r="3161" spans="1:28" ht="32.5" customHeight="1">
      <c r="A3161" s="156" t="str">
        <f>'Reported burning'!A3161</f>
        <v>343a</v>
      </c>
      <c r="B3161" s="156" t="str">
        <f>'Reported burning'!B3161</f>
        <v>343a.1</v>
      </c>
      <c r="C3161" s="156" t="str">
        <f>'Reported burning'!C3161</f>
        <v>Human, deliberate</v>
      </c>
      <c r="D3161" s="156" t="str">
        <f>'Reported burning'!D3161</f>
        <v>Vegetation management</v>
      </c>
      <c r="E3161" s="156" t="str">
        <f>'Reported burning'!E3161</f>
        <v>Cropping, Monoculture, Market-oriented</v>
      </c>
      <c r="F3161" s="156" t="str">
        <f>'Reported burning'!F3161</f>
        <v>Cropland</v>
      </c>
      <c r="G3161" s="156" t="str">
        <f>'Reported burning'!G3161</f>
        <v>ND</v>
      </c>
      <c r="H3161" s="156" t="str">
        <f>'Reported burning'!H3161</f>
        <v>Presence</v>
      </c>
      <c r="I3161" s="5"/>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04" t="s">
        <v>2276</v>
      </c>
      <c r="W3161" s="204" t="s">
        <v>2276</v>
      </c>
      <c r="X3161" s="204" t="s">
        <v>2276</v>
      </c>
      <c r="Y3161" s="204" t="s">
        <v>2276</v>
      </c>
      <c r="Z3161" s="204" t="s">
        <v>2276</v>
      </c>
      <c r="AA3161" s="204"/>
      <c r="AB3161" s="204"/>
    </row>
    <row r="3162" spans="1:28" ht="32.5" customHeight="1">
      <c r="A3162" s="156" t="str">
        <f>'Reported burning'!A3162</f>
        <v>344a</v>
      </c>
      <c r="B3162" s="156" t="str">
        <f>'Reported burning'!B3162</f>
        <v>344a.1</v>
      </c>
      <c r="C3162" s="156" t="str">
        <f>'Reported burning'!C3162</f>
        <v>Human, deliberate</v>
      </c>
      <c r="D3162" s="156" t="str">
        <f>'Reported burning'!D3162</f>
        <v>Vegetation management</v>
      </c>
      <c r="E3162" s="156" t="str">
        <f>'Reported burning'!E3162</f>
        <v>Cropping, Monoculture, Market-oriented</v>
      </c>
      <c r="F3162" s="156" t="str">
        <f>'Reported burning'!F3162</f>
        <v>Cropland</v>
      </c>
      <c r="G3162" s="156" t="str">
        <f>'Reported burning'!G3162</f>
        <v>ND</v>
      </c>
      <c r="H3162" s="156" t="str">
        <f>'Reported burning'!H3162</f>
        <v>Presence</v>
      </c>
      <c r="I3162" s="5"/>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04" t="s">
        <v>2276</v>
      </c>
      <c r="W3162" s="204" t="s">
        <v>2276</v>
      </c>
      <c r="X3162" s="204" t="s">
        <v>2276</v>
      </c>
      <c r="Y3162" s="204" t="s">
        <v>2276</v>
      </c>
      <c r="Z3162" s="204" t="s">
        <v>2276</v>
      </c>
      <c r="AA3162" s="204"/>
      <c r="AB3162" s="204"/>
    </row>
    <row r="3163" spans="1:28" ht="32.5" customHeight="1">
      <c r="A3163" s="156" t="str">
        <f>'Reported burning'!A3163</f>
        <v>344c</v>
      </c>
      <c r="B3163" s="156" t="str">
        <f>'Reported burning'!B3163</f>
        <v>344c.1</v>
      </c>
      <c r="C3163" s="156" t="str">
        <f>'Reported burning'!C3163</f>
        <v>Human, deliberate</v>
      </c>
      <c r="D3163" s="156" t="str">
        <f>'Reported burning'!D3163</f>
        <v>Vegetation management</v>
      </c>
      <c r="E3163" s="156" t="str">
        <f>'Reported burning'!E3163</f>
        <v>Cropping, Monoculture, Market-oriented</v>
      </c>
      <c r="F3163" s="156" t="str">
        <f>'Reported burning'!F3163</f>
        <v>Cropland</v>
      </c>
      <c r="G3163" s="156" t="str">
        <f>'Reported burning'!G3163</f>
        <v>ND</v>
      </c>
      <c r="H3163" s="156" t="str">
        <f>'Reported burning'!H3163</f>
        <v>Presence</v>
      </c>
      <c r="I3163" s="5"/>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04" t="s">
        <v>2276</v>
      </c>
      <c r="W3163" s="204" t="s">
        <v>2276</v>
      </c>
      <c r="X3163" s="204" t="s">
        <v>2276</v>
      </c>
      <c r="Y3163" s="204" t="s">
        <v>2276</v>
      </c>
      <c r="Z3163" s="204" t="s">
        <v>2276</v>
      </c>
      <c r="AA3163" s="204"/>
      <c r="AB3163" s="204"/>
    </row>
    <row r="3164" spans="1:28" ht="32.5" customHeight="1">
      <c r="A3164" s="156" t="str">
        <f>'Reported burning'!A3164</f>
        <v>344d</v>
      </c>
      <c r="B3164" s="156" t="str">
        <f>'Reported burning'!B3164</f>
        <v>344d.1</v>
      </c>
      <c r="C3164" s="156" t="str">
        <f>'Reported burning'!C3164</f>
        <v>Human, deliberate</v>
      </c>
      <c r="D3164" s="156" t="str">
        <f>'Reported burning'!D3164</f>
        <v>Vegetation management</v>
      </c>
      <c r="E3164" s="156" t="str">
        <f>'Reported burning'!E3164</f>
        <v>Cropping, Monoculture, Market-oriented</v>
      </c>
      <c r="F3164" s="156" t="str">
        <f>'Reported burning'!F3164</f>
        <v>Cropland</v>
      </c>
      <c r="G3164" s="156" t="str">
        <f>'Reported burning'!G3164</f>
        <v>ND</v>
      </c>
      <c r="H3164" s="156" t="str">
        <f>'Reported burning'!H3164</f>
        <v>Presence</v>
      </c>
      <c r="I3164" s="5"/>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04" t="s">
        <v>2276</v>
      </c>
      <c r="W3164" s="204" t="s">
        <v>2276</v>
      </c>
      <c r="X3164" s="204" t="s">
        <v>2276</v>
      </c>
      <c r="Y3164" s="204" t="s">
        <v>2276</v>
      </c>
      <c r="Z3164" s="204" t="s">
        <v>2276</v>
      </c>
      <c r="AA3164" s="204"/>
      <c r="AB3164" s="204"/>
    </row>
    <row r="3165" spans="1:28" ht="32.5" customHeight="1">
      <c r="A3165" s="156" t="str">
        <f>'Reported burning'!A3165</f>
        <v>344e</v>
      </c>
      <c r="B3165" s="156" t="str">
        <f>'Reported burning'!B3165</f>
        <v>344e.1</v>
      </c>
      <c r="C3165" s="156" t="str">
        <f>'Reported burning'!C3165</f>
        <v>Human, deliberate</v>
      </c>
      <c r="D3165" s="156" t="str">
        <f>'Reported burning'!D3165</f>
        <v>Vegetation management</v>
      </c>
      <c r="E3165" s="156" t="str">
        <f>'Reported burning'!E3165</f>
        <v>Cropping, Monoculture, Market-oriented</v>
      </c>
      <c r="F3165" s="156" t="str">
        <f>'Reported burning'!F3165</f>
        <v>Cropland</v>
      </c>
      <c r="G3165" s="156" t="str">
        <f>'Reported burning'!G3165</f>
        <v>ND</v>
      </c>
      <c r="H3165" s="156" t="str">
        <f>'Reported burning'!H3165</f>
        <v>Presence</v>
      </c>
      <c r="I3165" s="5"/>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04" t="s">
        <v>2276</v>
      </c>
      <c r="W3165" s="204" t="s">
        <v>2276</v>
      </c>
      <c r="X3165" s="204" t="s">
        <v>2276</v>
      </c>
      <c r="Y3165" s="204" t="s">
        <v>2276</v>
      </c>
      <c r="Z3165" s="204" t="s">
        <v>2276</v>
      </c>
      <c r="AA3165" s="204"/>
      <c r="AB3165" s="204"/>
    </row>
    <row r="3166" spans="1:28" ht="32.5" customHeight="1">
      <c r="A3166" s="156" t="str">
        <f>'Reported burning'!A3166</f>
        <v>344f</v>
      </c>
      <c r="B3166" s="156" t="str">
        <f>'Reported burning'!B3166</f>
        <v>344f.1</v>
      </c>
      <c r="C3166" s="156" t="str">
        <f>'Reported burning'!C3166</f>
        <v>Human, deliberate</v>
      </c>
      <c r="D3166" s="156" t="str">
        <f>'Reported burning'!D3166</f>
        <v>Vegetation management</v>
      </c>
      <c r="E3166" s="156" t="str">
        <f>'Reported burning'!E3166</f>
        <v>Cropping, Monoculture, Market-oriented</v>
      </c>
      <c r="F3166" s="156" t="str">
        <f>'Reported burning'!F3166</f>
        <v>Cropland</v>
      </c>
      <c r="G3166" s="156" t="str">
        <f>'Reported burning'!G3166</f>
        <v>ND</v>
      </c>
      <c r="H3166" s="156" t="str">
        <f>'Reported burning'!H3166</f>
        <v>Presence</v>
      </c>
      <c r="I3166" s="5"/>
      <c r="J3166" s="204" t="s">
        <v>2276</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04" t="s">
        <v>2276</v>
      </c>
      <c r="X3166" s="204" t="s">
        <v>2276</v>
      </c>
      <c r="Y3166" s="204" t="s">
        <v>2276</v>
      </c>
      <c r="Z3166" s="204" t="s">
        <v>2276</v>
      </c>
      <c r="AA3166" s="204"/>
      <c r="AB3166" s="204"/>
    </row>
    <row r="3167" spans="1:28" ht="32.5" customHeight="1">
      <c r="A3167" s="156" t="str">
        <f>'Reported burning'!A3167</f>
        <v>344g</v>
      </c>
      <c r="B3167" s="156" t="str">
        <f>'Reported burning'!B3167</f>
        <v>344g.1</v>
      </c>
      <c r="C3167" s="156" t="str">
        <f>'Reported burning'!C3167</f>
        <v>Human, deliberate</v>
      </c>
      <c r="D3167" s="156" t="str">
        <f>'Reported burning'!D3167</f>
        <v>Vegetation management</v>
      </c>
      <c r="E3167" s="156" t="str">
        <f>'Reported burning'!E3167</f>
        <v>Cropping, Monoculture, Market-oriented</v>
      </c>
      <c r="F3167" s="156" t="str">
        <f>'Reported burning'!F3167</f>
        <v>Cropland</v>
      </c>
      <c r="G3167" s="156" t="str">
        <f>'Reported burning'!G3167</f>
        <v>ND</v>
      </c>
      <c r="H3167" s="156" t="str">
        <f>'Reported burning'!H3167</f>
        <v>Presence</v>
      </c>
      <c r="I3167" s="5"/>
      <c r="J3167" s="204" t="s">
        <v>2276</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04" t="s">
        <v>2276</v>
      </c>
      <c r="X3167" s="204" t="s">
        <v>2276</v>
      </c>
      <c r="Y3167" s="204" t="s">
        <v>2276</v>
      </c>
      <c r="Z3167" s="204" t="s">
        <v>2276</v>
      </c>
      <c r="AA3167" s="204"/>
      <c r="AB3167" s="204"/>
    </row>
    <row r="3168" spans="1:28" ht="32.5" customHeight="1">
      <c r="A3168" s="156" t="str">
        <f>'Reported burning'!A3168</f>
        <v>344h</v>
      </c>
      <c r="B3168" s="156" t="str">
        <f>'Reported burning'!B3168</f>
        <v>344h.1</v>
      </c>
      <c r="C3168" s="156" t="str">
        <f>'Reported burning'!C3168</f>
        <v>Human, deliberate</v>
      </c>
      <c r="D3168" s="156" t="str">
        <f>'Reported burning'!D3168</f>
        <v>Vegetation management</v>
      </c>
      <c r="E3168" s="156" t="str">
        <f>'Reported burning'!E3168</f>
        <v>Cropping, Monoculture, Market-oriented</v>
      </c>
      <c r="F3168" s="156" t="str">
        <f>'Reported burning'!F3168</f>
        <v>Cropland</v>
      </c>
      <c r="G3168" s="156" t="str">
        <f>'Reported burning'!G3168</f>
        <v>ND</v>
      </c>
      <c r="H3168" s="156" t="str">
        <f>'Reported burning'!H3168</f>
        <v>Presence</v>
      </c>
      <c r="I3168" s="5"/>
      <c r="J3168" s="204" t="s">
        <v>2276</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04" t="s">
        <v>2276</v>
      </c>
      <c r="X3168" s="204" t="s">
        <v>2276</v>
      </c>
      <c r="Y3168" s="204" t="s">
        <v>2276</v>
      </c>
      <c r="Z3168" s="204" t="s">
        <v>2276</v>
      </c>
      <c r="AA3168" s="204"/>
      <c r="AB3168" s="204"/>
    </row>
    <row r="3169" spans="1:28" ht="32.5" customHeight="1">
      <c r="A3169" s="156" t="str">
        <f>'Reported burning'!A3169</f>
        <v>344i</v>
      </c>
      <c r="B3169" s="156" t="str">
        <f>'Reported burning'!B3169</f>
        <v>344i.1</v>
      </c>
      <c r="C3169" s="156" t="str">
        <f>'Reported burning'!C3169</f>
        <v>Human, deliberate</v>
      </c>
      <c r="D3169" s="156" t="str">
        <f>'Reported burning'!D3169</f>
        <v>Vegetation management</v>
      </c>
      <c r="E3169" s="156" t="str">
        <f>'Reported burning'!E3169</f>
        <v>Cropping, Monoculture, Market-oriented</v>
      </c>
      <c r="F3169" s="156" t="str">
        <f>'Reported burning'!F3169</f>
        <v>Cropland</v>
      </c>
      <c r="G3169" s="156" t="str">
        <f>'Reported burning'!G3169</f>
        <v>ND</v>
      </c>
      <c r="H3169" s="156" t="str">
        <f>'Reported burning'!H3169</f>
        <v>Presence</v>
      </c>
      <c r="I3169" s="5"/>
      <c r="J3169" s="204" t="s">
        <v>2276</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04" t="s">
        <v>2276</v>
      </c>
      <c r="X3169" s="204" t="s">
        <v>2276</v>
      </c>
      <c r="Y3169" s="204" t="s">
        <v>2276</v>
      </c>
      <c r="Z3169" s="204" t="s">
        <v>2276</v>
      </c>
      <c r="AA3169" s="204"/>
      <c r="AB3169" s="204"/>
    </row>
    <row r="3170" spans="1:28" ht="32.5" customHeight="1">
      <c r="A3170" s="156" t="str">
        <f>'Reported burning'!A3170</f>
        <v>344k</v>
      </c>
      <c r="B3170" s="156" t="str">
        <f>'Reported burning'!B3170</f>
        <v>344k.1</v>
      </c>
      <c r="C3170" s="156" t="str">
        <f>'Reported burning'!C3170</f>
        <v>Human, deliberate</v>
      </c>
      <c r="D3170" s="156" t="str">
        <f>'Reported burning'!D3170</f>
        <v>Vegetation management</v>
      </c>
      <c r="E3170" s="156" t="str">
        <f>'Reported burning'!E3170</f>
        <v>Cropping, Monoculture, Market-oriented</v>
      </c>
      <c r="F3170" s="156" t="str">
        <f>'Reported burning'!F3170</f>
        <v>Cropland</v>
      </c>
      <c r="G3170" s="156" t="str">
        <f>'Reported burning'!G3170</f>
        <v>ND</v>
      </c>
      <c r="H3170" s="156" t="str">
        <f>'Reported burning'!H3170</f>
        <v>Presence</v>
      </c>
      <c r="I3170" s="5"/>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2276</v>
      </c>
      <c r="AA3170" s="204"/>
      <c r="AB3170" s="204"/>
    </row>
    <row r="3171" spans="1:28" ht="32.5" customHeight="1">
      <c r="A3171" s="156" t="str">
        <f>'Reported burning'!A3171</f>
        <v>344l</v>
      </c>
      <c r="B3171" s="156" t="str">
        <f>'Reported burning'!B3171</f>
        <v>344l.1</v>
      </c>
      <c r="C3171" s="156" t="str">
        <f>'Reported burning'!C3171</f>
        <v>Human, deliberate</v>
      </c>
      <c r="D3171" s="156" t="str">
        <f>'Reported burning'!D3171</f>
        <v>Vegetation management</v>
      </c>
      <c r="E3171" s="156" t="str">
        <f>'Reported burning'!E3171</f>
        <v>Cropping, Monoculture, Market-oriented</v>
      </c>
      <c r="F3171" s="156" t="str">
        <f>'Reported burning'!F3171</f>
        <v>Cropland</v>
      </c>
      <c r="G3171" s="156" t="str">
        <f>'Reported burning'!G3171</f>
        <v>ND</v>
      </c>
      <c r="H3171" s="156" t="str">
        <f>'Reported burning'!H3171</f>
        <v>Presence</v>
      </c>
      <c r="I3171" s="5"/>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2276</v>
      </c>
      <c r="AA3171" s="204"/>
      <c r="AB3171" s="204"/>
    </row>
    <row r="3172" spans="1:28" ht="32.5" customHeight="1">
      <c r="A3172" s="156" t="str">
        <f>'Reported burning'!A3172</f>
        <v>344o</v>
      </c>
      <c r="B3172" s="156" t="str">
        <f>'Reported burning'!B3172</f>
        <v>344o.1</v>
      </c>
      <c r="C3172" s="156" t="str">
        <f>'Reported burning'!C3172</f>
        <v>Human, deliberate</v>
      </c>
      <c r="D3172" s="156" t="str">
        <f>'Reported burning'!D3172</f>
        <v>Vegetation management</v>
      </c>
      <c r="E3172" s="156" t="str">
        <f>'Reported burning'!E3172</f>
        <v>Cropping, Monoculture, Market-oriented</v>
      </c>
      <c r="F3172" s="156" t="str">
        <f>'Reported burning'!F3172</f>
        <v>Cropland</v>
      </c>
      <c r="G3172" s="156" t="str">
        <f>'Reported burning'!G3172</f>
        <v>ND</v>
      </c>
      <c r="H3172" s="156" t="str">
        <f>'Reported burning'!H3172</f>
        <v>Presence</v>
      </c>
      <c r="I3172" s="5"/>
      <c r="J3172" s="204" t="s">
        <v>2276</v>
      </c>
      <c r="K3172" s="204" t="s">
        <v>2276</v>
      </c>
      <c r="L3172" s="204" t="s">
        <v>2276</v>
      </c>
      <c r="M3172" s="204" t="s">
        <v>2276</v>
      </c>
      <c r="N3172" s="204" t="s">
        <v>2276</v>
      </c>
      <c r="O3172" s="204" t="s">
        <v>2276</v>
      </c>
      <c r="P3172" s="204" t="s">
        <v>2276</v>
      </c>
      <c r="Q3172" s="204" t="s">
        <v>2276</v>
      </c>
      <c r="R3172" s="204" t="s">
        <v>2276</v>
      </c>
      <c r="S3172" s="204" t="s">
        <v>2276</v>
      </c>
      <c r="T3172" s="204" t="s">
        <v>2276</v>
      </c>
      <c r="U3172" s="204" t="s">
        <v>2276</v>
      </c>
      <c r="V3172" s="204" t="s">
        <v>2276</v>
      </c>
      <c r="W3172" s="204" t="s">
        <v>2276</v>
      </c>
      <c r="X3172" s="204" t="s">
        <v>2276</v>
      </c>
      <c r="Y3172" s="204" t="s">
        <v>2276</v>
      </c>
      <c r="Z3172" s="204" t="s">
        <v>2276</v>
      </c>
      <c r="AA3172" s="204"/>
      <c r="AB3172" s="204"/>
    </row>
    <row r="3173" spans="1:28" ht="32.5" customHeight="1">
      <c r="A3173" s="156" t="str">
        <f>'Reported burning'!A3173</f>
        <v>344a</v>
      </c>
      <c r="B3173" s="156" t="str">
        <f>'Reported burning'!B3173</f>
        <v>344a.2</v>
      </c>
      <c r="C3173" s="156" t="str">
        <f>'Reported burning'!C3173</f>
        <v>Human, deliberate</v>
      </c>
      <c r="D3173" s="156" t="str">
        <f>'Reported burning'!D3173</f>
        <v>Vegetation management</v>
      </c>
      <c r="E3173" s="156" t="str">
        <f>'Reported burning'!E3173</f>
        <v>Cropping, Intensive</v>
      </c>
      <c r="F3173" s="156" t="str">
        <f>'Reported burning'!F3173</f>
        <v>Cropland</v>
      </c>
      <c r="G3173" s="156" t="str">
        <f>'Reported burning'!G3173</f>
        <v>ND</v>
      </c>
      <c r="H3173" s="156" t="str">
        <f>'Reported burning'!H3173</f>
        <v>Absence</v>
      </c>
      <c r="I3173" s="5"/>
      <c r="J3173" s="21">
        <v>0</v>
      </c>
      <c r="K3173" s="21">
        <v>0</v>
      </c>
      <c r="L3173" s="21">
        <v>0</v>
      </c>
      <c r="M3173" s="21">
        <v>0</v>
      </c>
      <c r="N3173" s="21">
        <v>0</v>
      </c>
      <c r="O3173" s="21">
        <v>0</v>
      </c>
      <c r="P3173" s="21">
        <v>0</v>
      </c>
      <c r="Q3173" s="21">
        <v>0</v>
      </c>
      <c r="R3173" s="21">
        <v>0</v>
      </c>
      <c r="S3173" s="21">
        <v>0</v>
      </c>
      <c r="T3173" s="21">
        <v>0</v>
      </c>
      <c r="U3173" s="21">
        <v>0</v>
      </c>
      <c r="V3173" s="21">
        <v>0</v>
      </c>
      <c r="W3173" s="204" t="s">
        <v>2276</v>
      </c>
      <c r="X3173" s="204" t="s">
        <v>2276</v>
      </c>
      <c r="Y3173" s="204" t="s">
        <v>2276</v>
      </c>
      <c r="Z3173" s="204" t="s">
        <v>2276</v>
      </c>
      <c r="AA3173" s="204"/>
      <c r="AB3173" s="204"/>
    </row>
    <row r="3174" spans="1:28" ht="32.5" customHeight="1">
      <c r="A3174" s="156" t="str">
        <f>'Reported burning'!A3174</f>
        <v>344c</v>
      </c>
      <c r="B3174" s="156" t="str">
        <f>'Reported burning'!B3174</f>
        <v>344c.2</v>
      </c>
      <c r="C3174" s="156" t="str">
        <f>'Reported burning'!C3174</f>
        <v>Human, deliberate</v>
      </c>
      <c r="D3174" s="156" t="str">
        <f>'Reported burning'!D3174</f>
        <v>Vegetation management</v>
      </c>
      <c r="E3174" s="156" t="str">
        <f>'Reported burning'!E3174</f>
        <v>Cropping, Intensive</v>
      </c>
      <c r="F3174" s="156" t="str">
        <f>'Reported burning'!F3174</f>
        <v>Cropland</v>
      </c>
      <c r="G3174" s="156" t="str">
        <f>'Reported burning'!G3174</f>
        <v>ND</v>
      </c>
      <c r="H3174" s="156" t="str">
        <f>'Reported burning'!H3174</f>
        <v>Absence</v>
      </c>
      <c r="I3174" s="5"/>
      <c r="J3174" s="21">
        <v>0</v>
      </c>
      <c r="K3174" s="21">
        <v>0</v>
      </c>
      <c r="L3174" s="21">
        <v>0</v>
      </c>
      <c r="M3174" s="21">
        <v>0</v>
      </c>
      <c r="N3174" s="21">
        <v>0</v>
      </c>
      <c r="O3174" s="21">
        <v>0</v>
      </c>
      <c r="P3174" s="21">
        <v>0</v>
      </c>
      <c r="Q3174" s="21">
        <v>0</v>
      </c>
      <c r="R3174" s="21">
        <v>0</v>
      </c>
      <c r="S3174" s="21">
        <v>0</v>
      </c>
      <c r="T3174" s="21">
        <v>0</v>
      </c>
      <c r="U3174" s="21">
        <v>0</v>
      </c>
      <c r="V3174" s="21">
        <v>0</v>
      </c>
      <c r="W3174" s="204" t="s">
        <v>2276</v>
      </c>
      <c r="X3174" s="204" t="s">
        <v>2276</v>
      </c>
      <c r="Y3174" s="204" t="s">
        <v>2276</v>
      </c>
      <c r="Z3174" s="204" t="s">
        <v>2276</v>
      </c>
      <c r="AA3174" s="204"/>
      <c r="AB3174" s="204"/>
    </row>
    <row r="3175" spans="1:28" ht="32.5" customHeight="1">
      <c r="A3175" s="156" t="str">
        <f>'Reported burning'!A3175</f>
        <v>344d</v>
      </c>
      <c r="B3175" s="156" t="str">
        <f>'Reported burning'!B3175</f>
        <v>344d.2</v>
      </c>
      <c r="C3175" s="156" t="str">
        <f>'Reported burning'!C3175</f>
        <v>Human, deliberate</v>
      </c>
      <c r="D3175" s="156" t="str">
        <f>'Reported burning'!D3175</f>
        <v>Vegetation management</v>
      </c>
      <c r="E3175" s="156" t="str">
        <f>'Reported burning'!E3175</f>
        <v>Cropping, Intensive</v>
      </c>
      <c r="F3175" s="156" t="str">
        <f>'Reported burning'!F3175</f>
        <v>Cropland</v>
      </c>
      <c r="G3175" s="156" t="str">
        <f>'Reported burning'!G3175</f>
        <v>ND</v>
      </c>
      <c r="H3175" s="156" t="str">
        <f>'Reported burning'!H3175</f>
        <v>Absence</v>
      </c>
      <c r="I3175" s="5"/>
      <c r="J3175" s="21">
        <v>0</v>
      </c>
      <c r="K3175" s="21">
        <v>0</v>
      </c>
      <c r="L3175" s="21">
        <v>0</v>
      </c>
      <c r="M3175" s="21">
        <v>0</v>
      </c>
      <c r="N3175" s="21">
        <v>0</v>
      </c>
      <c r="O3175" s="21">
        <v>0</v>
      </c>
      <c r="P3175" s="21">
        <v>0</v>
      </c>
      <c r="Q3175" s="21">
        <v>0</v>
      </c>
      <c r="R3175" s="21">
        <v>0</v>
      </c>
      <c r="S3175" s="21">
        <v>0</v>
      </c>
      <c r="T3175" s="21">
        <v>0</v>
      </c>
      <c r="U3175" s="21">
        <v>0</v>
      </c>
      <c r="V3175" s="21">
        <v>0</v>
      </c>
      <c r="W3175" s="204" t="s">
        <v>2276</v>
      </c>
      <c r="X3175" s="204" t="s">
        <v>2276</v>
      </c>
      <c r="Y3175" s="204" t="s">
        <v>2276</v>
      </c>
      <c r="Z3175" s="204" t="s">
        <v>2276</v>
      </c>
      <c r="AA3175" s="204"/>
      <c r="AB3175" s="204"/>
    </row>
    <row r="3176" spans="1:28" ht="32.5" customHeight="1">
      <c r="A3176" s="156" t="str">
        <f>'Reported burning'!A3176</f>
        <v>344e</v>
      </c>
      <c r="B3176" s="156" t="str">
        <f>'Reported burning'!B3176</f>
        <v>344e.2</v>
      </c>
      <c r="C3176" s="156" t="str">
        <f>'Reported burning'!C3176</f>
        <v>Human, deliberate</v>
      </c>
      <c r="D3176" s="156" t="str">
        <f>'Reported burning'!D3176</f>
        <v>Vegetation management</v>
      </c>
      <c r="E3176" s="156" t="str">
        <f>'Reported burning'!E3176</f>
        <v>Cropping, Intensive</v>
      </c>
      <c r="F3176" s="156" t="str">
        <f>'Reported burning'!F3176</f>
        <v>Cropland</v>
      </c>
      <c r="G3176" s="156" t="str">
        <f>'Reported burning'!G3176</f>
        <v>ND</v>
      </c>
      <c r="H3176" s="156" t="str">
        <f>'Reported burning'!H3176</f>
        <v>Absence</v>
      </c>
      <c r="I3176" s="5"/>
      <c r="J3176" s="21">
        <v>0</v>
      </c>
      <c r="K3176" s="21">
        <v>0</v>
      </c>
      <c r="L3176" s="21">
        <v>0</v>
      </c>
      <c r="M3176" s="21">
        <v>0</v>
      </c>
      <c r="N3176" s="21">
        <v>0</v>
      </c>
      <c r="O3176" s="21">
        <v>0</v>
      </c>
      <c r="P3176" s="21">
        <v>0</v>
      </c>
      <c r="Q3176" s="21">
        <v>0</v>
      </c>
      <c r="R3176" s="21">
        <v>0</v>
      </c>
      <c r="S3176" s="21">
        <v>0</v>
      </c>
      <c r="T3176" s="21">
        <v>0</v>
      </c>
      <c r="U3176" s="21">
        <v>0</v>
      </c>
      <c r="V3176" s="21">
        <v>0</v>
      </c>
      <c r="W3176" s="204" t="s">
        <v>2276</v>
      </c>
      <c r="X3176" s="204" t="s">
        <v>2276</v>
      </c>
      <c r="Y3176" s="204" t="s">
        <v>2276</v>
      </c>
      <c r="Z3176" s="204" t="s">
        <v>2276</v>
      </c>
      <c r="AA3176" s="204"/>
      <c r="AB3176" s="204"/>
    </row>
    <row r="3177" spans="1:28" ht="32.5" customHeight="1">
      <c r="A3177" s="156" t="str">
        <f>'Reported burning'!A3177</f>
        <v>344f</v>
      </c>
      <c r="B3177" s="156" t="str">
        <f>'Reported burning'!B3177</f>
        <v>344f.2</v>
      </c>
      <c r="C3177" s="156" t="str">
        <f>'Reported burning'!C3177</f>
        <v>Human, deliberate</v>
      </c>
      <c r="D3177" s="156" t="str">
        <f>'Reported burning'!D3177</f>
        <v>Vegetation management</v>
      </c>
      <c r="E3177" s="156" t="str">
        <f>'Reported burning'!E3177</f>
        <v>Cropping, Intensive</v>
      </c>
      <c r="F3177" s="156" t="str">
        <f>'Reported burning'!F3177</f>
        <v>Cropland</v>
      </c>
      <c r="G3177" s="156" t="str">
        <f>'Reported burning'!G3177</f>
        <v>ND</v>
      </c>
      <c r="H3177" s="156" t="str">
        <f>'Reported burning'!H3177</f>
        <v>Absence</v>
      </c>
      <c r="I3177" s="5"/>
      <c r="J3177" s="21">
        <v>0</v>
      </c>
      <c r="K3177" s="21">
        <v>0</v>
      </c>
      <c r="L3177" s="21">
        <v>0</v>
      </c>
      <c r="M3177" s="21">
        <v>0</v>
      </c>
      <c r="N3177" s="21">
        <v>0</v>
      </c>
      <c r="O3177" s="21">
        <v>0</v>
      </c>
      <c r="P3177" s="21">
        <v>0</v>
      </c>
      <c r="Q3177" s="21">
        <v>0</v>
      </c>
      <c r="R3177" s="21">
        <v>0</v>
      </c>
      <c r="S3177" s="21">
        <v>0</v>
      </c>
      <c r="T3177" s="21">
        <v>0</v>
      </c>
      <c r="U3177" s="21">
        <v>0</v>
      </c>
      <c r="V3177" s="21">
        <v>0</v>
      </c>
      <c r="W3177" s="204" t="s">
        <v>2276</v>
      </c>
      <c r="X3177" s="204" t="s">
        <v>2276</v>
      </c>
      <c r="Y3177" s="204" t="s">
        <v>2276</v>
      </c>
      <c r="Z3177" s="204" t="s">
        <v>2276</v>
      </c>
      <c r="AA3177" s="204"/>
      <c r="AB3177" s="204"/>
    </row>
    <row r="3178" spans="1:28" ht="32.5" customHeight="1">
      <c r="A3178" s="156" t="str">
        <f>'Reported burning'!A3178</f>
        <v>344g</v>
      </c>
      <c r="B3178" s="156" t="str">
        <f>'Reported burning'!B3178</f>
        <v>344g.2</v>
      </c>
      <c r="C3178" s="156" t="str">
        <f>'Reported burning'!C3178</f>
        <v>Human, deliberate</v>
      </c>
      <c r="D3178" s="156" t="str">
        <f>'Reported burning'!D3178</f>
        <v>Vegetation management</v>
      </c>
      <c r="E3178" s="156" t="str">
        <f>'Reported burning'!E3178</f>
        <v>Cropping, Intensive</v>
      </c>
      <c r="F3178" s="156" t="str">
        <f>'Reported burning'!F3178</f>
        <v>Cropland</v>
      </c>
      <c r="G3178" s="156" t="str">
        <f>'Reported burning'!G3178</f>
        <v>ND</v>
      </c>
      <c r="H3178" s="156" t="str">
        <f>'Reported burning'!H3178</f>
        <v>Absence</v>
      </c>
      <c r="I3178" s="5"/>
      <c r="J3178" s="21">
        <v>0</v>
      </c>
      <c r="K3178" s="21">
        <v>0</v>
      </c>
      <c r="L3178" s="21">
        <v>0</v>
      </c>
      <c r="M3178" s="21">
        <v>0</v>
      </c>
      <c r="N3178" s="21">
        <v>0</v>
      </c>
      <c r="O3178" s="21">
        <v>0</v>
      </c>
      <c r="P3178" s="21">
        <v>0</v>
      </c>
      <c r="Q3178" s="21">
        <v>0</v>
      </c>
      <c r="R3178" s="21">
        <v>0</v>
      </c>
      <c r="S3178" s="21">
        <v>0</v>
      </c>
      <c r="T3178" s="21">
        <v>0</v>
      </c>
      <c r="U3178" s="21">
        <v>0</v>
      </c>
      <c r="V3178" s="21">
        <v>0</v>
      </c>
      <c r="W3178" s="204" t="s">
        <v>2276</v>
      </c>
      <c r="X3178" s="204" t="s">
        <v>2276</v>
      </c>
      <c r="Y3178" s="204" t="s">
        <v>2276</v>
      </c>
      <c r="Z3178" s="204" t="s">
        <v>2276</v>
      </c>
      <c r="AA3178" s="204"/>
      <c r="AB3178" s="204"/>
    </row>
    <row r="3179" spans="1:28" ht="32.5" customHeight="1">
      <c r="A3179" s="156" t="str">
        <f>'Reported burning'!A3179</f>
        <v>344h</v>
      </c>
      <c r="B3179" s="156" t="str">
        <f>'Reported burning'!B3179</f>
        <v>344h.2</v>
      </c>
      <c r="C3179" s="156" t="str">
        <f>'Reported burning'!C3179</f>
        <v>Human, deliberate</v>
      </c>
      <c r="D3179" s="156" t="str">
        <f>'Reported burning'!D3179</f>
        <v>Vegetation management</v>
      </c>
      <c r="E3179" s="156" t="str">
        <f>'Reported burning'!E3179</f>
        <v>Cropping, Intensive</v>
      </c>
      <c r="F3179" s="156" t="str">
        <f>'Reported burning'!F3179</f>
        <v>Cropland</v>
      </c>
      <c r="G3179" s="156" t="str">
        <f>'Reported burning'!G3179</f>
        <v>ND</v>
      </c>
      <c r="H3179" s="156" t="str">
        <f>'Reported burning'!H3179</f>
        <v>Absence</v>
      </c>
      <c r="I3179" s="5"/>
      <c r="J3179" s="21">
        <v>0</v>
      </c>
      <c r="K3179" s="21">
        <v>0</v>
      </c>
      <c r="L3179" s="21">
        <v>0</v>
      </c>
      <c r="M3179" s="21">
        <v>0</v>
      </c>
      <c r="N3179" s="21">
        <v>0</v>
      </c>
      <c r="O3179" s="21">
        <v>0</v>
      </c>
      <c r="P3179" s="21">
        <v>0</v>
      </c>
      <c r="Q3179" s="21">
        <v>0</v>
      </c>
      <c r="R3179" s="21">
        <v>0</v>
      </c>
      <c r="S3179" s="21">
        <v>0</v>
      </c>
      <c r="T3179" s="21">
        <v>0</v>
      </c>
      <c r="U3179" s="21">
        <v>0</v>
      </c>
      <c r="V3179" s="21">
        <v>0</v>
      </c>
      <c r="W3179" s="204" t="s">
        <v>2276</v>
      </c>
      <c r="X3179" s="204" t="s">
        <v>2276</v>
      </c>
      <c r="Y3179" s="204" t="s">
        <v>2276</v>
      </c>
      <c r="Z3179" s="204" t="s">
        <v>2276</v>
      </c>
      <c r="AA3179" s="204"/>
      <c r="AB3179" s="204"/>
    </row>
    <row r="3180" spans="1:28" ht="32.5" customHeight="1">
      <c r="A3180" s="156" t="str">
        <f>'Reported burning'!A3180</f>
        <v>344i</v>
      </c>
      <c r="B3180" s="156" t="str">
        <f>'Reported burning'!B3180</f>
        <v>344i.2</v>
      </c>
      <c r="C3180" s="156" t="str">
        <f>'Reported burning'!C3180</f>
        <v>Human, deliberate</v>
      </c>
      <c r="D3180" s="156" t="str">
        <f>'Reported burning'!D3180</f>
        <v>Vegetation management</v>
      </c>
      <c r="E3180" s="156" t="str">
        <f>'Reported burning'!E3180</f>
        <v>Cropping, Intensive</v>
      </c>
      <c r="F3180" s="156" t="str">
        <f>'Reported burning'!F3180</f>
        <v>Cropland</v>
      </c>
      <c r="G3180" s="156" t="str">
        <f>'Reported burning'!G3180</f>
        <v>ND</v>
      </c>
      <c r="H3180" s="156" t="str">
        <f>'Reported burning'!H3180</f>
        <v>Absence</v>
      </c>
      <c r="I3180" s="5"/>
      <c r="J3180" s="21">
        <v>0</v>
      </c>
      <c r="K3180" s="21">
        <v>0</v>
      </c>
      <c r="L3180" s="21">
        <v>0</v>
      </c>
      <c r="M3180" s="21">
        <v>0</v>
      </c>
      <c r="N3180" s="21">
        <v>0</v>
      </c>
      <c r="O3180" s="21">
        <v>0</v>
      </c>
      <c r="P3180" s="21">
        <v>0</v>
      </c>
      <c r="Q3180" s="21">
        <v>0</v>
      </c>
      <c r="R3180" s="21">
        <v>0</v>
      </c>
      <c r="S3180" s="21">
        <v>0</v>
      </c>
      <c r="T3180" s="21">
        <v>0</v>
      </c>
      <c r="U3180" s="21">
        <v>0</v>
      </c>
      <c r="V3180" s="21">
        <v>0</v>
      </c>
      <c r="W3180" s="204" t="s">
        <v>2276</v>
      </c>
      <c r="X3180" s="204" t="s">
        <v>2276</v>
      </c>
      <c r="Y3180" s="204" t="s">
        <v>2276</v>
      </c>
      <c r="Z3180" s="204" t="s">
        <v>2276</v>
      </c>
      <c r="AA3180" s="204"/>
      <c r="AB3180" s="204"/>
    </row>
    <row r="3181" spans="1:28" ht="32.5" customHeight="1">
      <c r="A3181" s="156" t="str">
        <f>'Reported burning'!A3181</f>
        <v>344k</v>
      </c>
      <c r="B3181" s="156" t="str">
        <f>'Reported burning'!B3181</f>
        <v>344k.2</v>
      </c>
      <c r="C3181" s="156" t="str">
        <f>'Reported burning'!C3181</f>
        <v>Human, deliberate</v>
      </c>
      <c r="D3181" s="156" t="str">
        <f>'Reported burning'!D3181</f>
        <v>Vegetation management</v>
      </c>
      <c r="E3181" s="156" t="str">
        <f>'Reported burning'!E3181</f>
        <v>Cropping, Intensive</v>
      </c>
      <c r="F3181" s="156" t="str">
        <f>'Reported burning'!F3181</f>
        <v>Cropland</v>
      </c>
      <c r="G3181" s="156" t="str">
        <f>'Reported burning'!G3181</f>
        <v>ND</v>
      </c>
      <c r="H3181" s="156" t="str">
        <f>'Reported burning'!H3181</f>
        <v>Absence</v>
      </c>
      <c r="I3181" s="5"/>
      <c r="J3181" s="21">
        <v>0</v>
      </c>
      <c r="K3181" s="21">
        <v>0</v>
      </c>
      <c r="L3181" s="21">
        <v>0</v>
      </c>
      <c r="M3181" s="21">
        <v>0</v>
      </c>
      <c r="N3181" s="21">
        <v>0</v>
      </c>
      <c r="O3181" s="21">
        <v>0</v>
      </c>
      <c r="P3181" s="21">
        <v>0</v>
      </c>
      <c r="Q3181" s="21">
        <v>0</v>
      </c>
      <c r="R3181" s="21">
        <v>0</v>
      </c>
      <c r="S3181" s="21">
        <v>0</v>
      </c>
      <c r="T3181" s="21">
        <v>0</v>
      </c>
      <c r="U3181" s="21">
        <v>0</v>
      </c>
      <c r="V3181" s="21">
        <v>0</v>
      </c>
      <c r="W3181" s="204" t="s">
        <v>2276</v>
      </c>
      <c r="X3181" s="204" t="s">
        <v>2276</v>
      </c>
      <c r="Y3181" s="204" t="s">
        <v>2276</v>
      </c>
      <c r="Z3181" s="204" t="s">
        <v>2276</v>
      </c>
      <c r="AA3181" s="204"/>
      <c r="AB3181" s="204"/>
    </row>
    <row r="3182" spans="1:28" ht="32.5" customHeight="1">
      <c r="A3182" s="156" t="str">
        <f>'Reported burning'!A3182</f>
        <v>344l</v>
      </c>
      <c r="B3182" s="156" t="str">
        <f>'Reported burning'!B3182</f>
        <v>344l.2</v>
      </c>
      <c r="C3182" s="156" t="str">
        <f>'Reported burning'!C3182</f>
        <v>Human, deliberate</v>
      </c>
      <c r="D3182" s="156" t="str">
        <f>'Reported burning'!D3182</f>
        <v>Vegetation management</v>
      </c>
      <c r="E3182" s="156" t="str">
        <f>'Reported burning'!E3182</f>
        <v>Cropping, Intensive</v>
      </c>
      <c r="F3182" s="156" t="str">
        <f>'Reported burning'!F3182</f>
        <v>Cropland</v>
      </c>
      <c r="G3182" s="156" t="str">
        <f>'Reported burning'!G3182</f>
        <v>ND</v>
      </c>
      <c r="H3182" s="156" t="str">
        <f>'Reported burning'!H3182</f>
        <v>Absence</v>
      </c>
      <c r="I3182" s="5"/>
      <c r="J3182" s="21">
        <v>0</v>
      </c>
      <c r="K3182" s="21">
        <v>0</v>
      </c>
      <c r="L3182" s="21">
        <v>0</v>
      </c>
      <c r="M3182" s="21">
        <v>0</v>
      </c>
      <c r="N3182" s="21">
        <v>0</v>
      </c>
      <c r="O3182" s="21">
        <v>0</v>
      </c>
      <c r="P3182" s="21">
        <v>0</v>
      </c>
      <c r="Q3182" s="21">
        <v>0</v>
      </c>
      <c r="R3182" s="21">
        <v>0</v>
      </c>
      <c r="S3182" s="21">
        <v>0</v>
      </c>
      <c r="T3182" s="21">
        <v>0</v>
      </c>
      <c r="U3182" s="21">
        <v>0</v>
      </c>
      <c r="V3182" s="21">
        <v>0</v>
      </c>
      <c r="W3182" s="204" t="s">
        <v>2276</v>
      </c>
      <c r="X3182" s="204" t="s">
        <v>2276</v>
      </c>
      <c r="Y3182" s="204" t="s">
        <v>2276</v>
      </c>
      <c r="Z3182" s="204" t="s">
        <v>2276</v>
      </c>
      <c r="AA3182" s="204"/>
      <c r="AB3182" s="204"/>
    </row>
    <row r="3183" spans="1:28" ht="32.5" customHeight="1">
      <c r="A3183" s="156" t="str">
        <f>'Reported burning'!A3183</f>
        <v>344o</v>
      </c>
      <c r="B3183" s="156" t="str">
        <f>'Reported burning'!B3183</f>
        <v>344o.2</v>
      </c>
      <c r="C3183" s="156" t="str">
        <f>'Reported burning'!C3183</f>
        <v>Human, deliberate</v>
      </c>
      <c r="D3183" s="156" t="str">
        <f>'Reported burning'!D3183</f>
        <v>Vegetation management</v>
      </c>
      <c r="E3183" s="156" t="str">
        <f>'Reported burning'!E3183</f>
        <v>Cropping, Intensive</v>
      </c>
      <c r="F3183" s="156" t="str">
        <f>'Reported burning'!F3183</f>
        <v>Cropland</v>
      </c>
      <c r="G3183" s="156" t="str">
        <f>'Reported burning'!G3183</f>
        <v>ND</v>
      </c>
      <c r="H3183" s="156"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04" t="s">
        <v>2276</v>
      </c>
      <c r="X3183" s="204" t="s">
        <v>2276</v>
      </c>
      <c r="Y3183" s="204" t="s">
        <v>2276</v>
      </c>
      <c r="Z3183" s="204" t="s">
        <v>2276</v>
      </c>
      <c r="AA3183" s="204"/>
      <c r="AB3183" s="204"/>
    </row>
    <row r="3184" spans="1:28" ht="32.5" customHeight="1">
      <c r="A3184" s="156" t="str">
        <f>'Reported burning'!A3184</f>
        <v>344o</v>
      </c>
      <c r="B3184" s="156" t="str">
        <f>'Reported burning'!B3184</f>
        <v>344o.1</v>
      </c>
      <c r="C3184" s="156" t="str">
        <f>'Reported burning'!C3184</f>
        <v>Human, deliberate</v>
      </c>
      <c r="D3184" s="156" t="str">
        <f>'Reported burning'!D3184</f>
        <v>Vegetation management</v>
      </c>
      <c r="E3184" s="156" t="str">
        <f>'Reported burning'!E3184</f>
        <v>Cropping, Monoculture, Market-oriented</v>
      </c>
      <c r="F3184" s="156" t="str">
        <f>'Reported burning'!F3184</f>
        <v>Cropland</v>
      </c>
      <c r="G3184" s="156" t="str">
        <f>'Reported burning'!G3184</f>
        <v>ND</v>
      </c>
      <c r="H3184" s="156" t="str">
        <f>'Reported burning'!H3184</f>
        <v>Presence</v>
      </c>
      <c r="I3184" s="5"/>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04" t="s">
        <v>2276</v>
      </c>
      <c r="X3184" s="204" t="s">
        <v>2276</v>
      </c>
      <c r="Y3184" s="204" t="s">
        <v>2276</v>
      </c>
      <c r="Z3184" s="204" t="s">
        <v>2276</v>
      </c>
      <c r="AA3184" s="204"/>
      <c r="AB3184" s="204"/>
    </row>
    <row r="3185" spans="1:28" ht="32.5" customHeight="1">
      <c r="A3185" s="156" t="str">
        <f>'Reported burning'!A3185</f>
        <v>344o</v>
      </c>
      <c r="B3185" s="156" t="str">
        <f>'Reported burning'!B3185</f>
        <v>344o.2</v>
      </c>
      <c r="C3185" s="156" t="str">
        <f>'Reported burning'!C3185</f>
        <v>Human, deliberate</v>
      </c>
      <c r="D3185" s="156" t="str">
        <f>'Reported burning'!D3185</f>
        <v>Vegetation management</v>
      </c>
      <c r="E3185" s="156" t="str">
        <f>'Reported burning'!E3185</f>
        <v>Cropping, Intensive</v>
      </c>
      <c r="F3185" s="156" t="str">
        <f>'Reported burning'!F3185</f>
        <v>Cropland</v>
      </c>
      <c r="G3185" s="156" t="str">
        <f>'Reported burning'!G3185</f>
        <v>ND</v>
      </c>
      <c r="H3185" s="156"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04" t="s">
        <v>2276</v>
      </c>
      <c r="X3185" s="204" t="s">
        <v>2276</v>
      </c>
      <c r="Y3185" s="204" t="s">
        <v>2276</v>
      </c>
      <c r="Z3185" s="204" t="s">
        <v>2276</v>
      </c>
      <c r="AA3185" s="204"/>
      <c r="AB3185" s="204"/>
    </row>
    <row r="3186" spans="1:28" ht="32.5" customHeight="1">
      <c r="A3186" s="156" t="str">
        <f>'Reported burning'!A3186</f>
        <v>345a</v>
      </c>
      <c r="B3186" s="156" t="str">
        <f>'Reported burning'!B3186</f>
        <v>345a.1</v>
      </c>
      <c r="C3186" s="156" t="str">
        <f>'Reported burning'!C3186</f>
        <v>Human, deliberate</v>
      </c>
      <c r="D3186" s="156" t="str">
        <f>'Reported burning'!D3186</f>
        <v>Crop residue burning</v>
      </c>
      <c r="E3186" s="156" t="str">
        <f>'Reported burning'!E3186</f>
        <v>Cropping, Monoculture, Subsistence-oriented</v>
      </c>
      <c r="F3186" s="156" t="str">
        <f>'Reported burning'!F3186</f>
        <v>Cropland</v>
      </c>
      <c r="G3186" s="156" t="str">
        <f>'Reported burning'!G3186</f>
        <v>ND</v>
      </c>
      <c r="H3186" s="156" t="str">
        <f>'Reported burning'!H3186</f>
        <v>Presence</v>
      </c>
      <c r="I3186" s="5"/>
      <c r="J3186" s="204" t="s">
        <v>2276</v>
      </c>
      <c r="K3186" s="204" t="s">
        <v>2276</v>
      </c>
      <c r="L3186" s="204" t="s">
        <v>2276</v>
      </c>
      <c r="M3186" s="204" t="s">
        <v>2276</v>
      </c>
      <c r="N3186" s="204" t="s">
        <v>2276</v>
      </c>
      <c r="O3186" s="204" t="s">
        <v>2276</v>
      </c>
      <c r="P3186" s="204" t="s">
        <v>2276</v>
      </c>
      <c r="Q3186" s="204" t="s">
        <v>2276</v>
      </c>
      <c r="R3186" s="204" t="s">
        <v>2276</v>
      </c>
      <c r="S3186" s="204" t="s">
        <v>2276</v>
      </c>
      <c r="T3186" s="204" t="s">
        <v>2276</v>
      </c>
      <c r="U3186" s="204" t="s">
        <v>2276</v>
      </c>
      <c r="V3186" s="204" t="s">
        <v>2276</v>
      </c>
      <c r="W3186" s="204" t="s">
        <v>2276</v>
      </c>
      <c r="X3186" s="204" t="s">
        <v>2276</v>
      </c>
      <c r="Y3186" s="204" t="s">
        <v>2276</v>
      </c>
      <c r="Z3186" s="204" t="s">
        <v>2276</v>
      </c>
      <c r="AA3186" s="204"/>
      <c r="AB3186" s="204"/>
    </row>
    <row r="3187" spans="1:28" ht="32.5" customHeight="1">
      <c r="A3187" s="156" t="str">
        <f>'Reported burning'!A3187</f>
        <v>345a</v>
      </c>
      <c r="B3187" s="156" t="str">
        <f>'Reported burning'!B3187</f>
        <v>345a.2</v>
      </c>
      <c r="C3187" s="156" t="str">
        <f>'Reported burning'!C3187</f>
        <v>Human, deliberate</v>
      </c>
      <c r="D3187" s="156" t="str">
        <f>'Reported burning'!D3187</f>
        <v>Crop residue burning</v>
      </c>
      <c r="E3187" s="156" t="str">
        <f>'Reported burning'!E3187</f>
        <v>Cropping, Monoculture, Market-oriented</v>
      </c>
      <c r="F3187" s="156" t="str">
        <f>'Reported burning'!F3187</f>
        <v>Cropland</v>
      </c>
      <c r="G3187" s="156" t="str">
        <f>'Reported burning'!G3187</f>
        <v>ND</v>
      </c>
      <c r="H3187" s="156" t="str">
        <f>'Reported burning'!H3187</f>
        <v>Presence</v>
      </c>
      <c r="I3187" s="5"/>
      <c r="J3187" s="204" t="s">
        <v>2276</v>
      </c>
      <c r="K3187" s="204" t="s">
        <v>2276</v>
      </c>
      <c r="L3187" s="204" t="s">
        <v>2276</v>
      </c>
      <c r="M3187" s="204" t="s">
        <v>2276</v>
      </c>
      <c r="N3187" s="204" t="s">
        <v>2276</v>
      </c>
      <c r="O3187" s="204" t="s">
        <v>2276</v>
      </c>
      <c r="P3187" s="204" t="s">
        <v>2276</v>
      </c>
      <c r="Q3187" s="204" t="s">
        <v>2276</v>
      </c>
      <c r="R3187" s="204" t="s">
        <v>2276</v>
      </c>
      <c r="S3187" s="204" t="s">
        <v>2276</v>
      </c>
      <c r="T3187" s="204" t="s">
        <v>2276</v>
      </c>
      <c r="U3187" s="204" t="s">
        <v>2276</v>
      </c>
      <c r="V3187" s="204" t="s">
        <v>2276</v>
      </c>
      <c r="W3187" s="204" t="s">
        <v>2276</v>
      </c>
      <c r="X3187" s="204" t="s">
        <v>2276</v>
      </c>
      <c r="Y3187" s="204" t="s">
        <v>2276</v>
      </c>
      <c r="Z3187" s="204" t="s">
        <v>2276</v>
      </c>
      <c r="AA3187" s="204"/>
      <c r="AB3187" s="204"/>
    </row>
    <row r="3188" spans="1:28" ht="39" customHeight="1">
      <c r="A3188" s="156" t="str">
        <f>'Reported burning'!A3188</f>
        <v>345b</v>
      </c>
      <c r="B3188" s="156" t="str">
        <f>'Reported burning'!B3188</f>
        <v>345b.1</v>
      </c>
      <c r="C3188" s="156" t="str">
        <f>'Reported burning'!C3188</f>
        <v>Human, deliberate</v>
      </c>
      <c r="D3188" s="156" t="str">
        <f>'Reported burning'!D3188</f>
        <v>Crop residue burning</v>
      </c>
      <c r="E3188" s="156" t="str">
        <f>'Reported burning'!E3188</f>
        <v>Cropping, Monoculture, Market-oriented</v>
      </c>
      <c r="F3188" s="156" t="str">
        <f>'Reported burning'!F3188</f>
        <v>Cropland</v>
      </c>
      <c r="G3188" s="156" t="str">
        <f>'Reported burning'!G3188</f>
        <v>ND</v>
      </c>
      <c r="H3188" s="156" t="str">
        <f>'Reported burning'!H3188</f>
        <v>Absence</v>
      </c>
      <c r="I3188" s="5"/>
      <c r="J3188" s="21">
        <v>0</v>
      </c>
      <c r="K3188" s="21">
        <v>0</v>
      </c>
      <c r="L3188" s="21">
        <v>0</v>
      </c>
      <c r="M3188" s="21">
        <v>0</v>
      </c>
      <c r="N3188" s="21">
        <v>0</v>
      </c>
      <c r="O3188" s="21">
        <v>0</v>
      </c>
      <c r="P3188" s="21">
        <v>0</v>
      </c>
      <c r="Q3188" s="21">
        <v>0</v>
      </c>
      <c r="R3188" s="21">
        <v>0</v>
      </c>
      <c r="S3188" s="21">
        <v>0</v>
      </c>
      <c r="T3188" s="21">
        <v>0</v>
      </c>
      <c r="U3188" s="21">
        <v>0</v>
      </c>
      <c r="V3188" s="21">
        <v>0</v>
      </c>
      <c r="W3188" s="204" t="s">
        <v>2276</v>
      </c>
      <c r="X3188" s="204" t="s">
        <v>2276</v>
      </c>
      <c r="Y3188" s="204" t="s">
        <v>2276</v>
      </c>
      <c r="Z3188" s="204" t="s">
        <v>2276</v>
      </c>
      <c r="AA3188" s="204"/>
      <c r="AB3188" s="204"/>
    </row>
    <row r="3189" spans="1:28" ht="39" customHeight="1">
      <c r="A3189" s="156" t="str">
        <f>'Reported burning'!A3189</f>
        <v>345b</v>
      </c>
      <c r="B3189" s="156" t="str">
        <f>'Reported burning'!B3189</f>
        <v>345b.2</v>
      </c>
      <c r="C3189" s="156" t="str">
        <f>'Reported burning'!C3189</f>
        <v>Human, deliberate</v>
      </c>
      <c r="D3189" s="156" t="str">
        <f>'Reported burning'!D3189</f>
        <v>Crop residue burning</v>
      </c>
      <c r="E3189" s="156" t="str">
        <f>'Reported burning'!E3189</f>
        <v>Cropping, Intensive</v>
      </c>
      <c r="F3189" s="156" t="str">
        <f>'Reported burning'!F3189</f>
        <v>Cropland</v>
      </c>
      <c r="G3189" s="156" t="str">
        <f>'Reported burning'!G3189</f>
        <v>ND</v>
      </c>
      <c r="H3189" s="156" t="str">
        <f>'Reported burning'!H3189</f>
        <v>Absence</v>
      </c>
      <c r="I3189" s="5"/>
      <c r="J3189" s="21">
        <v>0</v>
      </c>
      <c r="K3189" s="21">
        <v>0</v>
      </c>
      <c r="L3189" s="21">
        <v>0</v>
      </c>
      <c r="M3189" s="21">
        <v>0</v>
      </c>
      <c r="N3189" s="21">
        <v>0</v>
      </c>
      <c r="O3189" s="21">
        <v>0</v>
      </c>
      <c r="P3189" s="21">
        <v>0</v>
      </c>
      <c r="Q3189" s="21">
        <v>0</v>
      </c>
      <c r="R3189" s="21">
        <v>0</v>
      </c>
      <c r="S3189" s="21">
        <v>0</v>
      </c>
      <c r="T3189" s="21">
        <v>0</v>
      </c>
      <c r="U3189" s="21">
        <v>0</v>
      </c>
      <c r="V3189" s="21">
        <v>0</v>
      </c>
      <c r="W3189" s="204" t="s">
        <v>2276</v>
      </c>
      <c r="X3189" s="204" t="s">
        <v>2276</v>
      </c>
      <c r="Y3189" s="204" t="s">
        <v>2276</v>
      </c>
      <c r="Z3189" s="204" t="s">
        <v>2276</v>
      </c>
      <c r="AA3189" s="204"/>
      <c r="AB3189" s="204"/>
    </row>
    <row r="3190" spans="1:28" ht="29.5" customHeight="1">
      <c r="A3190" s="156" t="str">
        <f>'Reported burning'!A3190</f>
        <v>345d</v>
      </c>
      <c r="B3190" s="156" t="str">
        <f>'Reported burning'!B3190</f>
        <v>345d.1</v>
      </c>
      <c r="C3190" s="156" t="str">
        <f>'Reported burning'!C3190</f>
        <v>Human, deliberate</v>
      </c>
      <c r="D3190" s="156" t="str">
        <f>'Reported burning'!D3190</f>
        <v>Crop residue burning</v>
      </c>
      <c r="E3190" s="156" t="str">
        <f>'Reported burning'!E3190</f>
        <v>Cropping, Intensive</v>
      </c>
      <c r="F3190" s="156" t="str">
        <f>'Reported burning'!F3190</f>
        <v>Cropland</v>
      </c>
      <c r="G3190" s="156" t="str">
        <f>'Reported burning'!G3190</f>
        <v>ND</v>
      </c>
      <c r="H3190" s="156" t="str">
        <f>'Reported burning'!H3190</f>
        <v>Absence</v>
      </c>
      <c r="I3190" s="5"/>
      <c r="J3190" s="21">
        <v>0</v>
      </c>
      <c r="K3190" s="21">
        <v>0</v>
      </c>
      <c r="L3190" s="21">
        <v>0</v>
      </c>
      <c r="M3190" s="21">
        <v>0</v>
      </c>
      <c r="N3190" s="21">
        <v>0</v>
      </c>
      <c r="O3190" s="21">
        <v>0</v>
      </c>
      <c r="P3190" s="21">
        <v>0</v>
      </c>
      <c r="Q3190" s="21">
        <v>0</v>
      </c>
      <c r="R3190" s="21">
        <v>0</v>
      </c>
      <c r="S3190" s="21">
        <v>0</v>
      </c>
      <c r="T3190" s="21">
        <v>0</v>
      </c>
      <c r="U3190" s="21">
        <v>0</v>
      </c>
      <c r="V3190" s="21">
        <v>0</v>
      </c>
      <c r="W3190" s="204" t="s">
        <v>2276</v>
      </c>
      <c r="X3190" s="204" t="s">
        <v>2276</v>
      </c>
      <c r="Y3190" s="204" t="s">
        <v>2276</v>
      </c>
      <c r="Z3190" s="204" t="s">
        <v>2276</v>
      </c>
      <c r="AA3190" s="204"/>
      <c r="AB3190" s="204"/>
    </row>
    <row r="3191" spans="1:28" ht="29.5" customHeight="1">
      <c r="A3191" s="156" t="str">
        <f>'Reported burning'!A3191</f>
        <v>345d</v>
      </c>
      <c r="B3191" s="156" t="str">
        <f>'Reported burning'!B3191</f>
        <v>345d.2</v>
      </c>
      <c r="C3191" s="156" t="str">
        <f>'Reported burning'!C3191</f>
        <v>Human, accidental</v>
      </c>
      <c r="D3191" s="156" t="str">
        <f>'Reported burning'!D3191</f>
        <v>Crop residue burning</v>
      </c>
      <c r="E3191" s="156" t="str">
        <f>'Reported burning'!E3191</f>
        <v>Cropping, Intensive</v>
      </c>
      <c r="F3191" s="156" t="str">
        <f>'Reported burning'!F3191</f>
        <v>Cropland</v>
      </c>
      <c r="G3191" s="156" t="str">
        <f>'Reported burning'!G3191</f>
        <v>ND</v>
      </c>
      <c r="H3191" s="156" t="str">
        <f>'Reported burning'!H3191</f>
        <v>Presence</v>
      </c>
      <c r="I3191" s="5"/>
      <c r="J3191" s="204" t="s">
        <v>2276</v>
      </c>
      <c r="K3191" s="204" t="s">
        <v>2276</v>
      </c>
      <c r="L3191" s="204" t="s">
        <v>2276</v>
      </c>
      <c r="M3191" s="204" t="s">
        <v>2276</v>
      </c>
      <c r="N3191" s="204" t="s">
        <v>2276</v>
      </c>
      <c r="O3191" s="204" t="s">
        <v>2276</v>
      </c>
      <c r="P3191" s="204" t="s">
        <v>2276</v>
      </c>
      <c r="Q3191" s="204" t="s">
        <v>2276</v>
      </c>
      <c r="R3191" s="204" t="s">
        <v>2276</v>
      </c>
      <c r="S3191" s="204" t="s">
        <v>2276</v>
      </c>
      <c r="T3191" s="14" t="s">
        <v>2374</v>
      </c>
      <c r="U3191" s="204" t="s">
        <v>2276</v>
      </c>
      <c r="V3191" s="204" t="s">
        <v>2276</v>
      </c>
      <c r="W3191" s="204" t="s">
        <v>2276</v>
      </c>
      <c r="X3191" s="204" t="s">
        <v>2276</v>
      </c>
      <c r="Y3191" s="204" t="s">
        <v>2276</v>
      </c>
      <c r="Z3191" s="204" t="s">
        <v>2276</v>
      </c>
      <c r="AA3191" s="204"/>
      <c r="AB3191" s="204"/>
    </row>
    <row r="3192" spans="1:28" ht="35.5" customHeight="1">
      <c r="A3192" s="156" t="str">
        <f>'Reported burning'!A3192</f>
        <v>346a</v>
      </c>
      <c r="B3192" s="156" t="str">
        <f>'Reported burning'!B3192</f>
        <v>346a.1</v>
      </c>
      <c r="C3192" s="156" t="str">
        <f>'Reported burning'!C3192</f>
        <v>Human, deliberate</v>
      </c>
      <c r="D3192" s="156" t="str">
        <f>'Reported burning'!D3192</f>
        <v>Crop residue burning</v>
      </c>
      <c r="E3192" s="156" t="str">
        <f>'Reported burning'!E3192</f>
        <v>Cropping, Monoculture, Market-oriented</v>
      </c>
      <c r="F3192" s="156" t="str">
        <f>'Reported burning'!F3192</f>
        <v>Cropland</v>
      </c>
      <c r="G3192" s="156" t="str">
        <f>'Reported burning'!G3192</f>
        <v>ND</v>
      </c>
      <c r="H3192" s="156" t="str">
        <f>'Reported burning'!H3192</f>
        <v>Presence</v>
      </c>
      <c r="I3192" s="5"/>
      <c r="J3192" s="204" t="s">
        <v>2276</v>
      </c>
      <c r="K3192" s="204" t="s">
        <v>2276</v>
      </c>
      <c r="L3192" s="204" t="s">
        <v>2276</v>
      </c>
      <c r="M3192" s="204" t="s">
        <v>2276</v>
      </c>
      <c r="N3192" s="204" t="s">
        <v>2276</v>
      </c>
      <c r="O3192" s="204" t="s">
        <v>2276</v>
      </c>
      <c r="P3192" s="204" t="s">
        <v>2276</v>
      </c>
      <c r="Q3192" s="204" t="s">
        <v>2276</v>
      </c>
      <c r="R3192" s="204" t="s">
        <v>2276</v>
      </c>
      <c r="S3192" s="204" t="s">
        <v>2276</v>
      </c>
      <c r="T3192" s="204" t="s">
        <v>2276</v>
      </c>
      <c r="U3192" s="204" t="s">
        <v>2276</v>
      </c>
      <c r="V3192" s="204" t="s">
        <v>2276</v>
      </c>
      <c r="W3192" s="204" t="s">
        <v>2276</v>
      </c>
      <c r="X3192" s="204" t="s">
        <v>2276</v>
      </c>
      <c r="Y3192" s="204" t="s">
        <v>2276</v>
      </c>
      <c r="Z3192" s="204" t="s">
        <v>2276</v>
      </c>
      <c r="AA3192" s="204"/>
      <c r="AB3192" s="204"/>
    </row>
    <row r="3193" spans="1:28" ht="29">
      <c r="A3193" s="156" t="str">
        <f>'Reported burning'!A3193</f>
        <v>347b</v>
      </c>
      <c r="B3193" s="156" t="str">
        <f>'Reported burning'!B3193</f>
        <v>347b.1</v>
      </c>
      <c r="C3193" s="156" t="str">
        <f>'Reported burning'!C3193</f>
        <v>Human, deliberate</v>
      </c>
      <c r="D3193" s="156" t="str">
        <f>'Reported burning'!D3193</f>
        <v>Vegetation management</v>
      </c>
      <c r="E3193" s="156" t="str">
        <f>'Reported burning'!E3193</f>
        <v>Cropping, Monoculture, Market-oriented</v>
      </c>
      <c r="F3193" s="156" t="str">
        <f>'Reported burning'!F3193</f>
        <v>Cropland</v>
      </c>
      <c r="G3193" s="156" t="str">
        <f>'Reported burning'!G3193</f>
        <v>ND</v>
      </c>
      <c r="H3193" s="156" t="str">
        <f>'Reported burning'!H3193</f>
        <v>Presence</v>
      </c>
      <c r="I3193" s="5"/>
      <c r="J3193" s="204" t="s">
        <v>2276</v>
      </c>
      <c r="K3193" s="204" t="s">
        <v>2276</v>
      </c>
      <c r="L3193" s="204" t="s">
        <v>2276</v>
      </c>
      <c r="M3193" s="204" t="s">
        <v>2276</v>
      </c>
      <c r="N3193" s="204" t="s">
        <v>2276</v>
      </c>
      <c r="O3193" s="204" t="s">
        <v>2276</v>
      </c>
      <c r="P3193" s="204" t="s">
        <v>2276</v>
      </c>
      <c r="Q3193" s="204" t="s">
        <v>2276</v>
      </c>
      <c r="R3193" s="204" t="s">
        <v>2276</v>
      </c>
      <c r="S3193" s="204" t="s">
        <v>2276</v>
      </c>
      <c r="T3193" s="204" t="s">
        <v>2276</v>
      </c>
      <c r="U3193" s="204" t="s">
        <v>2276</v>
      </c>
      <c r="V3193" s="204" t="s">
        <v>2276</v>
      </c>
      <c r="W3193" s="204" t="s">
        <v>2276</v>
      </c>
      <c r="X3193" s="204" t="s">
        <v>2276</v>
      </c>
      <c r="Y3193" s="204" t="s">
        <v>2276</v>
      </c>
      <c r="Z3193" s="204" t="s">
        <v>2276</v>
      </c>
      <c r="AA3193" s="204" t="s">
        <v>8567</v>
      </c>
      <c r="AB3193" s="204"/>
    </row>
    <row r="3194" spans="1:28" ht="29">
      <c r="A3194" s="156" t="str">
        <f>'Reported burning'!A3194</f>
        <v>347c</v>
      </c>
      <c r="B3194" s="156" t="str">
        <f>'Reported burning'!B3194</f>
        <v>347c.1</v>
      </c>
      <c r="C3194" s="156" t="str">
        <f>'Reported burning'!C3194</f>
        <v>Human, deliberate</v>
      </c>
      <c r="D3194" s="156" t="str">
        <f>'Reported burning'!D3194</f>
        <v>Vegetation management</v>
      </c>
      <c r="E3194" s="156" t="str">
        <f>'Reported burning'!E3194</f>
        <v>Cropping, Monoculture, Market-oriented</v>
      </c>
      <c r="F3194" s="156" t="str">
        <f>'Reported burning'!F3194</f>
        <v>Cropland</v>
      </c>
      <c r="G3194" s="156" t="str">
        <f>'Reported burning'!G3194</f>
        <v>ND</v>
      </c>
      <c r="H3194" s="156" t="str">
        <f>'Reported burning'!H3194</f>
        <v>Presence</v>
      </c>
      <c r="I3194" s="5"/>
      <c r="J3194" s="204" t="s">
        <v>2276</v>
      </c>
      <c r="K3194" s="204" t="s">
        <v>2276</v>
      </c>
      <c r="L3194" s="204" t="s">
        <v>2276</v>
      </c>
      <c r="M3194" s="204" t="s">
        <v>2276</v>
      </c>
      <c r="N3194" s="204" t="s">
        <v>2276</v>
      </c>
      <c r="O3194" s="204" t="s">
        <v>2276</v>
      </c>
      <c r="P3194" s="204" t="s">
        <v>2276</v>
      </c>
      <c r="Q3194" s="204" t="s">
        <v>2276</v>
      </c>
      <c r="R3194" s="204" t="s">
        <v>2276</v>
      </c>
      <c r="S3194" s="204" t="s">
        <v>2276</v>
      </c>
      <c r="T3194" s="204" t="s">
        <v>2276</v>
      </c>
      <c r="U3194" s="204" t="s">
        <v>2276</v>
      </c>
      <c r="V3194" s="204" t="s">
        <v>2276</v>
      </c>
      <c r="W3194" s="204" t="s">
        <v>2276</v>
      </c>
      <c r="X3194" s="204" t="s">
        <v>2276</v>
      </c>
      <c r="Y3194" s="204" t="s">
        <v>2276</v>
      </c>
      <c r="Z3194" s="204" t="s">
        <v>2276</v>
      </c>
      <c r="AA3194" s="204" t="s">
        <v>8567</v>
      </c>
      <c r="AB3194" s="204"/>
    </row>
    <row r="3195" spans="1:28" ht="44.5" customHeight="1">
      <c r="A3195" s="156" t="str">
        <f>'Reported burning'!A3195</f>
        <v>348a</v>
      </c>
      <c r="B3195" s="156" t="str">
        <f>'Reported burning'!B3195</f>
        <v>348a.1</v>
      </c>
      <c r="C3195" s="156" t="str">
        <f>'Reported burning'!C3195</f>
        <v>Human, deliberate</v>
      </c>
      <c r="D3195" s="156" t="str">
        <f>'Reported burning'!D3195</f>
        <v>Crop residue burning</v>
      </c>
      <c r="E3195" s="156" t="str">
        <f>'Reported burning'!E3195</f>
        <v>Cropping, Monoculture, Market-oriented</v>
      </c>
      <c r="F3195" s="156" t="str">
        <f>'Reported burning'!F3195</f>
        <v>Cropland</v>
      </c>
      <c r="G3195" s="156" t="str">
        <f>'Reported burning'!G3195</f>
        <v>ND</v>
      </c>
      <c r="H3195" s="156" t="str">
        <f>'Reported burning'!H3195</f>
        <v>Presence</v>
      </c>
      <c r="I3195" s="5"/>
      <c r="J3195" s="204" t="s">
        <v>2276</v>
      </c>
      <c r="K3195" s="204" t="s">
        <v>2276</v>
      </c>
      <c r="L3195" s="204" t="s">
        <v>2276</v>
      </c>
      <c r="M3195" s="204" t="s">
        <v>2276</v>
      </c>
      <c r="N3195" s="204" t="s">
        <v>2276</v>
      </c>
      <c r="O3195" s="204" t="s">
        <v>2276</v>
      </c>
      <c r="P3195" s="204" t="s">
        <v>2276</v>
      </c>
      <c r="Q3195" s="204" t="s">
        <v>2276</v>
      </c>
      <c r="R3195" s="204" t="s">
        <v>2276</v>
      </c>
      <c r="S3195" s="21" t="s">
        <v>2390</v>
      </c>
      <c r="T3195" s="204" t="s">
        <v>2276</v>
      </c>
      <c r="U3195" s="204" t="s">
        <v>2276</v>
      </c>
      <c r="V3195" s="204" t="s">
        <v>2276</v>
      </c>
      <c r="W3195" s="204" t="s">
        <v>2276</v>
      </c>
      <c r="X3195" s="204" t="s">
        <v>2276</v>
      </c>
      <c r="Y3195" s="204" t="s">
        <v>2276</v>
      </c>
      <c r="Z3195" s="204" t="s">
        <v>2276</v>
      </c>
      <c r="AA3195" s="4" t="s">
        <v>8575</v>
      </c>
      <c r="AB3195" s="204"/>
    </row>
    <row r="3196" spans="1:28" ht="44.5" customHeight="1">
      <c r="A3196" s="156" t="str">
        <f>'Reported burning'!A3196</f>
        <v>348b</v>
      </c>
      <c r="B3196" s="156" t="str">
        <f>'Reported burning'!B3196</f>
        <v>348b.1</v>
      </c>
      <c r="C3196" s="156" t="str">
        <f>'Reported burning'!C3196</f>
        <v>Human, deliberate</v>
      </c>
      <c r="D3196" s="156" t="str">
        <f>'Reported burning'!D3196</f>
        <v>Crop residue burning</v>
      </c>
      <c r="E3196" s="156" t="str">
        <f>'Reported burning'!E3196</f>
        <v>Cropping, Monoculture, Market-oriented</v>
      </c>
      <c r="F3196" s="156" t="str">
        <f>'Reported burning'!F3196</f>
        <v>Cropland</v>
      </c>
      <c r="G3196" s="156" t="str">
        <f>'Reported burning'!G3196</f>
        <v>ND</v>
      </c>
      <c r="H3196" s="156" t="str">
        <f>'Reported burning'!H3196</f>
        <v>Presence</v>
      </c>
      <c r="I3196" s="5"/>
      <c r="J3196" s="204" t="s">
        <v>2276</v>
      </c>
      <c r="K3196" s="204" t="s">
        <v>2276</v>
      </c>
      <c r="L3196" s="204" t="s">
        <v>2276</v>
      </c>
      <c r="M3196" s="204" t="s">
        <v>2276</v>
      </c>
      <c r="N3196" s="204" t="s">
        <v>2276</v>
      </c>
      <c r="O3196" s="204" t="s">
        <v>2276</v>
      </c>
      <c r="P3196" s="204" t="s">
        <v>2276</v>
      </c>
      <c r="Q3196" s="204" t="s">
        <v>2276</v>
      </c>
      <c r="R3196" s="204" t="s">
        <v>2276</v>
      </c>
      <c r="S3196" s="21" t="s">
        <v>2390</v>
      </c>
      <c r="T3196" s="204" t="s">
        <v>2276</v>
      </c>
      <c r="U3196" s="204" t="s">
        <v>2276</v>
      </c>
      <c r="V3196" s="204" t="s">
        <v>2276</v>
      </c>
      <c r="W3196" s="204" t="s">
        <v>2276</v>
      </c>
      <c r="X3196" s="204" t="s">
        <v>2276</v>
      </c>
      <c r="Y3196" s="204" t="s">
        <v>2276</v>
      </c>
      <c r="Z3196" s="204" t="s">
        <v>2276</v>
      </c>
      <c r="AA3196" s="4" t="s">
        <v>8575</v>
      </c>
      <c r="AB3196" s="204"/>
    </row>
    <row r="3197" spans="1:28" ht="41.5" customHeight="1">
      <c r="A3197" s="152" t="str">
        <f>'Reported burning'!A3197</f>
        <v>349a</v>
      </c>
      <c r="B3197" s="152" t="str">
        <f>'Reported burning'!B3197</f>
        <v>349a.1</v>
      </c>
      <c r="C3197" s="152" t="str">
        <f>'Reported burning'!C3197</f>
        <v>Unknown</v>
      </c>
      <c r="D3197" s="152" t="str">
        <f>'Reported burning'!D3197</f>
        <v>ND</v>
      </c>
      <c r="E3197" s="152" t="str">
        <f>'Reported burning'!E3197</f>
        <v>Cattle, Extensive</v>
      </c>
      <c r="F3197" s="152" t="str">
        <f>'Reported burning'!F3197</f>
        <v>Shrubland (Mixed forest &amp; grassland)</v>
      </c>
      <c r="G3197" s="152" t="str">
        <f>'Reported burning'!G3197</f>
        <v>ND</v>
      </c>
      <c r="H3197" s="152" t="str">
        <f>'Reported burning'!H3197</f>
        <v>Presence</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405</v>
      </c>
      <c r="Y3197" s="204" t="s">
        <v>35</v>
      </c>
      <c r="Z3197" s="204" t="s">
        <v>2276</v>
      </c>
      <c r="AA3197" s="204"/>
      <c r="AB3197" s="204"/>
    </row>
    <row r="3198" spans="1:28" ht="41.5" customHeight="1">
      <c r="A3198" s="152" t="str">
        <f>'Reported burning'!A3198</f>
        <v>349b</v>
      </c>
      <c r="B3198" s="152" t="str">
        <f>'Reported burning'!B3198</f>
        <v>349b.1</v>
      </c>
      <c r="C3198" s="152" t="str">
        <f>'Reported burning'!C3198</f>
        <v>Unknown</v>
      </c>
      <c r="D3198" s="152" t="str">
        <f>'Reported burning'!D3198</f>
        <v>ND</v>
      </c>
      <c r="E3198" s="152" t="str">
        <f>'Reported burning'!E3198</f>
        <v>Cattle, Extensive</v>
      </c>
      <c r="F3198" s="152" t="str">
        <f>'Reported burning'!F3198</f>
        <v>Shrubland (Mixed forest &amp; grassland)</v>
      </c>
      <c r="G3198" s="152" t="str">
        <f>'Reported burning'!G3198</f>
        <v>ND</v>
      </c>
      <c r="H3198" s="152" t="str">
        <f>'Reported burning'!H3198</f>
        <v>Presence</v>
      </c>
      <c r="I3198" s="204"/>
      <c r="J3198" s="204" t="s">
        <v>2276</v>
      </c>
      <c r="K3198" s="204" t="s">
        <v>2276</v>
      </c>
      <c r="L3198" s="204" t="s">
        <v>2276</v>
      </c>
      <c r="M3198" s="204" t="s">
        <v>2276</v>
      </c>
      <c r="N3198" s="204" t="s">
        <v>2276</v>
      </c>
      <c r="O3198" s="204" t="s">
        <v>2276</v>
      </c>
      <c r="P3198" s="204" t="s">
        <v>2276</v>
      </c>
      <c r="Q3198" s="204" t="s">
        <v>2276</v>
      </c>
      <c r="R3198" s="204" t="s">
        <v>2276</v>
      </c>
      <c r="S3198" s="204" t="s">
        <v>2276</v>
      </c>
      <c r="T3198" s="204" t="s">
        <v>2276</v>
      </c>
      <c r="U3198" s="204" t="s">
        <v>2276</v>
      </c>
      <c r="V3198" s="204" t="s">
        <v>2276</v>
      </c>
      <c r="W3198" s="204" t="s">
        <v>2276</v>
      </c>
      <c r="X3198" s="204" t="s">
        <v>405</v>
      </c>
      <c r="Y3198" s="204" t="s">
        <v>35</v>
      </c>
      <c r="Z3198" s="204" t="s">
        <v>2276</v>
      </c>
      <c r="AA3198" s="204"/>
      <c r="AB3198" s="204"/>
    </row>
    <row r="3199" spans="1:28" ht="41.5" customHeight="1">
      <c r="A3199" s="152" t="str">
        <f>'Reported burning'!A3199</f>
        <v>349c</v>
      </c>
      <c r="B3199" s="152" t="str">
        <f>'Reported burning'!B3199</f>
        <v>349c.1</v>
      </c>
      <c r="C3199" s="152" t="str">
        <f>'Reported burning'!C3199</f>
        <v>Unknown</v>
      </c>
      <c r="D3199" s="152" t="str">
        <f>'Reported burning'!D3199</f>
        <v>ND</v>
      </c>
      <c r="E3199" s="152" t="str">
        <f>'Reported burning'!E3199</f>
        <v>Cattle, Extensive</v>
      </c>
      <c r="F3199" s="152" t="str">
        <f>'Reported burning'!F3199</f>
        <v>Shrubland (Mixed forest &amp; grassland)</v>
      </c>
      <c r="G3199" s="152" t="str">
        <f>'Reported burning'!G3199</f>
        <v>ND</v>
      </c>
      <c r="H3199" s="152" t="str">
        <f>'Reported burning'!H3199</f>
        <v>Presence</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405</v>
      </c>
      <c r="Y3199" s="204" t="s">
        <v>35</v>
      </c>
      <c r="Z3199" s="204" t="s">
        <v>2276</v>
      </c>
      <c r="AA3199" s="204"/>
      <c r="AB3199" s="204"/>
    </row>
    <row r="3200" spans="1:28" ht="40" customHeight="1">
      <c r="A3200" s="152" t="str">
        <f>'Reported burning'!A3200</f>
        <v>349d</v>
      </c>
      <c r="B3200" s="152" t="str">
        <f>'Reported burning'!B3200</f>
        <v>349d.1</v>
      </c>
      <c r="C3200" s="152" t="str">
        <f>'Reported burning'!C3200</f>
        <v>Unknown</v>
      </c>
      <c r="D3200" s="152" t="str">
        <f>'Reported burning'!D3200</f>
        <v>ND</v>
      </c>
      <c r="E3200" s="152" t="str">
        <f>'Reported burning'!E3200</f>
        <v>Cattle, Extensive</v>
      </c>
      <c r="F3200" s="152" t="str">
        <f>'Reported burning'!F3200</f>
        <v>Shrubland (Mixed forest &amp; grassland)</v>
      </c>
      <c r="G3200" s="152" t="str">
        <f>'Reported burning'!G3200</f>
        <v>ND</v>
      </c>
      <c r="H3200" s="152" t="str">
        <f>'Reported burning'!H3200</f>
        <v>Presence</v>
      </c>
      <c r="I3200" s="204"/>
      <c r="J3200" s="204" t="s">
        <v>2276</v>
      </c>
      <c r="K3200" s="204" t="s">
        <v>2276</v>
      </c>
      <c r="L3200" s="204" t="s">
        <v>2276</v>
      </c>
      <c r="M3200" s="204" t="s">
        <v>2276</v>
      </c>
      <c r="N3200" s="204" t="s">
        <v>2276</v>
      </c>
      <c r="O3200" s="204" t="s">
        <v>2276</v>
      </c>
      <c r="P3200" s="204" t="s">
        <v>2276</v>
      </c>
      <c r="Q3200" s="204" t="s">
        <v>2276</v>
      </c>
      <c r="R3200" s="204" t="s">
        <v>2276</v>
      </c>
      <c r="S3200" s="204" t="s">
        <v>2276</v>
      </c>
      <c r="T3200" s="204" t="s">
        <v>2276</v>
      </c>
      <c r="U3200" s="204" t="s">
        <v>2276</v>
      </c>
      <c r="V3200" s="204" t="s">
        <v>2276</v>
      </c>
      <c r="W3200" s="204" t="s">
        <v>2276</v>
      </c>
      <c r="X3200" s="204" t="s">
        <v>405</v>
      </c>
      <c r="Y3200" s="204" t="s">
        <v>35</v>
      </c>
      <c r="Z3200" s="204" t="s">
        <v>2276</v>
      </c>
      <c r="AA3200" s="204"/>
      <c r="AB3200" s="204"/>
    </row>
    <row r="3201" spans="1:28" ht="45.5" customHeight="1">
      <c r="A3201" s="156" t="str">
        <f>'Reported burning'!A3201</f>
        <v>350a</v>
      </c>
      <c r="B3201" s="156" t="str">
        <f>'Reported burning'!B3201</f>
        <v>350a.1</v>
      </c>
      <c r="C3201" s="156" t="str">
        <f>'Reported burning'!C3201</f>
        <v>Human, deliberate</v>
      </c>
      <c r="D3201" s="156" t="str">
        <f>'Reported burning'!D3201</f>
        <v>Crop residue burning</v>
      </c>
      <c r="E3201" s="156" t="str">
        <f>'Reported burning'!E3201</f>
        <v>Cropping, Intensive</v>
      </c>
      <c r="F3201" s="156" t="str">
        <f>'Reported burning'!F3201</f>
        <v>Cropland</v>
      </c>
      <c r="G3201" s="156" t="str">
        <f>'Reported burning'!G3201</f>
        <v>Cropland</v>
      </c>
      <c r="H3201" s="156" t="str">
        <f>'Reported burning'!H3201</f>
        <v>Presence</v>
      </c>
      <c r="I3201" s="5"/>
      <c r="J3201" s="204" t="s">
        <v>2276</v>
      </c>
      <c r="K3201" s="21" t="s">
        <v>2362</v>
      </c>
      <c r="L3201" s="21" t="s">
        <v>2362</v>
      </c>
      <c r="M3201" s="21" t="s">
        <v>2374</v>
      </c>
      <c r="N3201" s="21" t="s">
        <v>2374</v>
      </c>
      <c r="O3201" s="204" t="s">
        <v>2276</v>
      </c>
      <c r="P3201" s="204" t="s">
        <v>2276</v>
      </c>
      <c r="Q3201" s="204" t="s">
        <v>2276</v>
      </c>
      <c r="R3201" s="204" t="s">
        <v>2276</v>
      </c>
      <c r="S3201" s="204" t="s">
        <v>2276</v>
      </c>
      <c r="T3201" s="204" t="s">
        <v>2276</v>
      </c>
      <c r="U3201" s="204" t="s">
        <v>2276</v>
      </c>
      <c r="V3201" s="204" t="s">
        <v>2276</v>
      </c>
      <c r="W3201" s="204" t="s">
        <v>2276</v>
      </c>
      <c r="X3201" s="204" t="s">
        <v>35</v>
      </c>
      <c r="Y3201" s="204" t="s">
        <v>127</v>
      </c>
      <c r="Z3201" s="204" t="s">
        <v>64</v>
      </c>
      <c r="AA3201" s="204"/>
      <c r="AB3201" s="4" t="s">
        <v>8605</v>
      </c>
    </row>
    <row r="3202" spans="1:28" ht="48.5" customHeight="1">
      <c r="A3202" s="156" t="str">
        <f>'Reported burning'!A3202</f>
        <v>350a</v>
      </c>
      <c r="B3202" s="156" t="str">
        <f>'Reported burning'!B3202</f>
        <v>350a.2</v>
      </c>
      <c r="C3202" s="156" t="str">
        <f>'Reported burning'!C3202</f>
        <v>Human, deliberate</v>
      </c>
      <c r="D3202" s="156" t="str">
        <f>'Reported burning'!D3202</f>
        <v>Crop residue burning</v>
      </c>
      <c r="E3202" s="156" t="str">
        <f>'Reported burning'!E3202</f>
        <v>Cropping, Intensive</v>
      </c>
      <c r="F3202" s="156" t="str">
        <f>'Reported burning'!F3202</f>
        <v>Cropland</v>
      </c>
      <c r="G3202" s="156" t="str">
        <f>'Reported burning'!G3202</f>
        <v>Cropland</v>
      </c>
      <c r="H3202" s="156" t="str">
        <f>'Reported burning'!H3202</f>
        <v>Presence</v>
      </c>
      <c r="I3202" s="5"/>
      <c r="J3202" s="204" t="s">
        <v>2276</v>
      </c>
      <c r="K3202" s="21" t="s">
        <v>2362</v>
      </c>
      <c r="L3202" s="21" t="s">
        <v>2362</v>
      </c>
      <c r="M3202" s="21" t="s">
        <v>2374</v>
      </c>
      <c r="N3202" s="21" t="s">
        <v>2374</v>
      </c>
      <c r="O3202" s="204" t="s">
        <v>2276</v>
      </c>
      <c r="P3202" s="204" t="s">
        <v>2276</v>
      </c>
      <c r="Q3202" s="204" t="s">
        <v>2276</v>
      </c>
      <c r="R3202" s="204" t="s">
        <v>2276</v>
      </c>
      <c r="S3202" s="204" t="s">
        <v>2276</v>
      </c>
      <c r="T3202" s="204" t="s">
        <v>2276</v>
      </c>
      <c r="U3202" s="204" t="s">
        <v>2276</v>
      </c>
      <c r="V3202" s="204" t="s">
        <v>2276</v>
      </c>
      <c r="W3202" s="204" t="s">
        <v>2276</v>
      </c>
      <c r="X3202" s="204" t="s">
        <v>34</v>
      </c>
      <c r="Y3202" s="204" t="s">
        <v>404</v>
      </c>
      <c r="Z3202" s="204" t="s">
        <v>64</v>
      </c>
      <c r="AA3202" s="204"/>
      <c r="AB3202" s="4" t="s">
        <v>8605</v>
      </c>
    </row>
    <row r="3203" spans="1:28" ht="44" customHeight="1">
      <c r="A3203" s="156" t="str">
        <f>'Reported burning'!A3203</f>
        <v>351a</v>
      </c>
      <c r="B3203" s="156" t="str">
        <f>'Reported burning'!B3203</f>
        <v>351a.1</v>
      </c>
      <c r="C3203" s="156" t="str">
        <f>'Reported burning'!C3203</f>
        <v>Human, deliberate</v>
      </c>
      <c r="D3203" s="156" t="str">
        <f>'Reported burning'!D3203</f>
        <v>Crop residue burning</v>
      </c>
      <c r="E3203" s="156" t="str">
        <f>'Reported burning'!E3203</f>
        <v>ND</v>
      </c>
      <c r="F3203" s="156" t="str">
        <f>'Reported burning'!F3203</f>
        <v>Cropland</v>
      </c>
      <c r="G3203" s="156" t="str">
        <f>'Reported burning'!G3203</f>
        <v>ND</v>
      </c>
      <c r="H3203" s="156" t="str">
        <f>'Reported burning'!H3203</f>
        <v>Presence</v>
      </c>
      <c r="I3203" s="5"/>
      <c r="J3203" s="204" t="s">
        <v>2276</v>
      </c>
      <c r="K3203" s="204" t="s">
        <v>2276</v>
      </c>
      <c r="L3203" s="204" t="s">
        <v>2276</v>
      </c>
      <c r="M3203" s="204" t="s">
        <v>2276</v>
      </c>
      <c r="N3203" s="204" t="s">
        <v>2276</v>
      </c>
      <c r="O3203" s="204" t="s">
        <v>2276</v>
      </c>
      <c r="P3203" s="204" t="s">
        <v>2276</v>
      </c>
      <c r="Q3203" s="204" t="s">
        <v>2276</v>
      </c>
      <c r="R3203" s="204" t="s">
        <v>2276</v>
      </c>
      <c r="S3203" s="204" t="s">
        <v>2276</v>
      </c>
      <c r="T3203" s="204" t="s">
        <v>2276</v>
      </c>
      <c r="U3203" s="204" t="s">
        <v>2276</v>
      </c>
      <c r="V3203" s="204" t="s">
        <v>2276</v>
      </c>
      <c r="W3203" s="204" t="s">
        <v>2276</v>
      </c>
      <c r="X3203" s="204" t="s">
        <v>86</v>
      </c>
      <c r="Y3203" s="204" t="s">
        <v>35</v>
      </c>
      <c r="Z3203" s="204" t="s">
        <v>2276</v>
      </c>
      <c r="AA3203" s="204"/>
      <c r="AB3203" s="204"/>
    </row>
    <row r="3204" spans="1:28" ht="39" customHeight="1">
      <c r="A3204" s="156" t="str">
        <f>'Reported burning'!A3204</f>
        <v>351b</v>
      </c>
      <c r="B3204" s="156" t="str">
        <f>'Reported burning'!B3204</f>
        <v>351b.1</v>
      </c>
      <c r="C3204" s="156" t="str">
        <f>'Reported burning'!C3204</f>
        <v>Human, deliberate</v>
      </c>
      <c r="D3204" s="156" t="str">
        <f>'Reported burning'!D3204</f>
        <v>Crop residue burning</v>
      </c>
      <c r="E3204" s="156" t="str">
        <f>'Reported burning'!E3204</f>
        <v>ND</v>
      </c>
      <c r="F3204" s="156" t="str">
        <f>'Reported burning'!F3204</f>
        <v>Cropland</v>
      </c>
      <c r="G3204" s="156" t="str">
        <f>'Reported burning'!G3204</f>
        <v>ND</v>
      </c>
      <c r="H3204" s="156" t="str">
        <f>'Reported burning'!H3204</f>
        <v>Presence</v>
      </c>
      <c r="I3204" s="5"/>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86</v>
      </c>
      <c r="Y3204" s="204" t="s">
        <v>68</v>
      </c>
      <c r="Z3204" s="204" t="s">
        <v>2276</v>
      </c>
      <c r="AA3204" s="204"/>
      <c r="AB3204" s="204"/>
    </row>
    <row r="3205" spans="1:28" ht="39" customHeight="1">
      <c r="A3205" s="156" t="str">
        <f>'Reported burning'!A3205</f>
        <v>351c</v>
      </c>
      <c r="B3205" s="156" t="str">
        <f>'Reported burning'!B3205</f>
        <v>351c.1</v>
      </c>
      <c r="C3205" s="156" t="str">
        <f>'Reported burning'!C3205</f>
        <v>Human, deliberate</v>
      </c>
      <c r="D3205" s="156" t="str">
        <f>'Reported burning'!D3205</f>
        <v>Crop residue burning</v>
      </c>
      <c r="E3205" s="156" t="str">
        <f>'Reported burning'!E3205</f>
        <v>ND</v>
      </c>
      <c r="F3205" s="156" t="str">
        <f>'Reported burning'!F3205</f>
        <v>Cropland</v>
      </c>
      <c r="G3205" s="156" t="str">
        <f>'Reported burning'!G3205</f>
        <v>ND</v>
      </c>
      <c r="H3205" s="156" t="str">
        <f>'Reported burning'!H3205</f>
        <v>Presence</v>
      </c>
      <c r="I3205" s="5"/>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86</v>
      </c>
      <c r="Y3205" s="204" t="s">
        <v>68</v>
      </c>
      <c r="Z3205" s="204" t="s">
        <v>2276</v>
      </c>
      <c r="AA3205" s="204"/>
      <c r="AB3205" s="204"/>
    </row>
    <row r="3206" spans="1:28" ht="39" customHeight="1">
      <c r="A3206" s="156" t="str">
        <f>'Reported burning'!A3206</f>
        <v>351d</v>
      </c>
      <c r="B3206" s="156" t="str">
        <f>'Reported burning'!B3206</f>
        <v>351d.1</v>
      </c>
      <c r="C3206" s="156" t="str">
        <f>'Reported burning'!C3206</f>
        <v>Human, deliberate</v>
      </c>
      <c r="D3206" s="156" t="str">
        <f>'Reported burning'!D3206</f>
        <v>Crop residue burning</v>
      </c>
      <c r="E3206" s="156" t="str">
        <f>'Reported burning'!E3206</f>
        <v>ND</v>
      </c>
      <c r="F3206" s="156" t="str">
        <f>'Reported burning'!F3206</f>
        <v>Cropland</v>
      </c>
      <c r="G3206" s="156" t="str">
        <f>'Reported burning'!G3206</f>
        <v>ND</v>
      </c>
      <c r="H3206" s="156" t="str">
        <f>'Reported burning'!H3206</f>
        <v>Presence</v>
      </c>
      <c r="I3206" s="5"/>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86</v>
      </c>
      <c r="Y3206" s="204" t="s">
        <v>68</v>
      </c>
      <c r="Z3206" s="204" t="s">
        <v>2276</v>
      </c>
      <c r="AA3206" s="204"/>
      <c r="AB3206" s="204"/>
    </row>
    <row r="3207" spans="1:28" ht="39" customHeight="1">
      <c r="A3207" s="156" t="str">
        <f>'Reported burning'!A3207</f>
        <v>351e</v>
      </c>
      <c r="B3207" s="156" t="str">
        <f>'Reported burning'!B3207</f>
        <v>351e.1</v>
      </c>
      <c r="C3207" s="156" t="str">
        <f>'Reported burning'!C3207</f>
        <v>Human, deliberate</v>
      </c>
      <c r="D3207" s="156" t="str">
        <f>'Reported burning'!D3207</f>
        <v>Crop residue burning</v>
      </c>
      <c r="E3207" s="156" t="str">
        <f>'Reported burning'!E3207</f>
        <v>ND</v>
      </c>
      <c r="F3207" s="156" t="str">
        <f>'Reported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86</v>
      </c>
      <c r="Y3207" s="204" t="s">
        <v>68</v>
      </c>
      <c r="Z3207" s="204" t="s">
        <v>2276</v>
      </c>
      <c r="AA3207" s="204"/>
      <c r="AB3207" s="204"/>
    </row>
    <row r="3208" spans="1:28" ht="39" customHeight="1">
      <c r="A3208" s="156" t="str">
        <f>'Reported burning'!A3208</f>
        <v>351f</v>
      </c>
      <c r="B3208" s="156" t="str">
        <f>'Reported burning'!B3208</f>
        <v>351f.1</v>
      </c>
      <c r="C3208" s="156" t="str">
        <f>'Reported burning'!C3208</f>
        <v>Human, deliberate</v>
      </c>
      <c r="D3208" s="156" t="str">
        <f>'Reported burning'!D3208</f>
        <v>Crop residue burning</v>
      </c>
      <c r="E3208" s="156" t="str">
        <f>'Reported burning'!E3208</f>
        <v>ND</v>
      </c>
      <c r="F3208" s="156" t="str">
        <f>'Reported burning'!F3208</f>
        <v>Cropland</v>
      </c>
      <c r="G3208" s="156" t="str">
        <f>'Reported burning'!G3208</f>
        <v>ND</v>
      </c>
      <c r="H3208" s="156" t="str">
        <f>'Reported burning'!H3208</f>
        <v>Presence</v>
      </c>
      <c r="I3208" s="5"/>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34</v>
      </c>
      <c r="Y3208" s="204" t="s">
        <v>34</v>
      </c>
      <c r="Z3208" s="204" t="s">
        <v>2276</v>
      </c>
      <c r="AA3208" s="204"/>
      <c r="AB3208" s="204"/>
    </row>
    <row r="3209" spans="1:28" ht="39" customHeight="1">
      <c r="A3209" s="156" t="str">
        <f>'Reported burning'!A3209</f>
        <v>351g</v>
      </c>
      <c r="B3209" s="156" t="str">
        <f>'Reported burning'!B3209</f>
        <v>351g.1</v>
      </c>
      <c r="C3209" s="156" t="str">
        <f>'Reported burning'!C3209</f>
        <v>Human, deliberate</v>
      </c>
      <c r="D3209" s="156" t="str">
        <f>'Reported burning'!D3209</f>
        <v>Crop residue burning</v>
      </c>
      <c r="E3209" s="156" t="str">
        <f>'Reported burning'!E3209</f>
        <v>ND</v>
      </c>
      <c r="F3209" s="156" t="str">
        <f>'Reported burning'!F3209</f>
        <v>Cropland</v>
      </c>
      <c r="G3209" s="156" t="str">
        <f>'Reported burning'!G3209</f>
        <v>ND</v>
      </c>
      <c r="H3209" s="156" t="str">
        <f>'Reported burning'!H3209</f>
        <v>Presence</v>
      </c>
      <c r="I3209" s="5"/>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34</v>
      </c>
      <c r="Y3209" s="204" t="s">
        <v>34</v>
      </c>
      <c r="Z3209" s="204" t="s">
        <v>2276</v>
      </c>
      <c r="AA3209" s="204"/>
      <c r="AB3209" s="204"/>
    </row>
    <row r="3210" spans="1:28" ht="39" customHeight="1">
      <c r="A3210" s="156" t="str">
        <f>'Reported burning'!A3210</f>
        <v>351f</v>
      </c>
      <c r="B3210" s="156" t="str">
        <f>'Reported burning'!B3210</f>
        <v>351f.2</v>
      </c>
      <c r="C3210" s="156" t="str">
        <f>'Reported burning'!C3210</f>
        <v>Human, deliberate</v>
      </c>
      <c r="D3210" s="156" t="str">
        <f>'Reported burning'!D3210</f>
        <v>Crop residue burning</v>
      </c>
      <c r="E3210" s="156" t="str">
        <f>'Reported burning'!E3210</f>
        <v>ND</v>
      </c>
      <c r="F3210" s="156" t="str">
        <f>'Reported burning'!F3210</f>
        <v>Cropland</v>
      </c>
      <c r="G3210" s="156" t="str">
        <f>'Reported burning'!G3210</f>
        <v>ND</v>
      </c>
      <c r="H3210" s="156" t="str">
        <f>'Reported burning'!H3210</f>
        <v>Presence</v>
      </c>
      <c r="I3210" s="5"/>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68</v>
      </c>
      <c r="Y3210" s="204" t="s">
        <v>35</v>
      </c>
      <c r="Z3210" s="204" t="s">
        <v>2276</v>
      </c>
      <c r="AA3210" s="204"/>
      <c r="AB3210" s="204"/>
    </row>
    <row r="3211" spans="1:28" ht="41" customHeight="1">
      <c r="A3211" s="156" t="str">
        <f>'Reported burning'!A3211</f>
        <v>351g</v>
      </c>
      <c r="B3211" s="156" t="str">
        <f>'Reported burning'!B3211</f>
        <v>351g.2</v>
      </c>
      <c r="C3211" s="156" t="str">
        <f>'Reported burning'!C3211</f>
        <v>Human, deliberate</v>
      </c>
      <c r="D3211" s="156" t="str">
        <f>'Reported burning'!D3211</f>
        <v>Crop residue burning</v>
      </c>
      <c r="E3211" s="156" t="str">
        <f>'Reported burning'!E3211</f>
        <v>ND</v>
      </c>
      <c r="F3211" s="156" t="str">
        <f>'Reported burning'!F3211</f>
        <v>Cropland</v>
      </c>
      <c r="G3211" s="156" t="str">
        <f>'Reported burning'!G3211</f>
        <v>ND</v>
      </c>
      <c r="H3211" s="156" t="str">
        <f>'Reported burning'!H3211</f>
        <v>Presence</v>
      </c>
      <c r="I3211" s="5"/>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68</v>
      </c>
      <c r="Y3211" s="204" t="s">
        <v>35</v>
      </c>
      <c r="Z3211" s="204" t="s">
        <v>2276</v>
      </c>
      <c r="AA3211" s="204"/>
      <c r="AB3211" s="204"/>
    </row>
    <row r="3212" spans="1:28" ht="41" customHeight="1">
      <c r="A3212" s="156" t="str">
        <f>'Reported burning'!A3212</f>
        <v>352a</v>
      </c>
      <c r="B3212" s="156" t="str">
        <f>'Reported burning'!B3212</f>
        <v>352a.1</v>
      </c>
      <c r="C3212" s="156" t="str">
        <f>'Reported burning'!C3212</f>
        <v>Human, deliberate</v>
      </c>
      <c r="D3212" s="156" t="str">
        <f>'Reported burning'!D3212</f>
        <v>Crop residue burning</v>
      </c>
      <c r="E3212" s="156" t="str">
        <f>'Reported burning'!E3212</f>
        <v>ND</v>
      </c>
      <c r="F3212" s="156" t="str">
        <f>'Reported burning'!F3212</f>
        <v>Cropland</v>
      </c>
      <c r="G3212" s="156" t="str">
        <f>'Reported burning'!G3212</f>
        <v>ND</v>
      </c>
      <c r="H3212" s="156" t="str">
        <f>'Reported burning'!H3212</f>
        <v>Presence</v>
      </c>
      <c r="I3212" s="5"/>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2276</v>
      </c>
      <c r="Y3212" s="204" t="s">
        <v>2276</v>
      </c>
      <c r="Z3212" s="204" t="s">
        <v>2276</v>
      </c>
      <c r="AA3212" s="204"/>
      <c r="AB3212" s="204"/>
    </row>
    <row r="3213" spans="1:28" ht="41" customHeight="1">
      <c r="A3213" s="156" t="str">
        <f>'Reported burning'!A3213</f>
        <v>352b</v>
      </c>
      <c r="B3213" s="156" t="str">
        <f>'Reported burning'!B3213</f>
        <v>352b.1</v>
      </c>
      <c r="C3213" s="156" t="str">
        <f>'Reported burning'!C3213</f>
        <v>Human, deliberate</v>
      </c>
      <c r="D3213" s="156" t="str">
        <f>'Reported burning'!D3213</f>
        <v>Crop residue burning</v>
      </c>
      <c r="E3213" s="156" t="str">
        <f>'Reported burning'!E3213</f>
        <v>Cropping, Intensive</v>
      </c>
      <c r="F3213" s="156" t="str">
        <f>'Reported burning'!F3213</f>
        <v>Cropland</v>
      </c>
      <c r="G3213" s="156" t="str">
        <f>'Reported burning'!G3213</f>
        <v>ND</v>
      </c>
      <c r="H3213" s="156" t="str">
        <f>'Reported burning'!H3213</f>
        <v>Presence</v>
      </c>
      <c r="I3213" s="5"/>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2276</v>
      </c>
      <c r="Y3213" s="204" t="s">
        <v>2276</v>
      </c>
      <c r="Z3213" s="204" t="s">
        <v>2276</v>
      </c>
      <c r="AA3213" s="204"/>
      <c r="AB3213" s="204"/>
    </row>
    <row r="3214" spans="1:28" ht="41" customHeight="1">
      <c r="A3214" s="156" t="str">
        <f>'Reported burning'!A3214</f>
        <v>352c</v>
      </c>
      <c r="B3214" s="156" t="str">
        <f>'Reported burning'!B3214</f>
        <v>352c.1</v>
      </c>
      <c r="C3214" s="156" t="str">
        <f>'Reported burning'!C3214</f>
        <v>Human, deliberate</v>
      </c>
      <c r="D3214" s="156" t="str">
        <f>'Reported burning'!D3214</f>
        <v>Crop residue burning</v>
      </c>
      <c r="E3214" s="156" t="str">
        <f>'Reported burning'!E3214</f>
        <v>Cropping, Intensive</v>
      </c>
      <c r="F3214" s="156" t="str">
        <f>'Reported burning'!F3214</f>
        <v>Cropland</v>
      </c>
      <c r="G3214" s="156" t="str">
        <f>'Reported burning'!G3214</f>
        <v>ND</v>
      </c>
      <c r="H3214" s="156" t="str">
        <f>'Reported burning'!H3214</f>
        <v>Presence</v>
      </c>
      <c r="I3214" s="5"/>
      <c r="J3214" s="204" t="s">
        <v>2276</v>
      </c>
      <c r="K3214" s="204" t="s">
        <v>2276</v>
      </c>
      <c r="L3214" s="204" t="s">
        <v>2276</v>
      </c>
      <c r="M3214" s="204" t="s">
        <v>2276</v>
      </c>
      <c r="N3214" s="204" t="s">
        <v>2276</v>
      </c>
      <c r="O3214" s="204" t="s">
        <v>2276</v>
      </c>
      <c r="P3214" s="204" t="s">
        <v>2276</v>
      </c>
      <c r="Q3214" s="204" t="s">
        <v>2276</v>
      </c>
      <c r="R3214" s="204" t="s">
        <v>2276</v>
      </c>
      <c r="S3214" s="204" t="s">
        <v>2276</v>
      </c>
      <c r="T3214" s="204" t="s">
        <v>2276</v>
      </c>
      <c r="U3214" s="204" t="s">
        <v>2276</v>
      </c>
      <c r="V3214" s="204" t="s">
        <v>2276</v>
      </c>
      <c r="W3214" s="204" t="s">
        <v>2276</v>
      </c>
      <c r="X3214" s="204" t="s">
        <v>2276</v>
      </c>
      <c r="Y3214" s="204" t="s">
        <v>2276</v>
      </c>
      <c r="Z3214" s="204" t="s">
        <v>2276</v>
      </c>
      <c r="AA3214" s="204"/>
      <c r="AB3214" s="204"/>
    </row>
    <row r="3215" spans="1:28" ht="46.5" customHeight="1">
      <c r="A3215" s="156" t="str">
        <f>'Reported burning'!A3215</f>
        <v>353a</v>
      </c>
      <c r="B3215" s="156" t="str">
        <f>'Reported burning'!B3215</f>
        <v>353a.1</v>
      </c>
      <c r="C3215" s="156" t="str">
        <f>'Reported burning'!C3215</f>
        <v>Human, deliberate</v>
      </c>
      <c r="D3215" s="156" t="str">
        <f>'Reported burning'!D3215</f>
        <v>Crop residue burning</v>
      </c>
      <c r="E3215" s="156" t="str">
        <f>'Reported burning'!E3215</f>
        <v>ND</v>
      </c>
      <c r="F3215" s="156" t="str">
        <f>'Reported burning'!F3215</f>
        <v>Cropland</v>
      </c>
      <c r="G3215" s="156" t="str">
        <f>'Reported burning'!G3215</f>
        <v>ND</v>
      </c>
      <c r="H3215" s="156" t="str">
        <f>'Reported burning'!H3215</f>
        <v>Presence</v>
      </c>
      <c r="I3215" s="5"/>
      <c r="J3215" s="204" t="s">
        <v>2276</v>
      </c>
      <c r="K3215" s="204" t="s">
        <v>2276</v>
      </c>
      <c r="L3215" s="204" t="s">
        <v>2276</v>
      </c>
      <c r="M3215" s="204" t="s">
        <v>2276</v>
      </c>
      <c r="N3215" s="204" t="s">
        <v>2276</v>
      </c>
      <c r="O3215" s="204" t="s">
        <v>2276</v>
      </c>
      <c r="P3215" s="204" t="s">
        <v>2276</v>
      </c>
      <c r="Q3215" s="204" t="s">
        <v>2276</v>
      </c>
      <c r="R3215" s="204" t="s">
        <v>2276</v>
      </c>
      <c r="S3215" s="204" t="s">
        <v>2276</v>
      </c>
      <c r="T3215" s="204" t="s">
        <v>2276</v>
      </c>
      <c r="U3215" s="204" t="s">
        <v>2276</v>
      </c>
      <c r="V3215" s="204" t="s">
        <v>2276</v>
      </c>
      <c r="W3215" s="204" t="s">
        <v>2276</v>
      </c>
      <c r="X3215" s="204" t="s">
        <v>2276</v>
      </c>
      <c r="Y3215" s="204" t="s">
        <v>2276</v>
      </c>
      <c r="Z3215" s="204" t="s">
        <v>2276</v>
      </c>
      <c r="AA3215" s="204"/>
      <c r="AB3215" s="204"/>
    </row>
    <row r="3216" spans="1:28" ht="53.5" customHeight="1">
      <c r="A3216" s="156" t="str">
        <f>'Reported burning'!A3216</f>
        <v>354a</v>
      </c>
      <c r="B3216" s="156" t="str">
        <f>'Reported burning'!B3216</f>
        <v>354a.1</v>
      </c>
      <c r="C3216" s="156" t="str">
        <f>'Reported burning'!C3216</f>
        <v>Human, deliberate</v>
      </c>
      <c r="D3216" s="156" t="str">
        <f>'Reported burning'!D3216</f>
        <v>Crop residue burning</v>
      </c>
      <c r="E3216" s="156" t="str">
        <f>'Reported burning'!E3216</f>
        <v>Mixed cropping-livestock small holder, Subsistence-oriented</v>
      </c>
      <c r="F3216" s="156" t="str">
        <f>'Reported burning'!F3216</f>
        <v>Cropland</v>
      </c>
      <c r="G3216" s="156" t="str">
        <f>'Reported burning'!G3216</f>
        <v>ND</v>
      </c>
      <c r="H3216" s="156"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04" t="s">
        <v>2276</v>
      </c>
      <c r="W3216" s="204" t="s">
        <v>2276</v>
      </c>
      <c r="X3216" s="204" t="s">
        <v>2276</v>
      </c>
      <c r="Y3216" s="204" t="s">
        <v>2276</v>
      </c>
      <c r="Z3216" s="204" t="s">
        <v>2276</v>
      </c>
      <c r="AA3216" s="4" t="s">
        <v>8652</v>
      </c>
      <c r="AB3216" s="204"/>
    </row>
    <row r="3217" spans="1:28" ht="53.5" customHeight="1">
      <c r="A3217" s="156" t="str">
        <f>'Reported burning'!A3217</f>
        <v>354a</v>
      </c>
      <c r="B3217" s="156" t="str">
        <f>'Reported burning'!B3217</f>
        <v>354a.2</v>
      </c>
      <c r="C3217" s="156" t="str">
        <f>'Reported burning'!C3217</f>
        <v>Human, deliberate</v>
      </c>
      <c r="D3217" s="156" t="str">
        <f>'Reported burning'!D3217</f>
        <v>Crop residue burning</v>
      </c>
      <c r="E3217" s="156" t="str">
        <f>'Reported burning'!E3217</f>
        <v>Mixed cropping-livestock small holder, Subsistence-oriented</v>
      </c>
      <c r="F3217" s="156" t="str">
        <f>'Reported burning'!F3217</f>
        <v>Cropland</v>
      </c>
      <c r="G3217" s="156" t="str">
        <f>'Reported burning'!G3217</f>
        <v>ND</v>
      </c>
      <c r="H3217" s="156"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04" t="s">
        <v>2276</v>
      </c>
      <c r="W3217" s="204" t="s">
        <v>2276</v>
      </c>
      <c r="X3217" s="204" t="s">
        <v>2276</v>
      </c>
      <c r="Y3217" s="204" t="s">
        <v>2276</v>
      </c>
      <c r="Z3217" s="204" t="s">
        <v>2276</v>
      </c>
      <c r="AA3217" s="4" t="s">
        <v>8652</v>
      </c>
      <c r="AB3217" s="204"/>
    </row>
    <row r="3218" spans="1:28" ht="35.5" customHeight="1">
      <c r="A3218" s="156" t="str">
        <f>'Reported burning'!A3218</f>
        <v>355a</v>
      </c>
      <c r="B3218" s="156" t="str">
        <f>'Reported burning'!B3218</f>
        <v>355a.1</v>
      </c>
      <c r="C3218" s="156" t="str">
        <f>'Reported burning'!C3218</f>
        <v>Human, deliberate</v>
      </c>
      <c r="D3218" s="156" t="str">
        <f>'Reported burning'!D3218</f>
        <v>Crop residue burning</v>
      </c>
      <c r="E3218" s="156" t="str">
        <f>'Reported burning'!E3218</f>
        <v>Cropping, Monoculture, Market-oriented</v>
      </c>
      <c r="F3218" s="156" t="str">
        <f>'Reported burning'!F3218</f>
        <v>Cropland</v>
      </c>
      <c r="G3218" s="156" t="str">
        <f>'Reported burning'!G3218</f>
        <v>ND</v>
      </c>
      <c r="H3218" s="156" t="str">
        <f>'Reported burning'!H3218</f>
        <v>Presence</v>
      </c>
      <c r="I3218" s="5"/>
      <c r="J3218" s="204" t="s">
        <v>2276</v>
      </c>
      <c r="K3218" s="204" t="s">
        <v>2276</v>
      </c>
      <c r="L3218" s="204" t="s">
        <v>2276</v>
      </c>
      <c r="M3218" s="204" t="s">
        <v>2276</v>
      </c>
      <c r="N3218" s="204" t="s">
        <v>2276</v>
      </c>
      <c r="O3218" s="204" t="s">
        <v>2276</v>
      </c>
      <c r="P3218" s="204" t="s">
        <v>2276</v>
      </c>
      <c r="Q3218" s="204" t="s">
        <v>2276</v>
      </c>
      <c r="R3218" s="204" t="s">
        <v>2276</v>
      </c>
      <c r="S3218" s="204" t="s">
        <v>2276</v>
      </c>
      <c r="T3218" s="204" t="s">
        <v>2276</v>
      </c>
      <c r="U3218" s="204" t="s">
        <v>2276</v>
      </c>
      <c r="V3218" s="204" t="s">
        <v>2276</v>
      </c>
      <c r="W3218" s="204" t="s">
        <v>2276</v>
      </c>
      <c r="X3218" s="204" t="s">
        <v>34</v>
      </c>
      <c r="Y3218" s="204" t="s">
        <v>34</v>
      </c>
      <c r="Z3218" s="204" t="s">
        <v>2276</v>
      </c>
      <c r="AA3218" s="204"/>
      <c r="AB3218" s="204"/>
    </row>
    <row r="3219" spans="1:28" ht="35.5" customHeight="1">
      <c r="A3219" s="156" t="str">
        <f>'Reported burning'!A3219</f>
        <v>355b</v>
      </c>
      <c r="B3219" s="156" t="str">
        <f>'Reported burning'!B3219</f>
        <v>355b.1</v>
      </c>
      <c r="C3219" s="156" t="str">
        <f>'Reported burning'!C3219</f>
        <v>Human, deliberate</v>
      </c>
      <c r="D3219" s="156" t="str">
        <f>'Reported burning'!D3219</f>
        <v>Crop residue burning</v>
      </c>
      <c r="E3219" s="156" t="str">
        <f>'Reported burning'!E3219</f>
        <v>Cropping, Monoculture, Market-oriented</v>
      </c>
      <c r="F3219" s="156" t="str">
        <f>'Reported burning'!F3219</f>
        <v>Cropland</v>
      </c>
      <c r="G3219" s="156" t="str">
        <f>'Reported burning'!G3219</f>
        <v>ND</v>
      </c>
      <c r="H3219" s="156" t="str">
        <f>'Reported burning'!H3219</f>
        <v>Presence</v>
      </c>
      <c r="I3219" s="5"/>
      <c r="J3219" s="204" t="s">
        <v>2276</v>
      </c>
      <c r="K3219" s="204" t="s">
        <v>2276</v>
      </c>
      <c r="L3219" s="204" t="s">
        <v>2276</v>
      </c>
      <c r="M3219" s="204" t="s">
        <v>2276</v>
      </c>
      <c r="N3219" s="204" t="s">
        <v>2276</v>
      </c>
      <c r="O3219" s="204" t="s">
        <v>2276</v>
      </c>
      <c r="P3219" s="204" t="s">
        <v>2276</v>
      </c>
      <c r="Q3219" s="204" t="s">
        <v>2276</v>
      </c>
      <c r="R3219" s="204" t="s">
        <v>2276</v>
      </c>
      <c r="S3219" s="204" t="s">
        <v>2276</v>
      </c>
      <c r="T3219" s="204" t="s">
        <v>2276</v>
      </c>
      <c r="U3219" s="204" t="s">
        <v>2276</v>
      </c>
      <c r="V3219" s="204" t="s">
        <v>2276</v>
      </c>
      <c r="W3219" s="204" t="s">
        <v>2276</v>
      </c>
      <c r="X3219" s="204" t="s">
        <v>34</v>
      </c>
      <c r="Y3219" s="204" t="s">
        <v>34</v>
      </c>
      <c r="Z3219" s="204" t="s">
        <v>2276</v>
      </c>
      <c r="AA3219" s="204"/>
      <c r="AB3219" s="204"/>
    </row>
    <row r="3220" spans="1:28" ht="35.5" customHeight="1">
      <c r="A3220" s="156" t="str">
        <f>'Reported burning'!A3220</f>
        <v>355a</v>
      </c>
      <c r="B3220" s="156" t="str">
        <f>'Reported burning'!B3220</f>
        <v>355a.2</v>
      </c>
      <c r="C3220" s="156" t="str">
        <f>'Reported burning'!C3220</f>
        <v>Human, deliberate</v>
      </c>
      <c r="D3220" s="156" t="str">
        <f>'Reported burning'!D3220</f>
        <v>Crop residue burning</v>
      </c>
      <c r="E3220" s="156" t="str">
        <f>'Reported burning'!E3220</f>
        <v>Cropping, Monoculture, Market-oriented</v>
      </c>
      <c r="F3220" s="156" t="str">
        <f>'Reported burning'!F3220</f>
        <v>Cropland</v>
      </c>
      <c r="G3220" s="156" t="str">
        <f>'Reported burning'!G3220</f>
        <v>ND</v>
      </c>
      <c r="H3220" s="156" t="str">
        <f>'Reported burning'!H3220</f>
        <v>Presence</v>
      </c>
      <c r="I3220" s="5"/>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68</v>
      </c>
      <c r="Y3220" s="204" t="s">
        <v>68</v>
      </c>
      <c r="Z3220" s="204" t="s">
        <v>2276</v>
      </c>
      <c r="AA3220" s="204"/>
      <c r="AB3220" s="204"/>
    </row>
    <row r="3221" spans="1:28" ht="35.5" customHeight="1">
      <c r="A3221" s="156" t="str">
        <f>'Reported burning'!A3221</f>
        <v>355b</v>
      </c>
      <c r="B3221" s="156" t="str">
        <f>'Reported burning'!B3221</f>
        <v>355b.2</v>
      </c>
      <c r="C3221" s="156" t="str">
        <f>'Reported burning'!C3221</f>
        <v>Human, deliberate</v>
      </c>
      <c r="D3221" s="156" t="str">
        <f>'Reported burning'!D3221</f>
        <v>Crop residue burning</v>
      </c>
      <c r="E3221" s="156" t="str">
        <f>'Reported burning'!E3221</f>
        <v>Cropping, Monoculture, Market-oriented</v>
      </c>
      <c r="F3221" s="156" t="str">
        <f>'Reported burning'!F3221</f>
        <v>Cropland</v>
      </c>
      <c r="G3221" s="156" t="str">
        <f>'Reported burning'!G3221</f>
        <v>ND</v>
      </c>
      <c r="H3221" s="156" t="str">
        <f>'Reported burning'!H3221</f>
        <v>Presence</v>
      </c>
      <c r="I3221" s="5"/>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68</v>
      </c>
      <c r="Y3221" s="204" t="s">
        <v>68</v>
      </c>
      <c r="Z3221" s="204" t="s">
        <v>2276</v>
      </c>
      <c r="AA3221" s="204"/>
      <c r="AB3221" s="204"/>
    </row>
    <row r="3222" spans="1:28" ht="47" customHeight="1">
      <c r="A3222" s="156" t="str">
        <f>'Reported burning'!A3222</f>
        <v>356a</v>
      </c>
      <c r="B3222" s="156" t="str">
        <f>'Reported burning'!B3222</f>
        <v>356a.1</v>
      </c>
      <c r="C3222" s="156" t="str">
        <f>'Reported burning'!C3222</f>
        <v>Human, deliberate</v>
      </c>
      <c r="D3222" s="156" t="str">
        <f>'Reported burning'!D3222</f>
        <v>Crop residue burning</v>
      </c>
      <c r="E3222" s="156" t="str">
        <f>'Reported burning'!E3222</f>
        <v>Cropping, Intensive</v>
      </c>
      <c r="F3222" s="156" t="str">
        <f>'Reported burning'!F3222</f>
        <v>Cropland</v>
      </c>
      <c r="G3222" s="156" t="str">
        <f>'Reported burning'!G3222</f>
        <v>ND</v>
      </c>
      <c r="H3222" s="156" t="str">
        <f>'Reported burning'!H3222</f>
        <v>Presence</v>
      </c>
      <c r="I3222" s="5"/>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425</v>
      </c>
      <c r="Y3222" s="204" t="s">
        <v>35</v>
      </c>
      <c r="Z3222" s="204" t="s">
        <v>2276</v>
      </c>
      <c r="AA3222" s="204"/>
      <c r="AB3222" s="204"/>
    </row>
    <row r="3223" spans="1:28" ht="47" customHeight="1">
      <c r="A3223" s="156" t="str">
        <f>'Reported burning'!A3223</f>
        <v>357a</v>
      </c>
      <c r="B3223" s="156" t="str">
        <f>'Reported burning'!B3223</f>
        <v>357a.1</v>
      </c>
      <c r="C3223" s="156" t="str">
        <f>'Reported burning'!C3223</f>
        <v>Human, deliberate</v>
      </c>
      <c r="D3223" s="156" t="str">
        <f>'Reported burning'!D3223</f>
        <v>Crop residue burning</v>
      </c>
      <c r="E3223" s="156" t="str">
        <f>'Reported burning'!E3223</f>
        <v>ND</v>
      </c>
      <c r="F3223" s="156" t="str">
        <f>'Reported burning'!F3223</f>
        <v>Cropland</v>
      </c>
      <c r="G3223" s="156" t="str">
        <f>'Reported burning'!G3223</f>
        <v>ND</v>
      </c>
      <c r="H3223" s="156" t="str">
        <f>'Reported burning'!H3223</f>
        <v>Presence</v>
      </c>
      <c r="I3223" s="5"/>
      <c r="J3223" s="204" t="s">
        <v>2276</v>
      </c>
      <c r="K3223" s="204" t="s">
        <v>2276</v>
      </c>
      <c r="L3223" s="204" t="s">
        <v>2276</v>
      </c>
      <c r="M3223" s="204" t="s">
        <v>2276</v>
      </c>
      <c r="N3223" s="204" t="s">
        <v>2276</v>
      </c>
      <c r="O3223" s="204" t="s">
        <v>2276</v>
      </c>
      <c r="P3223" s="204" t="s">
        <v>2276</v>
      </c>
      <c r="Q3223" s="204" t="s">
        <v>2276</v>
      </c>
      <c r="R3223" s="204" t="s">
        <v>2276</v>
      </c>
      <c r="S3223" s="204" t="s">
        <v>2276</v>
      </c>
      <c r="T3223" s="204" t="s">
        <v>2276</v>
      </c>
      <c r="U3223" s="204" t="s">
        <v>2276</v>
      </c>
      <c r="V3223" s="204" t="s">
        <v>2276</v>
      </c>
      <c r="W3223" s="204" t="s">
        <v>2276</v>
      </c>
      <c r="X3223" s="204" t="s">
        <v>2276</v>
      </c>
      <c r="Y3223" s="204" t="s">
        <v>2276</v>
      </c>
      <c r="Z3223" s="204" t="s">
        <v>2276</v>
      </c>
      <c r="AA3223" s="204"/>
      <c r="AB3223" s="204"/>
    </row>
    <row r="3224" spans="1:28" ht="47" customHeight="1">
      <c r="A3224" s="156" t="str">
        <f>'Reported burning'!A3224</f>
        <v>357b</v>
      </c>
      <c r="B3224" s="156" t="str">
        <f>'Reported burning'!B3224</f>
        <v>357b.1</v>
      </c>
      <c r="C3224" s="156" t="str">
        <f>'Reported burning'!C3224</f>
        <v>Human, deliberate</v>
      </c>
      <c r="D3224" s="156" t="str">
        <f>'Reported burning'!D3224</f>
        <v>Crop residue burning</v>
      </c>
      <c r="E3224" s="156" t="str">
        <f>'Reported burning'!E3224</f>
        <v>ND</v>
      </c>
      <c r="F3224" s="156" t="str">
        <f>'Reported burning'!F3224</f>
        <v>Cropland</v>
      </c>
      <c r="G3224" s="156" t="str">
        <f>'Reported burning'!G3224</f>
        <v>ND</v>
      </c>
      <c r="H3224" s="156" t="str">
        <f>'Reported burning'!H3224</f>
        <v>Presence</v>
      </c>
      <c r="I3224" s="5"/>
      <c r="J3224" s="204" t="s">
        <v>2276</v>
      </c>
      <c r="K3224" s="204" t="s">
        <v>2276</v>
      </c>
      <c r="L3224" s="204" t="s">
        <v>2276</v>
      </c>
      <c r="M3224" s="204" t="s">
        <v>2276</v>
      </c>
      <c r="N3224" s="204" t="s">
        <v>2276</v>
      </c>
      <c r="O3224" s="204" t="s">
        <v>2276</v>
      </c>
      <c r="P3224" s="204" t="s">
        <v>2276</v>
      </c>
      <c r="Q3224" s="204" t="s">
        <v>2276</v>
      </c>
      <c r="R3224" s="204" t="s">
        <v>2276</v>
      </c>
      <c r="S3224" s="204" t="s">
        <v>2276</v>
      </c>
      <c r="T3224" s="204" t="s">
        <v>2276</v>
      </c>
      <c r="U3224" s="204" t="s">
        <v>2276</v>
      </c>
      <c r="V3224" s="204" t="s">
        <v>2276</v>
      </c>
      <c r="W3224" s="204" t="s">
        <v>2276</v>
      </c>
      <c r="X3224" s="204" t="s">
        <v>2276</v>
      </c>
      <c r="Y3224" s="204" t="s">
        <v>2276</v>
      </c>
      <c r="Z3224" s="204" t="s">
        <v>2276</v>
      </c>
      <c r="AA3224" s="204"/>
      <c r="AB3224" s="204"/>
    </row>
    <row r="3225" spans="1:28" ht="47" customHeight="1">
      <c r="A3225" s="156" t="str">
        <f>'Reported burning'!A3225</f>
        <v>357c</v>
      </c>
      <c r="B3225" s="156" t="str">
        <f>'Reported burning'!B3225</f>
        <v>357c.1</v>
      </c>
      <c r="C3225" s="156" t="str">
        <f>'Reported burning'!C3225</f>
        <v>Human, deliberate</v>
      </c>
      <c r="D3225" s="156" t="str">
        <f>'Reported burning'!D3225</f>
        <v>Crop residue burning</v>
      </c>
      <c r="E3225" s="156" t="str">
        <f>'Reported burning'!E3225</f>
        <v>ND</v>
      </c>
      <c r="F3225" s="156" t="str">
        <f>'Reported burning'!F3225</f>
        <v>Cropland</v>
      </c>
      <c r="G3225" s="156" t="str">
        <f>'Reported burning'!G3225</f>
        <v>ND</v>
      </c>
      <c r="H3225" s="156" t="str">
        <f>'Reported burning'!H3225</f>
        <v>Presence</v>
      </c>
      <c r="I3225" s="5"/>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c r="AB3225" s="204"/>
    </row>
    <row r="3226" spans="1:28" ht="47" customHeight="1">
      <c r="A3226" s="156" t="str">
        <f>'Reported burning'!A3226</f>
        <v>357d</v>
      </c>
      <c r="B3226" s="156" t="str">
        <f>'Reported burning'!B3226</f>
        <v>357d.1</v>
      </c>
      <c r="C3226" s="156" t="str">
        <f>'Reported burning'!C3226</f>
        <v>Human, deliberate</v>
      </c>
      <c r="D3226" s="156" t="str">
        <f>'Reported burning'!D3226</f>
        <v>Crop residue burning</v>
      </c>
      <c r="E3226" s="156" t="str">
        <f>'Reported burning'!E3226</f>
        <v>ND</v>
      </c>
      <c r="F3226" s="156" t="str">
        <f>'Reported burning'!F3226</f>
        <v>Cropland</v>
      </c>
      <c r="G3226" s="156" t="str">
        <f>'Reported burning'!G3226</f>
        <v>ND</v>
      </c>
      <c r="H3226" s="156" t="str">
        <f>'Reported burning'!H3226</f>
        <v>Presence</v>
      </c>
      <c r="I3226" s="5"/>
      <c r="J3226" s="204" t="s">
        <v>2276</v>
      </c>
      <c r="K3226" s="204" t="s">
        <v>2276</v>
      </c>
      <c r="L3226" s="204" t="s">
        <v>2276</v>
      </c>
      <c r="M3226" s="204" t="s">
        <v>2276</v>
      </c>
      <c r="N3226" s="204" t="s">
        <v>2276</v>
      </c>
      <c r="O3226" s="204" t="s">
        <v>2276</v>
      </c>
      <c r="P3226" s="204" t="s">
        <v>2276</v>
      </c>
      <c r="Q3226" s="204" t="s">
        <v>2276</v>
      </c>
      <c r="R3226" s="204" t="s">
        <v>2276</v>
      </c>
      <c r="S3226" s="204" t="s">
        <v>2276</v>
      </c>
      <c r="T3226" s="204" t="s">
        <v>2276</v>
      </c>
      <c r="U3226" s="204" t="s">
        <v>2276</v>
      </c>
      <c r="V3226" s="204" t="s">
        <v>2276</v>
      </c>
      <c r="W3226" s="204" t="s">
        <v>2276</v>
      </c>
      <c r="X3226" s="204" t="s">
        <v>2276</v>
      </c>
      <c r="Y3226" s="204" t="s">
        <v>2276</v>
      </c>
      <c r="Z3226" s="204" t="s">
        <v>2276</v>
      </c>
      <c r="AA3226" s="204"/>
      <c r="AB3226" s="204"/>
    </row>
    <row r="3227" spans="1:28" ht="47" customHeight="1">
      <c r="A3227" s="156" t="str">
        <f>'Reported burning'!A3227</f>
        <v>357e</v>
      </c>
      <c r="B3227" s="156" t="str">
        <f>'Reported burning'!B3227</f>
        <v>357e.1</v>
      </c>
      <c r="C3227" s="156" t="str">
        <f>'Reported burning'!C3227</f>
        <v>Human, deliberate</v>
      </c>
      <c r="D3227" s="156" t="str">
        <f>'Reported burning'!D3227</f>
        <v>Crop residue burning</v>
      </c>
      <c r="E3227" s="156" t="str">
        <f>'Reported burning'!E3227</f>
        <v>ND</v>
      </c>
      <c r="F3227" s="156" t="str">
        <f>'Reported burning'!F3227</f>
        <v>Cropland</v>
      </c>
      <c r="G3227" s="156" t="str">
        <f>'Reported burning'!G3227</f>
        <v>ND</v>
      </c>
      <c r="H3227" s="156" t="str">
        <f>'Reported burning'!H3227</f>
        <v>Presence</v>
      </c>
      <c r="I3227" s="5"/>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c r="AB3227" s="204"/>
    </row>
    <row r="3228" spans="1:28" ht="47" customHeight="1">
      <c r="A3228" s="156" t="str">
        <f>'Reported burning'!A3228</f>
        <v>358a</v>
      </c>
      <c r="B3228" s="156" t="str">
        <f>'Reported burning'!B3228</f>
        <v>358a.1</v>
      </c>
      <c r="C3228" s="156" t="str">
        <f>'Reported burning'!C3228</f>
        <v>Human, escaped</v>
      </c>
      <c r="D3228" s="156" t="str">
        <f>'Reported burning'!D3228</f>
        <v>All</v>
      </c>
      <c r="E3228" s="156" t="str">
        <f>'Reported burning'!E3228</f>
        <v>All</v>
      </c>
      <c r="F3228" s="156" t="str">
        <f>'Reported burning'!F3228</f>
        <v>All</v>
      </c>
      <c r="G3228" s="156" t="str">
        <f>'Reported burning'!G3228</f>
        <v>Grassland</v>
      </c>
      <c r="H3228" s="156" t="str">
        <f>'Reported burning'!H3228</f>
        <v>Presence</v>
      </c>
      <c r="I3228" s="5"/>
      <c r="J3228" s="21" t="s">
        <v>2366</v>
      </c>
      <c r="K3228" s="204" t="s">
        <v>2276</v>
      </c>
      <c r="L3228" s="204" t="s">
        <v>2276</v>
      </c>
      <c r="M3228" s="204" t="s">
        <v>2276</v>
      </c>
      <c r="N3228" s="204" t="s">
        <v>2276</v>
      </c>
      <c r="O3228" s="204" t="s">
        <v>2276</v>
      </c>
      <c r="P3228" s="21" t="s">
        <v>2382</v>
      </c>
      <c r="Q3228" s="204" t="s">
        <v>2276</v>
      </c>
      <c r="R3228" s="204" t="s">
        <v>2276</v>
      </c>
      <c r="S3228" s="204" t="s">
        <v>2276</v>
      </c>
      <c r="T3228" s="204" t="s">
        <v>2276</v>
      </c>
      <c r="U3228" s="204" t="s">
        <v>2276</v>
      </c>
      <c r="V3228" s="204" t="s">
        <v>2276</v>
      </c>
      <c r="W3228" s="204" t="s">
        <v>2276</v>
      </c>
      <c r="X3228" s="204" t="s">
        <v>189</v>
      </c>
      <c r="Y3228" s="204" t="s">
        <v>86</v>
      </c>
      <c r="Z3228" s="204" t="s">
        <v>2276</v>
      </c>
      <c r="AA3228" s="4" t="s">
        <v>8693</v>
      </c>
      <c r="AB3228" s="204"/>
    </row>
    <row r="3229" spans="1:28" ht="47" customHeight="1">
      <c r="A3229" s="156" t="str">
        <f>'Reported burning'!A3229</f>
        <v>358a</v>
      </c>
      <c r="B3229" s="156" t="str">
        <f>'Reported burning'!B3229</f>
        <v>358a.2</v>
      </c>
      <c r="C3229" s="156" t="str">
        <f>'Reported burning'!C3229</f>
        <v>Human, escaped</v>
      </c>
      <c r="D3229" s="156" t="str">
        <f>'Reported burning'!D3229</f>
        <v>All</v>
      </c>
      <c r="E3229" s="156" t="str">
        <f>'Reported burning'!E3229</f>
        <v>All</v>
      </c>
      <c r="F3229" s="156" t="str">
        <f>'Reported burning'!F3229</f>
        <v>All</v>
      </c>
      <c r="G3229" s="156" t="str">
        <f>'Reported burning'!G3229</f>
        <v>Grassland</v>
      </c>
      <c r="H3229" s="156" t="str">
        <f>'Reported burning'!H3229</f>
        <v>Presence</v>
      </c>
      <c r="I3229" s="5"/>
      <c r="J3229" s="21" t="s">
        <v>2366</v>
      </c>
      <c r="K3229" s="204" t="s">
        <v>2276</v>
      </c>
      <c r="L3229" s="204" t="s">
        <v>2276</v>
      </c>
      <c r="M3229" s="204" t="s">
        <v>2276</v>
      </c>
      <c r="N3229" s="204" t="s">
        <v>2276</v>
      </c>
      <c r="O3229" s="204" t="s">
        <v>2276</v>
      </c>
      <c r="P3229" s="21" t="s">
        <v>2382</v>
      </c>
      <c r="Q3229" s="204" t="s">
        <v>2276</v>
      </c>
      <c r="R3229" s="204" t="s">
        <v>2276</v>
      </c>
      <c r="S3229" s="204" t="s">
        <v>2276</v>
      </c>
      <c r="T3229" s="204" t="s">
        <v>2276</v>
      </c>
      <c r="U3229" s="204" t="s">
        <v>2276</v>
      </c>
      <c r="V3229" s="204" t="s">
        <v>2276</v>
      </c>
      <c r="W3229" s="204" t="s">
        <v>2276</v>
      </c>
      <c r="X3229" s="204" t="s">
        <v>405</v>
      </c>
      <c r="Y3229" s="204" t="s">
        <v>68</v>
      </c>
      <c r="Z3229" s="204" t="s">
        <v>2276</v>
      </c>
      <c r="AA3229" s="4" t="s">
        <v>8693</v>
      </c>
      <c r="AB3229" s="204"/>
    </row>
    <row r="3230" spans="1:28" ht="33.5" customHeight="1">
      <c r="A3230" s="156" t="str">
        <f>'Reported burning'!A3230</f>
        <v>358a</v>
      </c>
      <c r="B3230" s="156" t="str">
        <f>'Reported burning'!B3230</f>
        <v>358a.3</v>
      </c>
      <c r="C3230" s="156" t="str">
        <f>'Reported burning'!C3230</f>
        <v>Human, escaped</v>
      </c>
      <c r="D3230" s="156" t="str">
        <f>'Reported burning'!D3230</f>
        <v>Crop residue burning</v>
      </c>
      <c r="E3230" s="156" t="str">
        <f>'Reported burning'!E3230</f>
        <v>ND</v>
      </c>
      <c r="F3230" s="156" t="str">
        <f>'Reported burning'!F3230</f>
        <v>Cropland</v>
      </c>
      <c r="G3230" s="156" t="str">
        <f>'Reported burning'!G3230</f>
        <v>Grassland</v>
      </c>
      <c r="H3230" s="156" t="str">
        <f>'Reported burning'!H3230</f>
        <v>Presence</v>
      </c>
      <c r="I3230" s="5"/>
      <c r="J3230" s="204" t="s">
        <v>2276</v>
      </c>
      <c r="K3230" s="204" t="s">
        <v>2276</v>
      </c>
      <c r="L3230" s="204" t="s">
        <v>2276</v>
      </c>
      <c r="M3230" s="204" t="s">
        <v>2276</v>
      </c>
      <c r="N3230" s="204" t="s">
        <v>2276</v>
      </c>
      <c r="O3230" s="204" t="s">
        <v>2276</v>
      </c>
      <c r="P3230" s="204" t="s">
        <v>2276</v>
      </c>
      <c r="Q3230" s="204" t="s">
        <v>2276</v>
      </c>
      <c r="R3230" s="204" t="s">
        <v>2276</v>
      </c>
      <c r="S3230" s="204" t="s">
        <v>2276</v>
      </c>
      <c r="T3230" s="204" t="s">
        <v>2276</v>
      </c>
      <c r="U3230" s="204" t="s">
        <v>2276</v>
      </c>
      <c r="V3230" s="204" t="s">
        <v>2276</v>
      </c>
      <c r="W3230" s="204" t="s">
        <v>2276</v>
      </c>
      <c r="X3230" s="204" t="s">
        <v>189</v>
      </c>
      <c r="Y3230" s="204" t="s">
        <v>86</v>
      </c>
      <c r="Z3230" s="204" t="s">
        <v>2276</v>
      </c>
      <c r="AA3230" s="4" t="s">
        <v>8693</v>
      </c>
      <c r="AB3230" s="204"/>
    </row>
    <row r="3231" spans="1:28" ht="33.5" customHeight="1">
      <c r="A3231" s="156" t="str">
        <f>'Reported burning'!A3231</f>
        <v>358a</v>
      </c>
      <c r="B3231" s="156" t="str">
        <f>'Reported burning'!B3231</f>
        <v>358a.4</v>
      </c>
      <c r="C3231" s="156" t="str">
        <f>'Reported burning'!C3231</f>
        <v>Human, escaped</v>
      </c>
      <c r="D3231" s="156" t="str">
        <f>'Reported burning'!D3231</f>
        <v>Crop residue burning</v>
      </c>
      <c r="E3231" s="156" t="str">
        <f>'Reported burning'!E3231</f>
        <v>ND</v>
      </c>
      <c r="F3231" s="156" t="str">
        <f>'Reported burning'!F3231</f>
        <v>Cropland</v>
      </c>
      <c r="G3231" s="156" t="str">
        <f>'Reported burning'!G3231</f>
        <v>Grassland</v>
      </c>
      <c r="H3231" s="156" t="str">
        <f>'Reported burning'!H3231</f>
        <v>Presence</v>
      </c>
      <c r="I3231" s="5"/>
      <c r="J3231" s="204" t="s">
        <v>2276</v>
      </c>
      <c r="K3231" s="204" t="s">
        <v>2276</v>
      </c>
      <c r="L3231" s="204" t="s">
        <v>2276</v>
      </c>
      <c r="M3231" s="204" t="s">
        <v>2276</v>
      </c>
      <c r="N3231" s="204" t="s">
        <v>2276</v>
      </c>
      <c r="O3231" s="204" t="s">
        <v>2276</v>
      </c>
      <c r="P3231" s="204" t="s">
        <v>2276</v>
      </c>
      <c r="Q3231" s="204" t="s">
        <v>2276</v>
      </c>
      <c r="R3231" s="204" t="s">
        <v>2276</v>
      </c>
      <c r="S3231" s="204" t="s">
        <v>2276</v>
      </c>
      <c r="T3231" s="204" t="s">
        <v>2276</v>
      </c>
      <c r="U3231" s="204" t="s">
        <v>2276</v>
      </c>
      <c r="V3231" s="204" t="s">
        <v>2276</v>
      </c>
      <c r="W3231" s="204" t="s">
        <v>2276</v>
      </c>
      <c r="X3231" s="204" t="s">
        <v>405</v>
      </c>
      <c r="Y3231" s="204" t="s">
        <v>68</v>
      </c>
      <c r="Z3231" s="204" t="s">
        <v>2276</v>
      </c>
      <c r="AA3231" s="4" t="s">
        <v>8693</v>
      </c>
      <c r="AB3231" s="204"/>
    </row>
    <row r="3232" spans="1:28" ht="33.5" customHeight="1">
      <c r="A3232" s="156" t="str">
        <f>'Reported burning'!A3232</f>
        <v>358a</v>
      </c>
      <c r="B3232" s="156" t="str">
        <f>'Reported burning'!B3232</f>
        <v>358a.5</v>
      </c>
      <c r="C3232" s="156" t="str">
        <f>'Reported burning'!C3232</f>
        <v>Human, escaped</v>
      </c>
      <c r="D3232" s="156" t="str">
        <f>'Reported burning'!D3232</f>
        <v>Pasture renewal</v>
      </c>
      <c r="E3232" s="156" t="str">
        <f>'Reported burning'!E3232</f>
        <v>Cattle, Extensive</v>
      </c>
      <c r="F3232" s="156" t="str">
        <f>'Reported burning'!F3232</f>
        <v>Grassland</v>
      </c>
      <c r="G3232" s="156" t="str">
        <f>'Reported burning'!G3232</f>
        <v>Grassland</v>
      </c>
      <c r="H3232" s="156" t="str">
        <f>'Reported burning'!H3232</f>
        <v>Presence</v>
      </c>
      <c r="I3232" s="5"/>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189</v>
      </c>
      <c r="Y3232" s="204" t="s">
        <v>86</v>
      </c>
      <c r="Z3232" s="204" t="s">
        <v>2276</v>
      </c>
      <c r="AA3232" s="4" t="s">
        <v>8693</v>
      </c>
      <c r="AB3232" s="204"/>
    </row>
    <row r="3233" spans="1:28" ht="33.5" customHeight="1">
      <c r="A3233" s="156" t="str">
        <f>'Reported burning'!A3233</f>
        <v>358a</v>
      </c>
      <c r="B3233" s="156" t="str">
        <f>'Reported burning'!B3233</f>
        <v>358a.6</v>
      </c>
      <c r="C3233" s="156" t="str">
        <f>'Reported burning'!C3233</f>
        <v>Human, escaped</v>
      </c>
      <c r="D3233" s="156" t="str">
        <f>'Reported burning'!D3233</f>
        <v>Pasture renewal</v>
      </c>
      <c r="E3233" s="156" t="str">
        <f>'Reported burning'!E3233</f>
        <v>Cattle, Extensive</v>
      </c>
      <c r="F3233" s="156" t="str">
        <f>'Reported burning'!F3233</f>
        <v>Grassland</v>
      </c>
      <c r="G3233" s="156" t="str">
        <f>'Reported burning'!G3233</f>
        <v>Grassland</v>
      </c>
      <c r="H3233" s="156" t="str">
        <f>'Reported burning'!H3233</f>
        <v>Presence</v>
      </c>
      <c r="I3233" s="5"/>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405</v>
      </c>
      <c r="Y3233" s="204" t="s">
        <v>68</v>
      </c>
      <c r="Z3233" s="204" t="s">
        <v>2276</v>
      </c>
      <c r="AA3233" s="4" t="s">
        <v>8693</v>
      </c>
      <c r="AB3233" s="204"/>
    </row>
    <row r="3234" spans="1:28" ht="37.5" customHeight="1">
      <c r="A3234" s="156" t="str">
        <f>'Reported burning'!A3234</f>
        <v>358a</v>
      </c>
      <c r="B3234" s="156" t="str">
        <f>'Reported burning'!B3234</f>
        <v>358a.7</v>
      </c>
      <c r="C3234" s="156" t="str">
        <f>'Reported burning'!C3234</f>
        <v>Human, accidental</v>
      </c>
      <c r="D3234" s="156" t="str">
        <f>'Reported burning'!D3234</f>
        <v>Accidental</v>
      </c>
      <c r="E3234" s="156" t="str">
        <f>'Reported burning'!E3234</f>
        <v>Urban planner</v>
      </c>
      <c r="F3234" s="156" t="str">
        <f>'Reported burning'!F3234</f>
        <v>ND</v>
      </c>
      <c r="G3234" s="156" t="str">
        <f>'Reported burning'!G3234</f>
        <v>Grassland</v>
      </c>
      <c r="H3234" s="156" t="str">
        <f>'Reported burning'!H3234</f>
        <v>Presence</v>
      </c>
      <c r="I3234" s="5"/>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2276</v>
      </c>
      <c r="AA3234" s="204"/>
      <c r="AB3234" s="204"/>
    </row>
    <row r="3235" spans="1:28" ht="60" customHeight="1">
      <c r="A3235" s="156" t="str">
        <f>'Reported burning'!A3235</f>
        <v>359a</v>
      </c>
      <c r="B3235" s="156" t="str">
        <f>'Reported burning'!B3235</f>
        <v>359a.1</v>
      </c>
      <c r="C3235" s="156" t="str">
        <f>'Reported burning'!C3235</f>
        <v>Human, escaped</v>
      </c>
      <c r="D3235" s="156" t="str">
        <f>'Reported burning'!D3235</f>
        <v>ND</v>
      </c>
      <c r="E3235" s="156" t="str">
        <f>'Reported burning'!E3235</f>
        <v>ND</v>
      </c>
      <c r="F3235" s="156" t="str">
        <f>'Reported burning'!F3235</f>
        <v>ND</v>
      </c>
      <c r="G3235" s="156" t="str">
        <f>'Reported burning'!G3235</f>
        <v>Grassland</v>
      </c>
      <c r="H3235" s="156" t="str">
        <f>'Reported burning'!H3235</f>
        <v>Presence</v>
      </c>
      <c r="I3235" s="5"/>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2276</v>
      </c>
      <c r="AA3235" s="4" t="s">
        <v>8704</v>
      </c>
      <c r="AB3235" s="204"/>
    </row>
    <row r="3236" spans="1:28" ht="60" customHeight="1">
      <c r="A3236" s="156" t="str">
        <f>'Reported burning'!A3236</f>
        <v>359a</v>
      </c>
      <c r="B3236" s="156" t="str">
        <f>'Reported burning'!B3236</f>
        <v>359a.2</v>
      </c>
      <c r="C3236" s="156" t="str">
        <f>'Reported burning'!C3236</f>
        <v>Lightning</v>
      </c>
      <c r="D3236" s="156" t="str">
        <f>'Reported burning'!D3236</f>
        <v>ND</v>
      </c>
      <c r="E3236" s="156" t="str">
        <f>'Reported burning'!E3236</f>
        <v>ND</v>
      </c>
      <c r="F3236" s="156" t="str">
        <f>'Reported burning'!F3236</f>
        <v>ND</v>
      </c>
      <c r="G3236" s="156" t="str">
        <f>'Reported burning'!G3236</f>
        <v>Grassland</v>
      </c>
      <c r="H3236" s="156" t="str">
        <f>'Reported burning'!H3236</f>
        <v>Presence</v>
      </c>
      <c r="I3236" s="5"/>
      <c r="J3236" s="204" t="s">
        <v>2276</v>
      </c>
      <c r="K3236" s="204" t="s">
        <v>2276</v>
      </c>
      <c r="L3236" s="204" t="s">
        <v>2276</v>
      </c>
      <c r="M3236" s="204" t="s">
        <v>2276</v>
      </c>
      <c r="N3236" s="204" t="s">
        <v>2276</v>
      </c>
      <c r="O3236" s="204" t="s">
        <v>2276</v>
      </c>
      <c r="P3236" s="204" t="s">
        <v>2276</v>
      </c>
      <c r="Q3236" s="204" t="s">
        <v>2276</v>
      </c>
      <c r="R3236" s="204" t="s">
        <v>2276</v>
      </c>
      <c r="S3236" s="204" t="s">
        <v>2276</v>
      </c>
      <c r="T3236" s="204" t="s">
        <v>2276</v>
      </c>
      <c r="U3236" s="204" t="s">
        <v>2276</v>
      </c>
      <c r="V3236" s="204" t="s">
        <v>2276</v>
      </c>
      <c r="W3236" s="204" t="s">
        <v>2276</v>
      </c>
      <c r="X3236" s="204" t="s">
        <v>2276</v>
      </c>
      <c r="Y3236" s="204" t="s">
        <v>2276</v>
      </c>
      <c r="Z3236" s="204" t="s">
        <v>2276</v>
      </c>
      <c r="AA3236" s="4" t="s">
        <v>8704</v>
      </c>
      <c r="AB3236" s="204"/>
    </row>
    <row r="3237" spans="1:28" ht="60" customHeight="1">
      <c r="A3237" s="156" t="str">
        <f>'Reported burning'!A3237</f>
        <v>359a</v>
      </c>
      <c r="B3237" s="156" t="str">
        <f>'Reported burning'!B3237</f>
        <v>359a.3</v>
      </c>
      <c r="C3237" s="156" t="str">
        <f>'Reported burning'!C3237</f>
        <v>Human, accidental</v>
      </c>
      <c r="D3237" s="156" t="str">
        <f>'Reported burning'!D3237</f>
        <v>ND</v>
      </c>
      <c r="E3237" s="156" t="str">
        <f>'Reported burning'!E3237</f>
        <v>Urban planner</v>
      </c>
      <c r="F3237" s="156" t="str">
        <f>'Reported burning'!F3237</f>
        <v>ND</v>
      </c>
      <c r="G3237" s="156" t="str">
        <f>'Reported burning'!G3237</f>
        <v>Grassland</v>
      </c>
      <c r="H3237" s="156" t="str">
        <f>'Reported burning'!H3237</f>
        <v>Presence</v>
      </c>
      <c r="I3237" s="5"/>
      <c r="J3237" s="204" t="s">
        <v>2276</v>
      </c>
      <c r="K3237" s="204" t="s">
        <v>2276</v>
      </c>
      <c r="L3237" s="204" t="s">
        <v>2276</v>
      </c>
      <c r="M3237" s="204" t="s">
        <v>2276</v>
      </c>
      <c r="N3237" s="204" t="s">
        <v>2276</v>
      </c>
      <c r="O3237" s="204" t="s">
        <v>2276</v>
      </c>
      <c r="P3237" s="204" t="s">
        <v>2276</v>
      </c>
      <c r="Q3237" s="204" t="s">
        <v>2276</v>
      </c>
      <c r="R3237" s="204" t="s">
        <v>2276</v>
      </c>
      <c r="S3237" s="204" t="s">
        <v>2276</v>
      </c>
      <c r="T3237" s="204" t="s">
        <v>2276</v>
      </c>
      <c r="U3237" s="204" t="s">
        <v>2276</v>
      </c>
      <c r="V3237" s="204" t="s">
        <v>2276</v>
      </c>
      <c r="W3237" s="204" t="s">
        <v>2276</v>
      </c>
      <c r="X3237" s="204" t="s">
        <v>2276</v>
      </c>
      <c r="Y3237" s="204" t="s">
        <v>2276</v>
      </c>
      <c r="Z3237" s="204" t="s">
        <v>2276</v>
      </c>
      <c r="AA3237" s="4" t="s">
        <v>8704</v>
      </c>
      <c r="AB3237" s="204"/>
    </row>
    <row r="3238" spans="1:28" ht="60" customHeight="1">
      <c r="A3238" s="156" t="str">
        <f>'Reported burning'!A3238</f>
        <v>359a</v>
      </c>
      <c r="B3238" s="156" t="str">
        <f>'Reported burning'!B3238</f>
        <v>359a.4</v>
      </c>
      <c r="C3238" s="156" t="str">
        <f>'Reported burning'!C3238</f>
        <v>Human, escaped</v>
      </c>
      <c r="D3238" s="156" t="str">
        <f>'Reported burning'!D3238</f>
        <v>Crop residue burning</v>
      </c>
      <c r="E3238" s="156" t="str">
        <f>'Reported burning'!E3238</f>
        <v>ND</v>
      </c>
      <c r="F3238" s="156" t="str">
        <f>'Reported burning'!F3238</f>
        <v>Cropland</v>
      </c>
      <c r="G3238" s="156" t="str">
        <f>'Reported burning'!G3238</f>
        <v>Grassland</v>
      </c>
      <c r="H3238" s="156" t="str">
        <f>'Reported burning'!H3238</f>
        <v>Presence</v>
      </c>
      <c r="I3238" s="5"/>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38</v>
      </c>
      <c r="Y3238" s="204" t="s">
        <v>86</v>
      </c>
      <c r="Z3238" s="204" t="s">
        <v>64</v>
      </c>
      <c r="AA3238" s="4" t="s">
        <v>8704</v>
      </c>
      <c r="AB3238" s="204"/>
    </row>
    <row r="3239" spans="1:28" ht="60" customHeight="1">
      <c r="A3239" s="156" t="str">
        <f>'Reported burning'!A3239</f>
        <v>359a</v>
      </c>
      <c r="B3239" s="156" t="str">
        <f>'Reported burning'!B3239</f>
        <v>359a.5</v>
      </c>
      <c r="C3239" s="156" t="str">
        <f>'Reported burning'!C3239</f>
        <v>Human, escaped</v>
      </c>
      <c r="D3239" s="156" t="str">
        <f>'Reported burning'!D3239</f>
        <v>Pasture renewal</v>
      </c>
      <c r="E3239" s="156" t="str">
        <f>'Reported burning'!E3239</f>
        <v>Cattle, Extensive</v>
      </c>
      <c r="F3239" s="156" t="str">
        <f>'Reported burning'!F3239</f>
        <v>Pasture</v>
      </c>
      <c r="G3239" s="156" t="str">
        <f>'Reported burning'!G3239</f>
        <v>Grassland</v>
      </c>
      <c r="H3239" s="156" t="str">
        <f>'Reported burning'!H3239</f>
        <v>Presence</v>
      </c>
      <c r="I3239" s="5"/>
      <c r="J3239" s="204" t="s">
        <v>2276</v>
      </c>
      <c r="K3239" s="204" t="s">
        <v>2276</v>
      </c>
      <c r="L3239" s="204" t="s">
        <v>2276</v>
      </c>
      <c r="M3239" s="204" t="s">
        <v>2276</v>
      </c>
      <c r="N3239" s="204" t="s">
        <v>2276</v>
      </c>
      <c r="O3239" s="204" t="s">
        <v>2276</v>
      </c>
      <c r="P3239" s="204" t="s">
        <v>2276</v>
      </c>
      <c r="Q3239" s="204" t="s">
        <v>2276</v>
      </c>
      <c r="R3239" s="204" t="s">
        <v>2276</v>
      </c>
      <c r="S3239" s="204" t="s">
        <v>2276</v>
      </c>
      <c r="T3239" s="204" t="s">
        <v>2276</v>
      </c>
      <c r="U3239" s="204" t="s">
        <v>2276</v>
      </c>
      <c r="V3239" s="204" t="s">
        <v>2276</v>
      </c>
      <c r="W3239" s="204" t="s">
        <v>2276</v>
      </c>
      <c r="X3239" s="204" t="s">
        <v>38</v>
      </c>
      <c r="Y3239" s="204" t="s">
        <v>86</v>
      </c>
      <c r="Z3239" s="204" t="s">
        <v>64</v>
      </c>
      <c r="AA3239" s="4" t="s">
        <v>8704</v>
      </c>
      <c r="AB3239" s="204"/>
    </row>
    <row r="3240" spans="1:28" ht="60" customHeight="1">
      <c r="A3240" s="156" t="str">
        <f>'Reported burning'!A3240</f>
        <v>359a</v>
      </c>
      <c r="B3240" s="156" t="str">
        <f>'Reported burning'!B3240</f>
        <v>359a.6</v>
      </c>
      <c r="C3240" s="156" t="str">
        <f>'Reported burning'!C3240</f>
        <v>Human, deliberate</v>
      </c>
      <c r="D3240" s="156" t="str">
        <f>'Reported burning'!D3240</f>
        <v>Arson</v>
      </c>
      <c r="E3240" s="156" t="str">
        <f>'Reported burning'!E3240</f>
        <v>ND</v>
      </c>
      <c r="F3240" s="156" t="str">
        <f>'Reported burning'!F3240</f>
        <v>ND</v>
      </c>
      <c r="G3240" s="156" t="str">
        <f>'Reported burning'!G3240</f>
        <v>Grassland</v>
      </c>
      <c r="H3240" s="156" t="str">
        <f>'Reported burning'!H3240</f>
        <v>Presence</v>
      </c>
      <c r="I3240" s="5"/>
      <c r="J3240" s="204" t="s">
        <v>2276</v>
      </c>
      <c r="K3240" s="204" t="s">
        <v>2276</v>
      </c>
      <c r="L3240" s="204" t="s">
        <v>2276</v>
      </c>
      <c r="M3240" s="204" t="s">
        <v>2276</v>
      </c>
      <c r="N3240" s="204" t="s">
        <v>2276</v>
      </c>
      <c r="O3240" s="204" t="s">
        <v>2276</v>
      </c>
      <c r="P3240" s="204" t="s">
        <v>2276</v>
      </c>
      <c r="Q3240" s="204" t="s">
        <v>2276</v>
      </c>
      <c r="R3240" s="204" t="s">
        <v>2276</v>
      </c>
      <c r="S3240" s="204" t="s">
        <v>2276</v>
      </c>
      <c r="T3240" s="204" t="s">
        <v>2276</v>
      </c>
      <c r="U3240" s="204" t="s">
        <v>2276</v>
      </c>
      <c r="V3240" s="204" t="s">
        <v>2276</v>
      </c>
      <c r="W3240" s="204" t="s">
        <v>2276</v>
      </c>
      <c r="X3240" s="204" t="s">
        <v>2276</v>
      </c>
      <c r="Y3240" s="204" t="s">
        <v>2276</v>
      </c>
      <c r="Z3240" s="204" t="s">
        <v>2276</v>
      </c>
      <c r="AA3240" s="4" t="s">
        <v>8704</v>
      </c>
      <c r="AB3240" s="204"/>
    </row>
    <row r="3241" spans="1:28" ht="60" customHeight="1">
      <c r="A3241" s="156" t="str">
        <f>'Reported burning'!A3241</f>
        <v>359a</v>
      </c>
      <c r="B3241" s="156" t="str">
        <f>'Reported burning'!B3241</f>
        <v>359a.7</v>
      </c>
      <c r="C3241" s="156" t="str">
        <f>'Reported burning'!C3241</f>
        <v>Human, escaped</v>
      </c>
      <c r="D3241" s="156" t="str">
        <f>'Reported burning'!D3241</f>
        <v>Domestic</v>
      </c>
      <c r="E3241" s="156" t="str">
        <f>'Reported burning'!E3241</f>
        <v>ND</v>
      </c>
      <c r="F3241" s="156" t="str">
        <f>'Reported burning'!F3241</f>
        <v>ND</v>
      </c>
      <c r="G3241" s="156" t="str">
        <f>'Reported burning'!G3241</f>
        <v>Grassland</v>
      </c>
      <c r="H3241" s="156" t="str">
        <f>'Reported burning'!H3241</f>
        <v>Presence</v>
      </c>
      <c r="I3241" s="5"/>
      <c r="J3241" s="204" t="s">
        <v>2276</v>
      </c>
      <c r="K3241" s="204" t="s">
        <v>2276</v>
      </c>
      <c r="L3241" s="204" t="s">
        <v>2276</v>
      </c>
      <c r="M3241" s="204" t="s">
        <v>2276</v>
      </c>
      <c r="N3241" s="204" t="s">
        <v>2276</v>
      </c>
      <c r="O3241" s="204" t="s">
        <v>2276</v>
      </c>
      <c r="P3241" s="204" t="s">
        <v>2276</v>
      </c>
      <c r="Q3241" s="204" t="s">
        <v>2276</v>
      </c>
      <c r="R3241" s="204" t="s">
        <v>2276</v>
      </c>
      <c r="S3241" s="204" t="s">
        <v>2276</v>
      </c>
      <c r="T3241" s="204" t="s">
        <v>2276</v>
      </c>
      <c r="U3241" s="204" t="s">
        <v>2276</v>
      </c>
      <c r="V3241" s="204" t="s">
        <v>2276</v>
      </c>
      <c r="W3241" s="204" t="s">
        <v>2276</v>
      </c>
      <c r="X3241" s="204" t="s">
        <v>2276</v>
      </c>
      <c r="Y3241" s="204" t="s">
        <v>2276</v>
      </c>
      <c r="Z3241" s="204" t="s">
        <v>2276</v>
      </c>
      <c r="AA3241" s="4" t="s">
        <v>8704</v>
      </c>
      <c r="AB3241" s="204"/>
    </row>
    <row r="3242" spans="1:28" ht="60" customHeight="1">
      <c r="A3242" s="185" t="str">
        <f>'Reported burning'!A3242</f>
        <v>359a</v>
      </c>
      <c r="B3242" s="185" t="str">
        <f>'Reported burning'!B3242</f>
        <v>359a.8</v>
      </c>
      <c r="C3242" s="185" t="str">
        <f>'Reported burning'!C3242</f>
        <v>Human, escaped</v>
      </c>
      <c r="D3242" s="185" t="str">
        <f>'Reported burning'!D3242</f>
        <v>Cultural &amp; Spiritual</v>
      </c>
      <c r="E3242" s="185" t="str">
        <f>'Reported burning'!E3242</f>
        <v>ND</v>
      </c>
      <c r="F3242" s="185" t="str">
        <f>'Reported burning'!F3242</f>
        <v>ND</v>
      </c>
      <c r="G3242" s="185" t="str">
        <f>'Reported burning'!G3242</f>
        <v>Grassland</v>
      </c>
      <c r="H3242" s="185" t="str">
        <f>'Reported burning'!H3242</f>
        <v>Presence</v>
      </c>
      <c r="I3242" s="32"/>
      <c r="J3242" s="204" t="s">
        <v>2276</v>
      </c>
      <c r="K3242" s="204" t="s">
        <v>2276</v>
      </c>
      <c r="L3242" s="204" t="s">
        <v>2276</v>
      </c>
      <c r="M3242" s="204" t="s">
        <v>2276</v>
      </c>
      <c r="N3242" s="204" t="s">
        <v>2276</v>
      </c>
      <c r="O3242" s="204" t="s">
        <v>2276</v>
      </c>
      <c r="P3242" s="204" t="s">
        <v>2276</v>
      </c>
      <c r="Q3242" s="204" t="s">
        <v>2276</v>
      </c>
      <c r="R3242" s="204" t="s">
        <v>2276</v>
      </c>
      <c r="S3242" s="204" t="s">
        <v>2276</v>
      </c>
      <c r="T3242" s="204" t="s">
        <v>2276</v>
      </c>
      <c r="U3242" s="204" t="s">
        <v>2276</v>
      </c>
      <c r="V3242" s="204" t="s">
        <v>2276</v>
      </c>
      <c r="W3242" s="204" t="s">
        <v>2276</v>
      </c>
      <c r="X3242" s="204" t="s">
        <v>2276</v>
      </c>
      <c r="Y3242" s="204" t="s">
        <v>2276</v>
      </c>
      <c r="Z3242" s="204" t="s">
        <v>2276</v>
      </c>
      <c r="AA3242" s="4" t="s">
        <v>8704</v>
      </c>
      <c r="AB3242" s="204"/>
    </row>
    <row r="3243" spans="1:28" ht="60" customHeight="1">
      <c r="A3243" s="152" t="str">
        <f>'Reported burning'!A3243</f>
        <v>360a</v>
      </c>
      <c r="B3243" s="152" t="str">
        <f>'Reported burning'!B3243</f>
        <v>360a.1</v>
      </c>
      <c r="C3243" s="152" t="str">
        <f>'Reported burning'!C3243</f>
        <v>Human, deliberate</v>
      </c>
      <c r="D3243" s="152" t="str">
        <f>'Reported burning'!D3243</f>
        <v>Crop residue burning</v>
      </c>
      <c r="E3243" s="152" t="str">
        <f>'Reported burning'!E3243</f>
        <v>Cropping, Monoculture, Market-oriented</v>
      </c>
      <c r="F3243" s="152" t="str">
        <f>'Reported burning'!F3243</f>
        <v>Cropland</v>
      </c>
      <c r="G3243" s="152" t="str">
        <f>'Reported burning'!G3243</f>
        <v>Cropland</v>
      </c>
      <c r="H3243" s="152" t="str">
        <f>'Reported burning'!H3243</f>
        <v>Presence</v>
      </c>
      <c r="I3243" s="204"/>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188</v>
      </c>
      <c r="Y3243" s="204" t="s">
        <v>188</v>
      </c>
      <c r="Z3243" s="204" t="s">
        <v>2276</v>
      </c>
      <c r="AA3243" s="4" t="s">
        <v>8713</v>
      </c>
      <c r="AB3243" s="204"/>
    </row>
    <row r="3244" spans="1:28" ht="60" customHeight="1">
      <c r="A3244" s="152" t="str">
        <f>'Reported burning'!A3244</f>
        <v>360a</v>
      </c>
      <c r="B3244" s="152" t="str">
        <f>'Reported burning'!B3244</f>
        <v>360a.2</v>
      </c>
      <c r="C3244" s="152" t="str">
        <f>'Reported burning'!C3244</f>
        <v>Human, deliberate</v>
      </c>
      <c r="D3244" s="152" t="str">
        <f>'Reported burning'!D3244</f>
        <v>Crop residue burning</v>
      </c>
      <c r="E3244" s="152" t="str">
        <f>'Reported burning'!E3244</f>
        <v>Cropping, Monoculture, Market-oriented</v>
      </c>
      <c r="F3244" s="152" t="str">
        <f>'Reported burning'!F3244</f>
        <v>Cropland</v>
      </c>
      <c r="G3244" s="152" t="str">
        <f>'Reported burning'!G3244</f>
        <v>Cropland</v>
      </c>
      <c r="H3244" s="152" t="str">
        <f>'Reported burning'!H3244</f>
        <v>Presence</v>
      </c>
      <c r="I3244" s="204"/>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86</v>
      </c>
      <c r="Y3244" s="204" t="s">
        <v>86</v>
      </c>
      <c r="Z3244" s="204" t="s">
        <v>2276</v>
      </c>
      <c r="AA3244" s="4" t="s">
        <v>8713</v>
      </c>
      <c r="AB3244" s="204"/>
    </row>
    <row r="3245" spans="1:28" ht="60" customHeight="1">
      <c r="A3245" s="152" t="str">
        <f>'Reported burning'!A3245</f>
        <v>360a</v>
      </c>
      <c r="B3245" s="152" t="str">
        <f>'Reported burning'!B3245</f>
        <v>360a.3</v>
      </c>
      <c r="C3245" s="152" t="str">
        <f>'Reported burning'!C3245</f>
        <v>Human, deliberate</v>
      </c>
      <c r="D3245" s="152" t="str">
        <f>'Reported burning'!D3245</f>
        <v>Crop residue burning</v>
      </c>
      <c r="E3245" s="152" t="str">
        <f>'Reported burning'!E3245</f>
        <v>Cropping, Monoculture, Market-oriented</v>
      </c>
      <c r="F3245" s="152" t="str">
        <f>'Reported burning'!F3245</f>
        <v>Cropland</v>
      </c>
      <c r="G3245" s="152" t="str">
        <f>'Reported burning'!G3245</f>
        <v>Cropland</v>
      </c>
      <c r="H3245" s="152" t="str">
        <f>'Reported burning'!H3245</f>
        <v>Presence</v>
      </c>
      <c r="I3245" s="204"/>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425</v>
      </c>
      <c r="Y3245" s="204" t="s">
        <v>425</v>
      </c>
      <c r="Z3245" s="204" t="s">
        <v>2276</v>
      </c>
      <c r="AA3245" s="4" t="s">
        <v>8713</v>
      </c>
      <c r="AB3245" s="204"/>
    </row>
    <row r="3246" spans="1:28" ht="56" customHeight="1">
      <c r="A3246" s="156" t="str">
        <f>'Reported burning'!A3246</f>
        <v>361a</v>
      </c>
      <c r="B3246" s="156" t="str">
        <f>'Reported burning'!B3246</f>
        <v>361a.1</v>
      </c>
      <c r="C3246" s="156" t="str">
        <f>'Reported burning'!C3246</f>
        <v>Human, deliberate</v>
      </c>
      <c r="D3246" s="156" t="str">
        <f>'Reported burning'!D3246</f>
        <v>Crop residue burning</v>
      </c>
      <c r="E3246" s="156" t="str">
        <f>'Reported burning'!E3246</f>
        <v>Cropping, Monoculture, Market-oriented</v>
      </c>
      <c r="F3246" s="156" t="str">
        <f>'Reported burning'!F3246</f>
        <v>Cropland</v>
      </c>
      <c r="G3246" s="156" t="str">
        <f>'Reported burning'!G3246</f>
        <v>Cropland</v>
      </c>
      <c r="H3246" s="156" t="str">
        <f>'Reported burning'!H3246</f>
        <v>Presence</v>
      </c>
      <c r="I3246" s="5"/>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1" t="s">
        <v>2375</v>
      </c>
      <c r="X3246" s="204" t="s">
        <v>34</v>
      </c>
      <c r="Y3246" s="204" t="s">
        <v>34</v>
      </c>
      <c r="Z3246" s="204" t="s">
        <v>2276</v>
      </c>
      <c r="AA3246" s="4" t="s">
        <v>8727</v>
      </c>
      <c r="AB3246" s="204" t="s">
        <v>8729</v>
      </c>
    </row>
    <row r="3247" spans="1:28" ht="56" customHeight="1">
      <c r="A3247" s="156" t="str">
        <f>'Reported burning'!A3247</f>
        <v>361a</v>
      </c>
      <c r="B3247" s="156" t="str">
        <f>'Reported burning'!B3247</f>
        <v>361a.2</v>
      </c>
      <c r="C3247" s="156" t="str">
        <f>'Reported burning'!C3247</f>
        <v>Human, deliberate</v>
      </c>
      <c r="D3247" s="156" t="str">
        <f>'Reported burning'!D3247</f>
        <v>Crop residue burning</v>
      </c>
      <c r="E3247" s="156" t="str">
        <f>'Reported burning'!E3247</f>
        <v>Cropping, Monoculture, Subsistence-oriented</v>
      </c>
      <c r="F3247" s="156" t="str">
        <f>'Reported burning'!F3247</f>
        <v>Cropland</v>
      </c>
      <c r="G3247" s="156" t="str">
        <f>'Reported burning'!G3247</f>
        <v>Cropland</v>
      </c>
      <c r="H3247" s="156" t="str">
        <f>'Reported burning'!H3247</f>
        <v>Presence</v>
      </c>
      <c r="I3247" s="5"/>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1" t="s">
        <v>2375</v>
      </c>
      <c r="X3247" s="204" t="s">
        <v>34</v>
      </c>
      <c r="Y3247" s="204" t="s">
        <v>34</v>
      </c>
      <c r="Z3247" s="204" t="s">
        <v>2276</v>
      </c>
      <c r="AA3247" s="4" t="s">
        <v>8728</v>
      </c>
      <c r="AB3247" s="204" t="s">
        <v>8729</v>
      </c>
    </row>
    <row r="3248" spans="1:28" ht="56" customHeight="1">
      <c r="A3248" s="156" t="str">
        <f>'Reported burning'!A3248</f>
        <v>361a</v>
      </c>
      <c r="B3248" s="156" t="str">
        <f>'Reported burning'!B3248</f>
        <v>361a.3</v>
      </c>
      <c r="C3248" s="156" t="str">
        <f>'Reported burning'!C3248</f>
        <v>Human, deliberate</v>
      </c>
      <c r="D3248" s="156" t="str">
        <f>'Reported burning'!D3248</f>
        <v>Crop residue burning</v>
      </c>
      <c r="E3248" s="156" t="str">
        <f>'Reported burning'!E3248</f>
        <v>Cropping, Monoculture, Market-oriented</v>
      </c>
      <c r="F3248" s="156" t="str">
        <f>'Reported burning'!F3248</f>
        <v>Cropland</v>
      </c>
      <c r="G3248" s="156" t="str">
        <f>'Reported burning'!G3248</f>
        <v>Cropland</v>
      </c>
      <c r="H3248" s="156" t="str">
        <f>'Reported burning'!H3248</f>
        <v>Presence</v>
      </c>
      <c r="I3248" s="5"/>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1" t="s">
        <v>2375</v>
      </c>
      <c r="X3248" s="204" t="s">
        <v>425</v>
      </c>
      <c r="Y3248" s="204" t="s">
        <v>68</v>
      </c>
      <c r="Z3248" s="204" t="s">
        <v>76</v>
      </c>
      <c r="AA3248" s="4" t="s">
        <v>8727</v>
      </c>
      <c r="AB3248" s="204" t="s">
        <v>8729</v>
      </c>
    </row>
    <row r="3249" spans="1:28" ht="56" customHeight="1">
      <c r="A3249" s="156" t="str">
        <f>'Reported burning'!A3249</f>
        <v>361a</v>
      </c>
      <c r="B3249" s="156" t="str">
        <f>'Reported burning'!B3249</f>
        <v>361a.4</v>
      </c>
      <c r="C3249" s="156" t="str">
        <f>'Reported burning'!C3249</f>
        <v>Human, deliberate</v>
      </c>
      <c r="D3249" s="156" t="str">
        <f>'Reported burning'!D3249</f>
        <v>Crop residue burning</v>
      </c>
      <c r="E3249" s="156" t="str">
        <f>'Reported burning'!E3249</f>
        <v>Cropping, Monoculture, Subsistence-oriented</v>
      </c>
      <c r="F3249" s="156" t="str">
        <f>'Reported burning'!F3249</f>
        <v>Cropland</v>
      </c>
      <c r="G3249" s="156" t="str">
        <f>'Reported burning'!G3249</f>
        <v>Cropland</v>
      </c>
      <c r="H3249" s="156" t="str">
        <f>'Reported burning'!H3249</f>
        <v>Presence</v>
      </c>
      <c r="I3249" s="5"/>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1" t="s">
        <v>2375</v>
      </c>
      <c r="X3249" s="204" t="s">
        <v>425</v>
      </c>
      <c r="Y3249" s="204" t="s">
        <v>68</v>
      </c>
      <c r="Z3249" s="204" t="s">
        <v>76</v>
      </c>
      <c r="AA3249" s="4" t="s">
        <v>8728</v>
      </c>
      <c r="AB3249" s="204" t="s">
        <v>8729</v>
      </c>
    </row>
    <row r="3250" spans="1:28" ht="56" customHeight="1">
      <c r="A3250" s="156" t="str">
        <f>'Reported burning'!A3250</f>
        <v>361a</v>
      </c>
      <c r="B3250" s="156" t="str">
        <f>'Reported burning'!B3250</f>
        <v>361a.5</v>
      </c>
      <c r="C3250" s="156" t="str">
        <f>'Reported burning'!C3250</f>
        <v>Human, deliberate</v>
      </c>
      <c r="D3250" s="156" t="str">
        <f>'Reported burning'!D3250</f>
        <v>Crop residue burning</v>
      </c>
      <c r="E3250" s="156" t="str">
        <f>'Reported burning'!E3250</f>
        <v>All</v>
      </c>
      <c r="F3250" s="156" t="str">
        <f>'Reported burning'!F3250</f>
        <v>Cropland</v>
      </c>
      <c r="G3250" s="156" t="str">
        <f>'Reported burning'!G3250</f>
        <v>Cropland</v>
      </c>
      <c r="H3250" s="156" t="str">
        <f>'Reported burning'!H3250</f>
        <v>Presence</v>
      </c>
      <c r="I3250" s="5"/>
      <c r="J3250" s="21" t="s">
        <v>8725</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1" t="s">
        <v>2375</v>
      </c>
      <c r="X3250" s="204" t="s">
        <v>34</v>
      </c>
      <c r="Y3250" s="204" t="s">
        <v>34</v>
      </c>
      <c r="Z3250" s="204"/>
      <c r="AA3250" s="204"/>
      <c r="AB3250" s="4" t="s">
        <v>8726</v>
      </c>
    </row>
    <row r="3251" spans="1:28" ht="56" customHeight="1">
      <c r="A3251" s="156" t="str">
        <f>'Reported burning'!A3251</f>
        <v>361a</v>
      </c>
      <c r="B3251" s="156" t="str">
        <f>'Reported burning'!B3251</f>
        <v>361a.6</v>
      </c>
      <c r="C3251" s="156" t="str">
        <f>'Reported burning'!C3251</f>
        <v>Human, deliberate</v>
      </c>
      <c r="D3251" s="156" t="str">
        <f>'Reported burning'!D3251</f>
        <v>Crop residue burning</v>
      </c>
      <c r="E3251" s="156" t="str">
        <f>'Reported burning'!E3251</f>
        <v>All</v>
      </c>
      <c r="F3251" s="156" t="str">
        <f>'Reported burning'!F3251</f>
        <v>Cropland</v>
      </c>
      <c r="G3251" s="156" t="str">
        <f>'Reported burning'!G3251</f>
        <v>Cropland</v>
      </c>
      <c r="H3251" s="156" t="str">
        <f>'Reported burning'!H3251</f>
        <v>Presence</v>
      </c>
      <c r="I3251" s="5"/>
      <c r="J3251" s="21" t="s">
        <v>8725</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1" t="s">
        <v>2375</v>
      </c>
      <c r="X3251" s="204" t="s">
        <v>425</v>
      </c>
      <c r="Y3251" s="204" t="s">
        <v>68</v>
      </c>
      <c r="Z3251" s="204" t="s">
        <v>76</v>
      </c>
      <c r="AA3251" s="204"/>
      <c r="AB3251" s="4" t="s">
        <v>8726</v>
      </c>
    </row>
    <row r="3252" spans="1:28" ht="39" customHeight="1">
      <c r="A3252" s="152" t="str">
        <f>'Reported burning'!A3252</f>
        <v>362a</v>
      </c>
      <c r="B3252" s="152" t="str">
        <f>'Reported burning'!B3252</f>
        <v>362a.1</v>
      </c>
      <c r="C3252" s="152" t="str">
        <f>'Reported burning'!C3252</f>
        <v>Human, deliberate</v>
      </c>
      <c r="D3252" s="152" t="str">
        <f>'Reported burning'!D3252</f>
        <v>Crop residue burning</v>
      </c>
      <c r="E3252" s="152" t="str">
        <f>'Reported burning'!E3252</f>
        <v>Cropping, Intensive</v>
      </c>
      <c r="F3252" s="152" t="str">
        <f>'Reported burning'!F3252</f>
        <v>Cropland</v>
      </c>
      <c r="G3252" s="152" t="str">
        <f>'Reported burning'!G3252</f>
        <v>Cropland</v>
      </c>
      <c r="H3252" s="152" t="str">
        <f>'Reported burning'!H3252</f>
        <v>Presence</v>
      </c>
      <c r="I3252" s="204"/>
      <c r="J3252" s="204" t="s">
        <v>2276</v>
      </c>
      <c r="K3252" s="204" t="s">
        <v>2276</v>
      </c>
      <c r="L3252" s="204" t="s">
        <v>2276</v>
      </c>
      <c r="M3252" s="204" t="s">
        <v>2276</v>
      </c>
      <c r="N3252" s="204" t="s">
        <v>2276</v>
      </c>
      <c r="O3252" s="204" t="s">
        <v>2276</v>
      </c>
      <c r="P3252" s="204" t="s">
        <v>2276</v>
      </c>
      <c r="Q3252" s="204" t="s">
        <v>2276</v>
      </c>
      <c r="R3252" s="21" t="s">
        <v>2374</v>
      </c>
      <c r="S3252" s="204" t="s">
        <v>2276</v>
      </c>
      <c r="T3252" s="204" t="s">
        <v>2276</v>
      </c>
      <c r="U3252" s="204" t="s">
        <v>2276</v>
      </c>
      <c r="V3252" s="204" t="s">
        <v>2276</v>
      </c>
      <c r="W3252" s="204" t="s">
        <v>2276</v>
      </c>
      <c r="X3252" s="204" t="s">
        <v>189</v>
      </c>
      <c r="Y3252" s="204" t="s">
        <v>34</v>
      </c>
      <c r="Z3252" s="204" t="s">
        <v>2655</v>
      </c>
      <c r="AA3252" s="19" t="s">
        <v>8744</v>
      </c>
      <c r="AB3252" s="19" t="s">
        <v>8745</v>
      </c>
    </row>
    <row r="3253" spans="1:28" ht="39" customHeight="1">
      <c r="A3253" s="152" t="str">
        <f>'Reported burning'!A3253</f>
        <v>362a</v>
      </c>
      <c r="B3253" s="152" t="str">
        <f>'Reported burning'!B3253</f>
        <v>362a.2</v>
      </c>
      <c r="C3253" s="152" t="str">
        <f>'Reported burning'!C3253</f>
        <v>Human, deliberate</v>
      </c>
      <c r="D3253" s="152" t="str">
        <f>'Reported burning'!D3253</f>
        <v>Pasture renewal</v>
      </c>
      <c r="E3253" s="152" t="str">
        <f>'Reported burning'!E3253</f>
        <v>Cattle, Extensive</v>
      </c>
      <c r="F3253" s="152" t="str">
        <f>'Reported burning'!F3253</f>
        <v>Grassland</v>
      </c>
      <c r="G3253" s="152" t="str">
        <f>'Reported burning'!G3253</f>
        <v>Grassland</v>
      </c>
      <c r="H3253" s="152" t="str">
        <f>'Reported burning'!H3253</f>
        <v>Presence</v>
      </c>
      <c r="I3253" s="204"/>
      <c r="J3253" s="204" t="s">
        <v>2276</v>
      </c>
      <c r="K3253" s="204" t="s">
        <v>2276</v>
      </c>
      <c r="L3253" s="204" t="s">
        <v>2276</v>
      </c>
      <c r="M3253" s="204" t="s">
        <v>2276</v>
      </c>
      <c r="N3253" s="204" t="s">
        <v>2276</v>
      </c>
      <c r="O3253" s="204" t="s">
        <v>2276</v>
      </c>
      <c r="P3253" s="204" t="s">
        <v>2276</v>
      </c>
      <c r="Q3253" s="204" t="s">
        <v>2276</v>
      </c>
      <c r="R3253" s="21" t="s">
        <v>2374</v>
      </c>
      <c r="S3253" s="204" t="s">
        <v>2276</v>
      </c>
      <c r="T3253" s="204" t="s">
        <v>2276</v>
      </c>
      <c r="U3253" s="204" t="s">
        <v>2276</v>
      </c>
      <c r="V3253" s="204" t="s">
        <v>2276</v>
      </c>
      <c r="W3253" s="204" t="s">
        <v>2276</v>
      </c>
      <c r="X3253" s="204" t="s">
        <v>189</v>
      </c>
      <c r="Y3253" s="204" t="s">
        <v>34</v>
      </c>
      <c r="Z3253" s="204" t="s">
        <v>2655</v>
      </c>
      <c r="AA3253" s="19" t="s">
        <v>8744</v>
      </c>
      <c r="AB3253" s="19" t="s">
        <v>8745</v>
      </c>
    </row>
    <row r="3254" spans="1:28" ht="39" customHeight="1">
      <c r="A3254" s="156" t="str">
        <f>'Reported burning'!A3254</f>
        <v>362b</v>
      </c>
      <c r="B3254" s="156" t="str">
        <f>'Reported burning'!B3254</f>
        <v>362b.1</v>
      </c>
      <c r="C3254" s="156" t="str">
        <f>'Reported burning'!C3254</f>
        <v>Human, deliberate</v>
      </c>
      <c r="D3254" s="156" t="str">
        <f>'Reported burning'!D3254</f>
        <v>ND</v>
      </c>
      <c r="E3254" s="156" t="str">
        <f>'Reported burning'!E3254</f>
        <v>All</v>
      </c>
      <c r="F3254" s="156" t="str">
        <f>'Reported burning'!F3254</f>
        <v>Shrubland (Mixed forest &amp; grassland)</v>
      </c>
      <c r="G3254" s="156" t="str">
        <f>'Reported burning'!G3254</f>
        <v>Shrubland (Mixed forest &amp; grassland)</v>
      </c>
      <c r="H3254" s="156" t="str">
        <f>'Reported burning'!H3254</f>
        <v>Presence</v>
      </c>
      <c r="I3254" s="5"/>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1" t="s">
        <v>2276</v>
      </c>
      <c r="Y3254" s="21" t="s">
        <v>2276</v>
      </c>
      <c r="Z3254" s="21" t="s">
        <v>2276</v>
      </c>
      <c r="AA3254" s="204"/>
      <c r="AB3254" s="204"/>
    </row>
    <row r="3255" spans="1:28" ht="39" customHeight="1">
      <c r="A3255" s="156" t="str">
        <f>'Reported burning'!A3255</f>
        <v>362c</v>
      </c>
      <c r="B3255" s="156" t="str">
        <f>'Reported burning'!B3255</f>
        <v>362c.1</v>
      </c>
      <c r="C3255" s="156" t="str">
        <f>'Reported burning'!C3255</f>
        <v>Human, deliberate</v>
      </c>
      <c r="D3255" s="156" t="str">
        <f>'Reported burning'!D3255</f>
        <v>ND</v>
      </c>
      <c r="E3255" s="156" t="str">
        <f>'Reported burning'!E3255</f>
        <v>All</v>
      </c>
      <c r="F3255" s="156" t="str">
        <f>'Reported burning'!F3255</f>
        <v>Shrubland (Mixed forest &amp; grassland)</v>
      </c>
      <c r="G3255" s="156" t="str">
        <f>'Reported burning'!G3255</f>
        <v>Shrubland (Mixed forest &amp; grassland)</v>
      </c>
      <c r="H3255" s="156" t="str">
        <f>'Reported burning'!H3255</f>
        <v>Presence</v>
      </c>
      <c r="I3255" s="5"/>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1" t="s">
        <v>2276</v>
      </c>
      <c r="Y3255" s="21" t="s">
        <v>2276</v>
      </c>
      <c r="Z3255" s="21" t="s">
        <v>2276</v>
      </c>
      <c r="AA3255" s="204"/>
      <c r="AB3255" s="204"/>
    </row>
    <row r="3256" spans="1:28" ht="39" customHeight="1">
      <c r="A3256" s="156" t="str">
        <f>'Reported burning'!A3256</f>
        <v>362b</v>
      </c>
      <c r="B3256" s="156" t="str">
        <f>'Reported burning'!B3256</f>
        <v>362b.2</v>
      </c>
      <c r="C3256" s="156" t="str">
        <f>'Reported burning'!C3256</f>
        <v>Human, deliberate</v>
      </c>
      <c r="D3256" s="156" t="str">
        <f>'Reported burning'!D3256</f>
        <v>Rangeland management</v>
      </c>
      <c r="E3256" s="156" t="str">
        <f>'Reported burning'!E3256</f>
        <v>Cattle, Extensive</v>
      </c>
      <c r="F3256" s="156" t="str">
        <f>'Reported burning'!F3256</f>
        <v>Shrubland (Mixed forest &amp; grassland)</v>
      </c>
      <c r="G3256" s="156" t="str">
        <f>'Reported burning'!G3256</f>
        <v>Shrubland (Mixed forest &amp; grassland)</v>
      </c>
      <c r="H3256" s="156" t="str">
        <f>'Reported burning'!H3256</f>
        <v>Presence</v>
      </c>
      <c r="I3256" s="5"/>
      <c r="J3256" s="204" t="s">
        <v>2276</v>
      </c>
      <c r="K3256" s="204" t="s">
        <v>2276</v>
      </c>
      <c r="L3256" s="204" t="s">
        <v>2276</v>
      </c>
      <c r="M3256" s="204" t="s">
        <v>2276</v>
      </c>
      <c r="N3256" s="204" t="s">
        <v>2276</v>
      </c>
      <c r="O3256" s="204" t="s">
        <v>2276</v>
      </c>
      <c r="P3256" s="204" t="s">
        <v>2276</v>
      </c>
      <c r="Q3256" s="204" t="s">
        <v>2276</v>
      </c>
      <c r="R3256" s="204" t="s">
        <v>2276</v>
      </c>
      <c r="S3256" s="204" t="s">
        <v>2276</v>
      </c>
      <c r="T3256" s="204" t="s">
        <v>2276</v>
      </c>
      <c r="U3256" s="204" t="s">
        <v>2276</v>
      </c>
      <c r="V3256" s="204" t="s">
        <v>2276</v>
      </c>
      <c r="W3256" s="204" t="s">
        <v>2276</v>
      </c>
      <c r="X3256" s="21" t="s">
        <v>2276</v>
      </c>
      <c r="Y3256" s="21" t="s">
        <v>2276</v>
      </c>
      <c r="Z3256" s="21" t="s">
        <v>2276</v>
      </c>
      <c r="AA3256" s="204"/>
      <c r="AB3256" s="204"/>
    </row>
    <row r="3257" spans="1:28" ht="39" customHeight="1">
      <c r="A3257" s="156" t="str">
        <f>'Reported burning'!A3257</f>
        <v>362c</v>
      </c>
      <c r="B3257" s="156" t="str">
        <f>'Reported burning'!B3257</f>
        <v>362c.2</v>
      </c>
      <c r="C3257" s="156" t="str">
        <f>'Reported burning'!C3257</f>
        <v>Human, deliberate</v>
      </c>
      <c r="D3257" s="156" t="str">
        <f>'Reported burning'!D3257</f>
        <v>Rangeland management</v>
      </c>
      <c r="E3257" s="156" t="str">
        <f>'Reported burning'!E3257</f>
        <v>Cattle, Extensive</v>
      </c>
      <c r="F3257" s="156" t="str">
        <f>'Reported burning'!F3257</f>
        <v>Shrubland (Mixed forest &amp; grassland)</v>
      </c>
      <c r="G3257" s="156" t="str">
        <f>'Reported burning'!G3257</f>
        <v>Shrubland (Mixed forest &amp; grassland)</v>
      </c>
      <c r="H3257" s="156" t="str">
        <f>'Reported burning'!H3257</f>
        <v>Presence</v>
      </c>
      <c r="I3257" s="5"/>
      <c r="J3257" s="204" t="s">
        <v>2276</v>
      </c>
      <c r="K3257" s="204" t="s">
        <v>2276</v>
      </c>
      <c r="L3257" s="204" t="s">
        <v>2276</v>
      </c>
      <c r="M3257" s="204" t="s">
        <v>2276</v>
      </c>
      <c r="N3257" s="204" t="s">
        <v>2276</v>
      </c>
      <c r="O3257" s="204" t="s">
        <v>2276</v>
      </c>
      <c r="P3257" s="204" t="s">
        <v>2276</v>
      </c>
      <c r="Q3257" s="204" t="s">
        <v>2276</v>
      </c>
      <c r="R3257" s="204" t="s">
        <v>2276</v>
      </c>
      <c r="S3257" s="204" t="s">
        <v>2276</v>
      </c>
      <c r="T3257" s="204" t="s">
        <v>2276</v>
      </c>
      <c r="U3257" s="204" t="s">
        <v>2276</v>
      </c>
      <c r="V3257" s="204" t="s">
        <v>2276</v>
      </c>
      <c r="W3257" s="204" t="s">
        <v>2276</v>
      </c>
      <c r="X3257" s="21" t="s">
        <v>2276</v>
      </c>
      <c r="Y3257" s="21" t="s">
        <v>2276</v>
      </c>
      <c r="Z3257" s="21" t="s">
        <v>2276</v>
      </c>
      <c r="AA3257" s="204"/>
      <c r="AB3257" s="204"/>
    </row>
    <row r="3258" spans="1:28" ht="39" customHeight="1">
      <c r="A3258" s="156" t="str">
        <f>'Reported burning'!A3258</f>
        <v>362b</v>
      </c>
      <c r="B3258" s="156" t="str">
        <f>'Reported burning'!B3258</f>
        <v>362b.3</v>
      </c>
      <c r="C3258" s="156" t="str">
        <f>'Reported burning'!C3258</f>
        <v>Human, deliberate</v>
      </c>
      <c r="D3258" s="156" t="str">
        <f>'Reported burning'!D3258</f>
        <v>Conservation</v>
      </c>
      <c r="E3258" s="156" t="str">
        <f>'Reported burning'!E3258</f>
        <v>Biodiversity conservation</v>
      </c>
      <c r="F3258" s="156" t="str">
        <f>'Reported burning'!F3258</f>
        <v>Shrubland (Mixed forest &amp; grassland)</v>
      </c>
      <c r="G3258" s="156" t="str">
        <f>'Reported burning'!G3258</f>
        <v>Shrubland (Mixed forest &amp; grassland)</v>
      </c>
      <c r="H3258" s="156" t="str">
        <f>'Reported burning'!H3258</f>
        <v>Presence</v>
      </c>
      <c r="I3258" s="5"/>
      <c r="J3258" s="204" t="s">
        <v>2276</v>
      </c>
      <c r="K3258" s="204" t="s">
        <v>2276</v>
      </c>
      <c r="L3258" s="204" t="s">
        <v>2276</v>
      </c>
      <c r="M3258" s="204" t="s">
        <v>2276</v>
      </c>
      <c r="N3258" s="204" t="s">
        <v>2276</v>
      </c>
      <c r="O3258" s="204" t="s">
        <v>2276</v>
      </c>
      <c r="P3258" s="204" t="s">
        <v>2276</v>
      </c>
      <c r="Q3258" s="204" t="s">
        <v>2276</v>
      </c>
      <c r="R3258" s="204" t="s">
        <v>2276</v>
      </c>
      <c r="S3258" s="204" t="s">
        <v>2276</v>
      </c>
      <c r="T3258" s="204" t="s">
        <v>2276</v>
      </c>
      <c r="U3258" s="204" t="s">
        <v>2276</v>
      </c>
      <c r="V3258" s="204" t="s">
        <v>2276</v>
      </c>
      <c r="W3258" s="204" t="s">
        <v>2276</v>
      </c>
      <c r="X3258" s="21" t="s">
        <v>2276</v>
      </c>
      <c r="Y3258" s="21" t="s">
        <v>2276</v>
      </c>
      <c r="Z3258" s="21" t="s">
        <v>2276</v>
      </c>
      <c r="AA3258" s="204"/>
      <c r="AB3258" s="204"/>
    </row>
    <row r="3259" spans="1:28" ht="39" customHeight="1">
      <c r="A3259" s="156" t="str">
        <f>'Reported burning'!A3259</f>
        <v>362c</v>
      </c>
      <c r="B3259" s="156" t="str">
        <f>'Reported burning'!B3259</f>
        <v>362c.3</v>
      </c>
      <c r="C3259" s="156" t="str">
        <f>'Reported burning'!C3259</f>
        <v>Human, deliberate</v>
      </c>
      <c r="D3259" s="156" t="str">
        <f>'Reported burning'!D3259</f>
        <v>Conservation</v>
      </c>
      <c r="E3259" s="156" t="str">
        <f>'Reported burning'!E3259</f>
        <v>Biodiversity conservation</v>
      </c>
      <c r="F3259" s="156" t="str">
        <f>'Reported burning'!F3259</f>
        <v>Shrubland (Mixed forest &amp; grassland)</v>
      </c>
      <c r="G3259" s="156" t="str">
        <f>'Reported burning'!G3259</f>
        <v>Shrubland (Mixed forest &amp; grassland)</v>
      </c>
      <c r="H3259" s="156" t="str">
        <f>'Reported burning'!H3259</f>
        <v>Presence</v>
      </c>
      <c r="I3259" s="5"/>
      <c r="J3259" s="204" t="s">
        <v>2276</v>
      </c>
      <c r="K3259" s="204" t="s">
        <v>2276</v>
      </c>
      <c r="L3259" s="204" t="s">
        <v>2276</v>
      </c>
      <c r="M3259" s="204" t="s">
        <v>2276</v>
      </c>
      <c r="N3259" s="204" t="s">
        <v>2276</v>
      </c>
      <c r="O3259" s="204" t="s">
        <v>2276</v>
      </c>
      <c r="P3259" s="204" t="s">
        <v>2276</v>
      </c>
      <c r="Q3259" s="204" t="s">
        <v>2276</v>
      </c>
      <c r="R3259" s="204" t="s">
        <v>2276</v>
      </c>
      <c r="S3259" s="204" t="s">
        <v>2276</v>
      </c>
      <c r="T3259" s="204" t="s">
        <v>2276</v>
      </c>
      <c r="U3259" s="204" t="s">
        <v>2276</v>
      </c>
      <c r="V3259" s="204" t="s">
        <v>2276</v>
      </c>
      <c r="W3259" s="204" t="s">
        <v>2276</v>
      </c>
      <c r="X3259" s="21" t="s">
        <v>2276</v>
      </c>
      <c r="Y3259" s="21" t="s">
        <v>2276</v>
      </c>
      <c r="Z3259" s="21" t="s">
        <v>2276</v>
      </c>
      <c r="AA3259" s="204"/>
      <c r="AB3259" s="204"/>
    </row>
    <row r="3260" spans="1:28" ht="41" customHeight="1">
      <c r="A3260" s="156" t="str">
        <f>'Reported burning'!A3260</f>
        <v>363a</v>
      </c>
      <c r="B3260" s="156" t="str">
        <f>'Reported burning'!B3260</f>
        <v>363a.1</v>
      </c>
      <c r="C3260" s="156" t="str">
        <f>'Reported burning'!C3260</f>
        <v>Human, deliberate</v>
      </c>
      <c r="D3260" s="156" t="str">
        <f>'Reported burning'!D3260</f>
        <v>Pasture renewal</v>
      </c>
      <c r="E3260" s="156" t="str">
        <f>'Reported burning'!E3260</f>
        <v>Cattle, Extensive</v>
      </c>
      <c r="F3260" s="156" t="str">
        <f>'Reported burning'!F3260</f>
        <v>Shrubland (Mixed forest &amp; grassland)</v>
      </c>
      <c r="G3260" s="156" t="str">
        <f>'Reported burning'!G3260</f>
        <v>Shrubland (Mixed forest &amp; grassland)</v>
      </c>
      <c r="H3260" s="156" t="str">
        <f>'Reported burning'!H3260</f>
        <v>Presence</v>
      </c>
      <c r="I3260" s="5"/>
      <c r="J3260" s="204" t="s">
        <v>2276</v>
      </c>
      <c r="K3260" s="204" t="s">
        <v>2276</v>
      </c>
      <c r="L3260" s="204" t="s">
        <v>2276</v>
      </c>
      <c r="M3260" s="204" t="s">
        <v>2276</v>
      </c>
      <c r="N3260" s="204" t="s">
        <v>2276</v>
      </c>
      <c r="O3260" s="204" t="s">
        <v>2276</v>
      </c>
      <c r="P3260" s="204" t="s">
        <v>2276</v>
      </c>
      <c r="Q3260" s="204" t="s">
        <v>2276</v>
      </c>
      <c r="R3260" s="204" t="s">
        <v>2276</v>
      </c>
      <c r="S3260" s="204" t="s">
        <v>2276</v>
      </c>
      <c r="T3260" s="204" t="s">
        <v>2276</v>
      </c>
      <c r="U3260" s="204" t="s">
        <v>2276</v>
      </c>
      <c r="V3260" s="204" t="s">
        <v>2276</v>
      </c>
      <c r="W3260" s="204" t="s">
        <v>2276</v>
      </c>
      <c r="X3260" s="204" t="s">
        <v>189</v>
      </c>
      <c r="Y3260" s="204" t="s">
        <v>86</v>
      </c>
      <c r="Z3260" s="204" t="s">
        <v>2276</v>
      </c>
      <c r="AA3260" s="204" t="s">
        <v>8770</v>
      </c>
      <c r="AB3260" s="204"/>
    </row>
    <row r="3261" spans="1:28" ht="41" customHeight="1">
      <c r="A3261" s="156" t="str">
        <f>'Reported burning'!A3261</f>
        <v>363a</v>
      </c>
      <c r="B3261" s="156" t="str">
        <f>'Reported burning'!B3261</f>
        <v>363a.2</v>
      </c>
      <c r="C3261" s="156" t="str">
        <f>'Reported burning'!C3261</f>
        <v>Human, deliberate</v>
      </c>
      <c r="D3261" s="156" t="str">
        <f>'Reported burning'!D3261</f>
        <v>Pasture renewal</v>
      </c>
      <c r="E3261" s="156" t="str">
        <f>'Reported burning'!E3261</f>
        <v>Cattle, Extensive</v>
      </c>
      <c r="F3261" s="156" t="str">
        <f>'Reported burning'!F3261</f>
        <v>Shrubland (Mixed forest &amp; grassland)</v>
      </c>
      <c r="G3261" s="156" t="str">
        <f>'Reported burning'!G3261</f>
        <v>Shrubland (Mixed forest &amp; grassland)</v>
      </c>
      <c r="H3261" s="156" t="str">
        <f>'Reported burning'!H3261</f>
        <v>Presence</v>
      </c>
      <c r="I3261" s="5"/>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04" t="s">
        <v>2276</v>
      </c>
      <c r="X3261" s="204" t="s">
        <v>405</v>
      </c>
      <c r="Y3261" s="204" t="s">
        <v>35</v>
      </c>
      <c r="Z3261" s="204" t="s">
        <v>2276</v>
      </c>
      <c r="AA3261" s="204" t="s">
        <v>8770</v>
      </c>
      <c r="AB3261" s="204"/>
    </row>
    <row r="3262" spans="1:28" ht="41" customHeight="1">
      <c r="A3262" s="156" t="str">
        <f>'Reported burning'!A3262</f>
        <v>363a</v>
      </c>
      <c r="B3262" s="156" t="str">
        <f>'Reported burning'!B3262</f>
        <v>363a.3</v>
      </c>
      <c r="C3262" s="156" t="str">
        <f>'Reported burning'!C3262</f>
        <v>Human, deliberate</v>
      </c>
      <c r="D3262" s="156" t="str">
        <f>'Reported burning'!D3262</f>
        <v>Crop residue burning</v>
      </c>
      <c r="E3262" s="156" t="str">
        <f>'Reported burning'!E3262</f>
        <v>Cropping, Intensive</v>
      </c>
      <c r="F3262" s="156" t="str">
        <f>'Reported burning'!F3262</f>
        <v>Cropland</v>
      </c>
      <c r="G3262" s="156" t="str">
        <f>'Reported burning'!G3262</f>
        <v>Cropland</v>
      </c>
      <c r="H3262" s="156" t="str">
        <f>'Reported burning'!H3262</f>
        <v>Presence</v>
      </c>
      <c r="I3262" s="5"/>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04" t="s">
        <v>2276</v>
      </c>
      <c r="X3262" s="204" t="s">
        <v>189</v>
      </c>
      <c r="Y3262" s="204" t="s">
        <v>86</v>
      </c>
      <c r="Z3262" s="204" t="s">
        <v>2276</v>
      </c>
      <c r="AA3262" s="204"/>
      <c r="AB3262" s="204"/>
    </row>
    <row r="3263" spans="1:28" ht="41" customHeight="1">
      <c r="A3263" s="156" t="str">
        <f>'Reported burning'!A3263</f>
        <v>363a</v>
      </c>
      <c r="B3263" s="156" t="str">
        <f>'Reported burning'!B3263</f>
        <v>363a.4</v>
      </c>
      <c r="C3263" s="156" t="str">
        <f>'Reported burning'!C3263</f>
        <v>Human, deliberate</v>
      </c>
      <c r="D3263" s="156" t="str">
        <f>'Reported burning'!D3263</f>
        <v>Crop residue burning</v>
      </c>
      <c r="E3263" s="156" t="str">
        <f>'Reported burning'!E3263</f>
        <v>Cropping, Intensive</v>
      </c>
      <c r="F3263" s="156" t="str">
        <f>'Reported burning'!F3263</f>
        <v>Cropland</v>
      </c>
      <c r="G3263" s="156" t="str">
        <f>'Reported burning'!G3263</f>
        <v>Cropland</v>
      </c>
      <c r="H3263" s="156" t="str">
        <f>'Reported burning'!H3263</f>
        <v>Presence</v>
      </c>
      <c r="I3263" s="5"/>
      <c r="J3263" s="204" t="s">
        <v>2276</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04" t="s">
        <v>2276</v>
      </c>
      <c r="X3263" s="204" t="s">
        <v>405</v>
      </c>
      <c r="Y3263" s="204" t="s">
        <v>35</v>
      </c>
      <c r="Z3263" s="204" t="s">
        <v>2276</v>
      </c>
      <c r="AA3263" s="204"/>
      <c r="AB3263" s="204"/>
    </row>
    <row r="3264" spans="1:28" ht="52.5" customHeight="1">
      <c r="A3264" s="156" t="str">
        <f>'Reported burning'!A3264</f>
        <v>363b</v>
      </c>
      <c r="B3264" s="156" t="str">
        <f>'Reported burning'!B3264</f>
        <v>363b.1</v>
      </c>
      <c r="C3264" s="156" t="str">
        <f>'Reported burning'!C3264</f>
        <v>Human, deliberate</v>
      </c>
      <c r="D3264" s="156" t="str">
        <f>'Reported burning'!D3264</f>
        <v>Pasture renewal</v>
      </c>
      <c r="E3264" s="156" t="str">
        <f>'Reported burning'!E3264</f>
        <v>Cattle, Extensive</v>
      </c>
      <c r="F3264" s="156" t="str">
        <f>'Reported burning'!F3264</f>
        <v>Grassland</v>
      </c>
      <c r="G3264" s="156" t="str">
        <f>'Reported burning'!G3264</f>
        <v>Grassland</v>
      </c>
      <c r="H3264" s="156" t="str">
        <f>'Reported burning'!H3264</f>
        <v>Presence</v>
      </c>
      <c r="I3264" s="5"/>
      <c r="J3264" s="21" t="s">
        <v>2276</v>
      </c>
      <c r="K3264" s="21" t="s">
        <v>2276</v>
      </c>
      <c r="L3264" s="21" t="s">
        <v>2276</v>
      </c>
      <c r="M3264" s="21" t="s">
        <v>2276</v>
      </c>
      <c r="N3264" s="21" t="s">
        <v>2276</v>
      </c>
      <c r="O3264" s="21" t="s">
        <v>2276</v>
      </c>
      <c r="P3264" s="21" t="s">
        <v>2276</v>
      </c>
      <c r="Q3264" s="21" t="s">
        <v>2276</v>
      </c>
      <c r="R3264" s="21" t="s">
        <v>2276</v>
      </c>
      <c r="S3264" s="21" t="s">
        <v>2276</v>
      </c>
      <c r="T3264" s="21" t="s">
        <v>2276</v>
      </c>
      <c r="U3264" s="21" t="s">
        <v>2276</v>
      </c>
      <c r="V3264" s="21" t="s">
        <v>2276</v>
      </c>
      <c r="W3264" s="21" t="s">
        <v>2276</v>
      </c>
      <c r="X3264" s="204" t="s">
        <v>189</v>
      </c>
      <c r="Y3264" s="204" t="s">
        <v>86</v>
      </c>
      <c r="Z3264" s="21" t="s">
        <v>2276</v>
      </c>
      <c r="AA3264" s="74" t="s">
        <v>8763</v>
      </c>
      <c r="AB3264" s="204"/>
    </row>
    <row r="3265" spans="1:28" ht="52.5" customHeight="1">
      <c r="A3265" s="156" t="str">
        <f>'Reported burning'!A3265</f>
        <v>363b</v>
      </c>
      <c r="B3265" s="156" t="str">
        <f>'Reported burning'!B3265</f>
        <v>363b.2</v>
      </c>
      <c r="C3265" s="156" t="str">
        <f>'Reported burning'!C3265</f>
        <v>Human, deliberate</v>
      </c>
      <c r="D3265" s="156" t="str">
        <f>'Reported burning'!D3265</f>
        <v>Pasture renewal</v>
      </c>
      <c r="E3265" s="156" t="str">
        <f>'Reported burning'!E3265</f>
        <v>Cattle, Extensive</v>
      </c>
      <c r="F3265" s="156" t="str">
        <f>'Reported burning'!F3265</f>
        <v>Grassland</v>
      </c>
      <c r="G3265" s="156" t="str">
        <f>'Reported burning'!G3265</f>
        <v>Grassland</v>
      </c>
      <c r="H3265" s="156" t="str">
        <f>'Reported burning'!H3265</f>
        <v>Presence</v>
      </c>
      <c r="I3265" s="5"/>
      <c r="J3265" s="21" t="s">
        <v>2276</v>
      </c>
      <c r="K3265" s="21" t="s">
        <v>2276</v>
      </c>
      <c r="L3265" s="21" t="s">
        <v>2276</v>
      </c>
      <c r="M3265" s="21" t="s">
        <v>2276</v>
      </c>
      <c r="N3265" s="21" t="s">
        <v>2276</v>
      </c>
      <c r="O3265" s="21" t="s">
        <v>2276</v>
      </c>
      <c r="P3265" s="21" t="s">
        <v>2276</v>
      </c>
      <c r="Q3265" s="21" t="s">
        <v>2276</v>
      </c>
      <c r="R3265" s="21" t="s">
        <v>2276</v>
      </c>
      <c r="S3265" s="21" t="s">
        <v>2276</v>
      </c>
      <c r="T3265" s="21" t="s">
        <v>2276</v>
      </c>
      <c r="U3265" s="21" t="s">
        <v>2276</v>
      </c>
      <c r="V3265" s="21" t="s">
        <v>2276</v>
      </c>
      <c r="W3265" s="21" t="s">
        <v>2276</v>
      </c>
      <c r="X3265" s="204" t="s">
        <v>405</v>
      </c>
      <c r="Y3265" s="204" t="s">
        <v>35</v>
      </c>
      <c r="Z3265" s="21" t="s">
        <v>2276</v>
      </c>
      <c r="AA3265" s="74" t="s">
        <v>8763</v>
      </c>
      <c r="AB3265" s="204"/>
    </row>
    <row r="3266" spans="1:28" ht="52.5" customHeight="1">
      <c r="A3266" s="156" t="str">
        <f>'Reported burning'!A3266</f>
        <v>363b</v>
      </c>
      <c r="B3266" s="156" t="str">
        <f>'Reported burning'!B3266</f>
        <v>363b.3</v>
      </c>
      <c r="C3266" s="156" t="str">
        <f>'Reported burning'!C3266</f>
        <v>Human, deliberate</v>
      </c>
      <c r="D3266" s="156" t="str">
        <f>'Reported burning'!D3266</f>
        <v>Crop residue burning</v>
      </c>
      <c r="E3266" s="156" t="str">
        <f>'Reported burning'!E3266</f>
        <v>Cropping, Intensive</v>
      </c>
      <c r="F3266" s="156" t="str">
        <f>'Reported burning'!F3266</f>
        <v>Cropland</v>
      </c>
      <c r="G3266" s="156" t="str">
        <f>'Reported burning'!G3266</f>
        <v>Cropland</v>
      </c>
      <c r="H3266" s="156" t="str">
        <f>'Reported burning'!H3266</f>
        <v>Presence</v>
      </c>
      <c r="I3266" s="5"/>
      <c r="J3266" s="21" t="s">
        <v>2276</v>
      </c>
      <c r="K3266" s="21" t="s">
        <v>2276</v>
      </c>
      <c r="L3266" s="21" t="s">
        <v>2276</v>
      </c>
      <c r="M3266" s="21" t="s">
        <v>2276</v>
      </c>
      <c r="N3266" s="21" t="s">
        <v>2276</v>
      </c>
      <c r="O3266" s="21" t="s">
        <v>2276</v>
      </c>
      <c r="P3266" s="21" t="s">
        <v>2276</v>
      </c>
      <c r="Q3266" s="21" t="s">
        <v>2276</v>
      </c>
      <c r="R3266" s="21" t="s">
        <v>2276</v>
      </c>
      <c r="S3266" s="21" t="s">
        <v>2276</v>
      </c>
      <c r="T3266" s="21" t="s">
        <v>2276</v>
      </c>
      <c r="U3266" s="21" t="s">
        <v>2276</v>
      </c>
      <c r="V3266" s="21" t="s">
        <v>2276</v>
      </c>
      <c r="W3266" s="21" t="s">
        <v>2276</v>
      </c>
      <c r="X3266" s="204" t="s">
        <v>189</v>
      </c>
      <c r="Y3266" s="204" t="s">
        <v>86</v>
      </c>
      <c r="Z3266" s="21" t="s">
        <v>2276</v>
      </c>
      <c r="AA3266" s="74" t="s">
        <v>8763</v>
      </c>
      <c r="AB3266" s="204"/>
    </row>
    <row r="3267" spans="1:28" ht="52.5" customHeight="1">
      <c r="A3267" s="156" t="str">
        <f>'Reported burning'!A3267</f>
        <v>363b</v>
      </c>
      <c r="B3267" s="156" t="str">
        <f>'Reported burning'!B3267</f>
        <v>363b.4</v>
      </c>
      <c r="C3267" s="156" t="str">
        <f>'Reported burning'!C3267</f>
        <v>Human, deliberate</v>
      </c>
      <c r="D3267" s="156" t="str">
        <f>'Reported burning'!D3267</f>
        <v>Crop residue burning</v>
      </c>
      <c r="E3267" s="156" t="str">
        <f>'Reported burning'!E3267</f>
        <v>Cropping, Intensive</v>
      </c>
      <c r="F3267" s="156" t="str">
        <f>'Reported burning'!F3267</f>
        <v>Cropland</v>
      </c>
      <c r="G3267" s="156" t="str">
        <f>'Reported burning'!G3267</f>
        <v>Cropland</v>
      </c>
      <c r="H3267" s="156" t="str">
        <f>'Reported burning'!H3267</f>
        <v>Presence</v>
      </c>
      <c r="I3267" s="5"/>
      <c r="J3267" s="21" t="s">
        <v>2276</v>
      </c>
      <c r="K3267" s="21" t="s">
        <v>2276</v>
      </c>
      <c r="L3267" s="21" t="s">
        <v>2276</v>
      </c>
      <c r="M3267" s="21" t="s">
        <v>2276</v>
      </c>
      <c r="N3267" s="21" t="s">
        <v>2276</v>
      </c>
      <c r="O3267" s="21" t="s">
        <v>2276</v>
      </c>
      <c r="P3267" s="21" t="s">
        <v>2276</v>
      </c>
      <c r="Q3267" s="21" t="s">
        <v>2276</v>
      </c>
      <c r="R3267" s="21" t="s">
        <v>2276</v>
      </c>
      <c r="S3267" s="21" t="s">
        <v>2276</v>
      </c>
      <c r="T3267" s="21" t="s">
        <v>2276</v>
      </c>
      <c r="U3267" s="21" t="s">
        <v>2276</v>
      </c>
      <c r="V3267" s="21" t="s">
        <v>2276</v>
      </c>
      <c r="W3267" s="21" t="s">
        <v>2276</v>
      </c>
      <c r="X3267" s="204" t="s">
        <v>405</v>
      </c>
      <c r="Y3267" s="204" t="s">
        <v>35</v>
      </c>
      <c r="Z3267" s="21" t="s">
        <v>2276</v>
      </c>
      <c r="AA3267" s="74" t="s">
        <v>8763</v>
      </c>
      <c r="AB3267" s="204"/>
    </row>
    <row r="3268" spans="1:28" ht="52.5" customHeight="1">
      <c r="A3268" s="156" t="str">
        <f>'Reported burning'!A3268</f>
        <v>363c</v>
      </c>
      <c r="B3268" s="156" t="str">
        <f>'Reported burning'!B3268</f>
        <v>363c.1</v>
      </c>
      <c r="C3268" s="156" t="str">
        <f>'Reported burning'!C3268</f>
        <v>Human, deliberate</v>
      </c>
      <c r="D3268" s="156" t="str">
        <f>'Reported burning'!D3268</f>
        <v>Pasture renewal</v>
      </c>
      <c r="E3268" s="156" t="str">
        <f>'Reported burning'!E3268</f>
        <v>Cattle, Extensive</v>
      </c>
      <c r="F3268" s="156" t="str">
        <f>'Reported burning'!F3268</f>
        <v>Grassland</v>
      </c>
      <c r="G3268" s="156" t="str">
        <f>'Reported burning'!G3268</f>
        <v>Grassland</v>
      </c>
      <c r="H3268" s="156" t="str">
        <f>'Reported burning'!H3268</f>
        <v>Presence</v>
      </c>
      <c r="I3268" s="5"/>
      <c r="J3268" s="21" t="s">
        <v>2276</v>
      </c>
      <c r="K3268" s="21" t="s">
        <v>2276</v>
      </c>
      <c r="L3268" s="21" t="s">
        <v>2276</v>
      </c>
      <c r="M3268" s="21" t="s">
        <v>2276</v>
      </c>
      <c r="N3268" s="21" t="s">
        <v>2276</v>
      </c>
      <c r="O3268" s="21" t="s">
        <v>2276</v>
      </c>
      <c r="P3268" s="21" t="s">
        <v>2276</v>
      </c>
      <c r="Q3268" s="21" t="s">
        <v>2276</v>
      </c>
      <c r="R3268" s="21" t="s">
        <v>2276</v>
      </c>
      <c r="S3268" s="21" t="s">
        <v>2276</v>
      </c>
      <c r="T3268" s="21" t="s">
        <v>2276</v>
      </c>
      <c r="U3268" s="21" t="s">
        <v>2276</v>
      </c>
      <c r="V3268" s="21" t="s">
        <v>2276</v>
      </c>
      <c r="W3268" s="21" t="s">
        <v>2276</v>
      </c>
      <c r="X3268" s="204" t="s">
        <v>189</v>
      </c>
      <c r="Y3268" s="204" t="s">
        <v>86</v>
      </c>
      <c r="Z3268" s="21" t="s">
        <v>2276</v>
      </c>
      <c r="AA3268" s="74" t="s">
        <v>8763</v>
      </c>
      <c r="AB3268" s="204"/>
    </row>
    <row r="3269" spans="1:28" ht="52.5" customHeight="1">
      <c r="A3269" s="156" t="str">
        <f>'Reported burning'!A3269</f>
        <v>363c</v>
      </c>
      <c r="B3269" s="156" t="str">
        <f>'Reported burning'!B3269</f>
        <v>363c.2</v>
      </c>
      <c r="C3269" s="156" t="str">
        <f>'Reported burning'!C3269</f>
        <v>Human, deliberate</v>
      </c>
      <c r="D3269" s="156" t="str">
        <f>'Reported burning'!D3269</f>
        <v>Pasture renewal</v>
      </c>
      <c r="E3269" s="156" t="str">
        <f>'Reported burning'!E3269</f>
        <v>Cattle, Extensive</v>
      </c>
      <c r="F3269" s="156" t="str">
        <f>'Reported burning'!F3269</f>
        <v>Grassland</v>
      </c>
      <c r="G3269" s="156" t="str">
        <f>'Reported burning'!G3269</f>
        <v>Grassland</v>
      </c>
      <c r="H3269" s="156" t="str">
        <f>'Reported burning'!H3269</f>
        <v>Presence</v>
      </c>
      <c r="I3269" s="5"/>
      <c r="J3269" s="21" t="s">
        <v>2276</v>
      </c>
      <c r="K3269" s="21" t="s">
        <v>2276</v>
      </c>
      <c r="L3269" s="21" t="s">
        <v>2276</v>
      </c>
      <c r="M3269" s="21" t="s">
        <v>2276</v>
      </c>
      <c r="N3269" s="21" t="s">
        <v>2276</v>
      </c>
      <c r="O3269" s="21" t="s">
        <v>2276</v>
      </c>
      <c r="P3269" s="21" t="s">
        <v>2276</v>
      </c>
      <c r="Q3269" s="21" t="s">
        <v>2276</v>
      </c>
      <c r="R3269" s="21" t="s">
        <v>2276</v>
      </c>
      <c r="S3269" s="21" t="s">
        <v>2276</v>
      </c>
      <c r="T3269" s="21" t="s">
        <v>2276</v>
      </c>
      <c r="U3269" s="21" t="s">
        <v>2276</v>
      </c>
      <c r="V3269" s="21" t="s">
        <v>2276</v>
      </c>
      <c r="W3269" s="21" t="s">
        <v>2276</v>
      </c>
      <c r="X3269" s="204" t="s">
        <v>405</v>
      </c>
      <c r="Y3269" s="204" t="s">
        <v>35</v>
      </c>
      <c r="Z3269" s="21" t="s">
        <v>2276</v>
      </c>
      <c r="AA3269" s="74" t="s">
        <v>8763</v>
      </c>
      <c r="AB3269" s="204"/>
    </row>
    <row r="3270" spans="1:28" ht="52.5" customHeight="1">
      <c r="A3270" s="156" t="str">
        <f>'Reported burning'!A3270</f>
        <v>363c</v>
      </c>
      <c r="B3270" s="156" t="str">
        <f>'Reported burning'!B3270</f>
        <v>363c.3</v>
      </c>
      <c r="C3270" s="156" t="str">
        <f>'Reported burning'!C3270</f>
        <v>Human, deliberate</v>
      </c>
      <c r="D3270" s="156" t="str">
        <f>'Reported burning'!D3270</f>
        <v>Crop residue burning</v>
      </c>
      <c r="E3270" s="156" t="str">
        <f>'Reported burning'!E3270</f>
        <v>Cropping, Intensive</v>
      </c>
      <c r="F3270" s="156" t="str">
        <f>'Reported burning'!F3270</f>
        <v>Cropland</v>
      </c>
      <c r="G3270" s="156" t="str">
        <f>'Reported burning'!G3270</f>
        <v>Cropland</v>
      </c>
      <c r="H3270" s="156" t="str">
        <f>'Reported burning'!H3270</f>
        <v>Presence</v>
      </c>
      <c r="I3270" s="5"/>
      <c r="J3270" s="21" t="s">
        <v>2276</v>
      </c>
      <c r="K3270" s="21" t="s">
        <v>2276</v>
      </c>
      <c r="L3270" s="21" t="s">
        <v>2276</v>
      </c>
      <c r="M3270" s="21" t="s">
        <v>2276</v>
      </c>
      <c r="N3270" s="21" t="s">
        <v>2276</v>
      </c>
      <c r="O3270" s="21" t="s">
        <v>2276</v>
      </c>
      <c r="P3270" s="21" t="s">
        <v>2276</v>
      </c>
      <c r="Q3270" s="21" t="s">
        <v>2276</v>
      </c>
      <c r="R3270" s="21" t="s">
        <v>2276</v>
      </c>
      <c r="S3270" s="21" t="s">
        <v>2276</v>
      </c>
      <c r="T3270" s="21" t="s">
        <v>2276</v>
      </c>
      <c r="U3270" s="21" t="s">
        <v>2276</v>
      </c>
      <c r="V3270" s="21" t="s">
        <v>2276</v>
      </c>
      <c r="W3270" s="21" t="s">
        <v>2276</v>
      </c>
      <c r="X3270" s="204" t="s">
        <v>189</v>
      </c>
      <c r="Y3270" s="204" t="s">
        <v>86</v>
      </c>
      <c r="Z3270" s="21" t="s">
        <v>2276</v>
      </c>
      <c r="AA3270" s="74" t="s">
        <v>8763</v>
      </c>
      <c r="AB3270" s="204"/>
    </row>
    <row r="3271" spans="1:28" ht="52.5" customHeight="1">
      <c r="A3271" s="156" t="str">
        <f>'Reported burning'!A3271</f>
        <v>363c</v>
      </c>
      <c r="B3271" s="156" t="str">
        <f>'Reported burning'!B3271</f>
        <v>363c.4</v>
      </c>
      <c r="C3271" s="156" t="str">
        <f>'Reported burning'!C3271</f>
        <v>Human, deliberate</v>
      </c>
      <c r="D3271" s="156" t="str">
        <f>'Reported burning'!D3271</f>
        <v>Crop residue burning</v>
      </c>
      <c r="E3271" s="156" t="str">
        <f>'Reported burning'!E3271</f>
        <v>Cropping, Intensive</v>
      </c>
      <c r="F3271" s="156" t="str">
        <f>'Reported burning'!F3271</f>
        <v>Cropland</v>
      </c>
      <c r="G3271" s="156" t="str">
        <f>'Reported burning'!G3271</f>
        <v>Cropland</v>
      </c>
      <c r="H3271" s="156" t="str">
        <f>'Reported burning'!H3271</f>
        <v>Presence</v>
      </c>
      <c r="I3271" s="5"/>
      <c r="J3271" s="21" t="s">
        <v>2276</v>
      </c>
      <c r="K3271" s="21" t="s">
        <v>2276</v>
      </c>
      <c r="L3271" s="21" t="s">
        <v>2276</v>
      </c>
      <c r="M3271" s="21" t="s">
        <v>2276</v>
      </c>
      <c r="N3271" s="21" t="s">
        <v>2276</v>
      </c>
      <c r="O3271" s="21" t="s">
        <v>2276</v>
      </c>
      <c r="P3271" s="21" t="s">
        <v>2276</v>
      </c>
      <c r="Q3271" s="21" t="s">
        <v>2276</v>
      </c>
      <c r="R3271" s="21" t="s">
        <v>2276</v>
      </c>
      <c r="S3271" s="21" t="s">
        <v>2276</v>
      </c>
      <c r="T3271" s="21" t="s">
        <v>2276</v>
      </c>
      <c r="U3271" s="21" t="s">
        <v>2276</v>
      </c>
      <c r="V3271" s="21" t="s">
        <v>2276</v>
      </c>
      <c r="W3271" s="21" t="s">
        <v>2276</v>
      </c>
      <c r="X3271" s="204" t="s">
        <v>405</v>
      </c>
      <c r="Y3271" s="204" t="s">
        <v>35</v>
      </c>
      <c r="Z3271" s="21" t="s">
        <v>2276</v>
      </c>
      <c r="AA3271" s="74" t="s">
        <v>8763</v>
      </c>
      <c r="AB3271" s="204"/>
    </row>
    <row r="3272" spans="1:28" ht="42" customHeight="1">
      <c r="A3272" s="156" t="str">
        <f>'Reported burning'!A3272</f>
        <v>364a</v>
      </c>
      <c r="B3272" s="156" t="str">
        <f>'Reported burning'!B3272</f>
        <v>364a.1</v>
      </c>
      <c r="C3272" s="156" t="str">
        <f>'Reported burning'!C3272</f>
        <v>Human, deliberate</v>
      </c>
      <c r="D3272" s="156" t="str">
        <f>'Reported burning'!D3272</f>
        <v>Crop residue burning</v>
      </c>
      <c r="E3272" s="156" t="str">
        <f>'Reported burning'!E3272</f>
        <v>Cropping, Monoculture, Market-oriented</v>
      </c>
      <c r="F3272" s="156" t="str">
        <f>'Reported burning'!F3272</f>
        <v>Cropland</v>
      </c>
      <c r="G3272" s="156" t="str">
        <f>'Reported burning'!G3272</f>
        <v>Cropland</v>
      </c>
      <c r="H3272" s="156" t="str">
        <f>'Reported burning'!H3272</f>
        <v>Presence</v>
      </c>
      <c r="I3272" s="5"/>
      <c r="J3272" s="21" t="s">
        <v>2276</v>
      </c>
      <c r="K3272" s="21" t="s">
        <v>2276</v>
      </c>
      <c r="L3272" s="21" t="s">
        <v>2276</v>
      </c>
      <c r="M3272" s="21" t="s">
        <v>2276</v>
      </c>
      <c r="N3272" s="21" t="s">
        <v>2276</v>
      </c>
      <c r="O3272" s="21" t="s">
        <v>2276</v>
      </c>
      <c r="P3272" s="21" t="s">
        <v>2276</v>
      </c>
      <c r="Q3272" s="21" t="s">
        <v>2276</v>
      </c>
      <c r="R3272" s="21" t="s">
        <v>2276</v>
      </c>
      <c r="S3272" s="21" t="s">
        <v>2276</v>
      </c>
      <c r="T3272" s="21" t="s">
        <v>2276</v>
      </c>
      <c r="U3272" s="21" t="s">
        <v>2276</v>
      </c>
      <c r="V3272" s="21" t="s">
        <v>2276</v>
      </c>
      <c r="W3272" s="21" t="s">
        <v>2375</v>
      </c>
      <c r="X3272" s="204" t="s">
        <v>425</v>
      </c>
      <c r="Y3272" s="204" t="s">
        <v>68</v>
      </c>
      <c r="Z3272" s="21" t="s">
        <v>2276</v>
      </c>
      <c r="AA3272" s="204"/>
      <c r="AB3272" s="204"/>
    </row>
    <row r="3273" spans="1:28" ht="42" customHeight="1">
      <c r="A3273" s="156" t="str">
        <f>'Reported burning'!A3273</f>
        <v>364b</v>
      </c>
      <c r="B3273" s="156" t="str">
        <f>'Reported burning'!B3273</f>
        <v>364b</v>
      </c>
      <c r="C3273" s="156" t="str">
        <f>'Reported burning'!C3273</f>
        <v>Human, deliberate</v>
      </c>
      <c r="D3273" s="156" t="str">
        <f>'Reported burning'!D3273</f>
        <v>Crop residue burning</v>
      </c>
      <c r="E3273" s="156" t="str">
        <f>'Reported burning'!E3273</f>
        <v>Cropping, Monoculture, Market-oriented</v>
      </c>
      <c r="F3273" s="156" t="str">
        <f>'Reported burning'!F3273</f>
        <v>Cropland</v>
      </c>
      <c r="G3273" s="156" t="str">
        <f>'Reported burning'!G3273</f>
        <v>Cropland</v>
      </c>
      <c r="H3273" s="156" t="str">
        <f>'Reported burning'!H3273</f>
        <v>Presence</v>
      </c>
      <c r="I3273" s="5"/>
      <c r="J3273" s="21" t="s">
        <v>2276</v>
      </c>
      <c r="K3273" s="21" t="s">
        <v>2276</v>
      </c>
      <c r="L3273" s="21" t="s">
        <v>2276</v>
      </c>
      <c r="M3273" s="21" t="s">
        <v>2276</v>
      </c>
      <c r="N3273" s="21" t="s">
        <v>2276</v>
      </c>
      <c r="O3273" s="21" t="s">
        <v>2276</v>
      </c>
      <c r="P3273" s="21" t="s">
        <v>2276</v>
      </c>
      <c r="Q3273" s="21" t="s">
        <v>2276</v>
      </c>
      <c r="R3273" s="21" t="s">
        <v>2276</v>
      </c>
      <c r="S3273" s="21" t="s">
        <v>2276</v>
      </c>
      <c r="T3273" s="21" t="s">
        <v>2276</v>
      </c>
      <c r="U3273" s="21" t="s">
        <v>2276</v>
      </c>
      <c r="V3273" s="21" t="s">
        <v>2276</v>
      </c>
      <c r="W3273" s="21" t="s">
        <v>2375</v>
      </c>
      <c r="X3273" s="204" t="s">
        <v>425</v>
      </c>
      <c r="Y3273" s="204" t="s">
        <v>68</v>
      </c>
      <c r="Z3273" s="21" t="s">
        <v>2276</v>
      </c>
      <c r="AA3273" s="204"/>
      <c r="AB3273" s="204"/>
    </row>
    <row r="3274" spans="1:28" ht="42" customHeight="1">
      <c r="A3274" s="156" t="str">
        <f>'Reported burning'!A3274</f>
        <v>364c</v>
      </c>
      <c r="B3274" s="156" t="str">
        <f>'Reported burning'!B3274</f>
        <v>364c</v>
      </c>
      <c r="C3274" s="156" t="str">
        <f>'Reported burning'!C3274</f>
        <v>Human, deliberate</v>
      </c>
      <c r="D3274" s="156" t="str">
        <f>'Reported burning'!D3274</f>
        <v>Crop residue burning</v>
      </c>
      <c r="E3274" s="156" t="str">
        <f>'Reported burning'!E3274</f>
        <v>Cropping, Monoculture, Market-oriented</v>
      </c>
      <c r="F3274" s="156" t="str">
        <f>'Reported burning'!F3274</f>
        <v>Cropland</v>
      </c>
      <c r="G3274" s="156" t="str">
        <f>'Reported burning'!G3274</f>
        <v>Cropland</v>
      </c>
      <c r="H3274" s="156" t="str">
        <f>'Reported burning'!H3274</f>
        <v>Presence</v>
      </c>
      <c r="I3274" s="5"/>
      <c r="J3274" s="21" t="s">
        <v>2276</v>
      </c>
      <c r="K3274" s="21" t="s">
        <v>2276</v>
      </c>
      <c r="L3274" s="21" t="s">
        <v>2276</v>
      </c>
      <c r="M3274" s="21" t="s">
        <v>2276</v>
      </c>
      <c r="N3274" s="21" t="s">
        <v>2276</v>
      </c>
      <c r="O3274" s="21" t="s">
        <v>2276</v>
      </c>
      <c r="P3274" s="21" t="s">
        <v>2276</v>
      </c>
      <c r="Q3274" s="21" t="s">
        <v>2276</v>
      </c>
      <c r="R3274" s="21" t="s">
        <v>2276</v>
      </c>
      <c r="S3274" s="21" t="s">
        <v>2276</v>
      </c>
      <c r="T3274" s="21" t="s">
        <v>2276</v>
      </c>
      <c r="U3274" s="21" t="s">
        <v>2276</v>
      </c>
      <c r="V3274" s="21" t="s">
        <v>2276</v>
      </c>
      <c r="W3274" s="21" t="s">
        <v>2375</v>
      </c>
      <c r="X3274" s="204" t="s">
        <v>425</v>
      </c>
      <c r="Y3274" s="204" t="s">
        <v>68</v>
      </c>
      <c r="Z3274" s="21" t="s">
        <v>2276</v>
      </c>
      <c r="AA3274" s="204"/>
      <c r="AB3274" s="204"/>
    </row>
    <row r="3275" spans="1:28" ht="42" customHeight="1">
      <c r="A3275" s="156" t="str">
        <f>'Reported burning'!A3275</f>
        <v>364d</v>
      </c>
      <c r="B3275" s="156" t="str">
        <f>'Reported burning'!B3275</f>
        <v>364d</v>
      </c>
      <c r="C3275" s="156" t="str">
        <f>'Reported burning'!C3275</f>
        <v>Human, deliberate</v>
      </c>
      <c r="D3275" s="156" t="str">
        <f>'Reported burning'!D3275</f>
        <v>Crop residue burning</v>
      </c>
      <c r="E3275" s="156" t="str">
        <f>'Reported burning'!E3275</f>
        <v>Cropping, Monoculture, Market-oriented</v>
      </c>
      <c r="F3275" s="156" t="str">
        <f>'Reported burning'!F3275</f>
        <v>Cropland</v>
      </c>
      <c r="G3275" s="156" t="str">
        <f>'Reported burning'!G3275</f>
        <v>Cropland</v>
      </c>
      <c r="H3275" s="156" t="str">
        <f>'Reported burning'!H3275</f>
        <v>Presence</v>
      </c>
      <c r="I3275" s="5"/>
      <c r="J3275" s="21" t="s">
        <v>2276</v>
      </c>
      <c r="K3275" s="21" t="s">
        <v>2276</v>
      </c>
      <c r="L3275" s="21" t="s">
        <v>2276</v>
      </c>
      <c r="M3275" s="21" t="s">
        <v>2276</v>
      </c>
      <c r="N3275" s="21" t="s">
        <v>2276</v>
      </c>
      <c r="O3275" s="21" t="s">
        <v>2276</v>
      </c>
      <c r="P3275" s="21" t="s">
        <v>2276</v>
      </c>
      <c r="Q3275" s="21" t="s">
        <v>2276</v>
      </c>
      <c r="R3275" s="21" t="s">
        <v>2276</v>
      </c>
      <c r="S3275" s="21" t="s">
        <v>2276</v>
      </c>
      <c r="T3275" s="21" t="s">
        <v>2276</v>
      </c>
      <c r="U3275" s="21" t="s">
        <v>2276</v>
      </c>
      <c r="V3275" s="21" t="s">
        <v>2276</v>
      </c>
      <c r="W3275" s="21" t="s">
        <v>2375</v>
      </c>
      <c r="X3275" s="204" t="s">
        <v>425</v>
      </c>
      <c r="Y3275" s="204" t="s">
        <v>68</v>
      </c>
      <c r="Z3275" s="21" t="s">
        <v>2276</v>
      </c>
      <c r="AA3275" s="204"/>
      <c r="AB3275" s="204"/>
    </row>
    <row r="3276" spans="1:28" ht="42" customHeight="1">
      <c r="A3276" s="156" t="str">
        <f>'Reported burning'!A3276</f>
        <v>364e</v>
      </c>
      <c r="B3276" s="156" t="str">
        <f>'Reported burning'!B3276</f>
        <v>364e</v>
      </c>
      <c r="C3276" s="156" t="str">
        <f>'Reported burning'!C3276</f>
        <v>Human, deliberate</v>
      </c>
      <c r="D3276" s="156" t="str">
        <f>'Reported burning'!D3276</f>
        <v>Crop residue burning</v>
      </c>
      <c r="E3276" s="156" t="str">
        <f>'Reported burning'!E3276</f>
        <v>Cropping, Monoculture, Market-oriented</v>
      </c>
      <c r="F3276" s="156" t="str">
        <f>'Reported burning'!F3276</f>
        <v>Cropland</v>
      </c>
      <c r="G3276" s="156" t="str">
        <f>'Reported burning'!G3276</f>
        <v>Cropland</v>
      </c>
      <c r="H3276" s="156" t="str">
        <f>'Reported burning'!H3276</f>
        <v>Presence</v>
      </c>
      <c r="I3276" s="5"/>
      <c r="J3276" s="21" t="s">
        <v>2276</v>
      </c>
      <c r="K3276" s="21" t="s">
        <v>2276</v>
      </c>
      <c r="L3276" s="21" t="s">
        <v>2276</v>
      </c>
      <c r="M3276" s="21" t="s">
        <v>2276</v>
      </c>
      <c r="N3276" s="21" t="s">
        <v>2276</v>
      </c>
      <c r="O3276" s="21" t="s">
        <v>2276</v>
      </c>
      <c r="P3276" s="21" t="s">
        <v>2276</v>
      </c>
      <c r="Q3276" s="21" t="s">
        <v>2276</v>
      </c>
      <c r="R3276" s="21" t="s">
        <v>2276</v>
      </c>
      <c r="S3276" s="21" t="s">
        <v>2276</v>
      </c>
      <c r="T3276" s="21" t="s">
        <v>2276</v>
      </c>
      <c r="U3276" s="21" t="s">
        <v>2276</v>
      </c>
      <c r="V3276" s="21" t="s">
        <v>2276</v>
      </c>
      <c r="W3276" s="21" t="s">
        <v>2375</v>
      </c>
      <c r="X3276" s="204" t="s">
        <v>425</v>
      </c>
      <c r="Y3276" s="204" t="s">
        <v>68</v>
      </c>
      <c r="Z3276" s="21" t="s">
        <v>2276</v>
      </c>
      <c r="AA3276" s="204"/>
      <c r="AB3276" s="204"/>
    </row>
    <row r="3277" spans="1:28" ht="42" customHeight="1">
      <c r="A3277" s="156" t="str">
        <f>'Reported burning'!A3277</f>
        <v>364f</v>
      </c>
      <c r="B3277" s="156" t="str">
        <f>'Reported burning'!B3277</f>
        <v>364f</v>
      </c>
      <c r="C3277" s="156" t="str">
        <f>'Reported burning'!C3277</f>
        <v>Human, deliberate</v>
      </c>
      <c r="D3277" s="156" t="str">
        <f>'Reported burning'!D3277</f>
        <v>Crop residue burning</v>
      </c>
      <c r="E3277" s="156" t="str">
        <f>'Reported burning'!E3277</f>
        <v>Cropping, Monoculture, Market-oriented</v>
      </c>
      <c r="F3277" s="156" t="str">
        <f>'Reported burning'!F3277</f>
        <v>Cropland</v>
      </c>
      <c r="G3277" s="156" t="str">
        <f>'Reported burning'!G3277</f>
        <v>Cropland</v>
      </c>
      <c r="H3277" s="156" t="str">
        <f>'Reported burning'!H3277</f>
        <v>Presence</v>
      </c>
      <c r="I3277" s="5"/>
      <c r="J3277" s="21" t="s">
        <v>2276</v>
      </c>
      <c r="K3277" s="21" t="s">
        <v>2276</v>
      </c>
      <c r="L3277" s="21" t="s">
        <v>2276</v>
      </c>
      <c r="M3277" s="21" t="s">
        <v>2276</v>
      </c>
      <c r="N3277" s="21" t="s">
        <v>2276</v>
      </c>
      <c r="O3277" s="21" t="s">
        <v>2276</v>
      </c>
      <c r="P3277" s="21" t="s">
        <v>2276</v>
      </c>
      <c r="Q3277" s="21" t="s">
        <v>2276</v>
      </c>
      <c r="R3277" s="21" t="s">
        <v>2276</v>
      </c>
      <c r="S3277" s="21" t="s">
        <v>2276</v>
      </c>
      <c r="T3277" s="21" t="s">
        <v>2276</v>
      </c>
      <c r="U3277" s="21" t="s">
        <v>2276</v>
      </c>
      <c r="V3277" s="21" t="s">
        <v>2276</v>
      </c>
      <c r="W3277" s="21" t="s">
        <v>2375</v>
      </c>
      <c r="X3277" s="204" t="s">
        <v>425</v>
      </c>
      <c r="Y3277" s="204" t="s">
        <v>68</v>
      </c>
      <c r="Z3277" s="21" t="s">
        <v>2276</v>
      </c>
      <c r="AA3277" s="204"/>
      <c r="AB3277" s="204"/>
    </row>
    <row r="3278" spans="1:28" ht="42" customHeight="1">
      <c r="A3278" s="156" t="str">
        <f>'Reported burning'!A3278</f>
        <v>364g</v>
      </c>
      <c r="B3278" s="156" t="str">
        <f>'Reported burning'!B3278</f>
        <v>364g</v>
      </c>
      <c r="C3278" s="156" t="str">
        <f>'Reported burning'!C3278</f>
        <v>Human, deliberate</v>
      </c>
      <c r="D3278" s="156" t="str">
        <f>'Reported burning'!D3278</f>
        <v>Crop residue burning</v>
      </c>
      <c r="E3278" s="156" t="str">
        <f>'Reported burning'!E3278</f>
        <v>Cropping, Monoculture, Market-oriented</v>
      </c>
      <c r="F3278" s="156" t="str">
        <f>'Reported burning'!F3278</f>
        <v>Cropland</v>
      </c>
      <c r="G3278" s="156" t="str">
        <f>'Reported burning'!G3278</f>
        <v>Cropland</v>
      </c>
      <c r="H3278" s="156" t="str">
        <f>'Reported burning'!H3278</f>
        <v>Presence</v>
      </c>
      <c r="I3278" s="5"/>
      <c r="J3278" s="21" t="s">
        <v>2276</v>
      </c>
      <c r="K3278" s="21" t="s">
        <v>2276</v>
      </c>
      <c r="L3278" s="21" t="s">
        <v>2276</v>
      </c>
      <c r="M3278" s="21" t="s">
        <v>2276</v>
      </c>
      <c r="N3278" s="21" t="s">
        <v>2276</v>
      </c>
      <c r="O3278" s="21" t="s">
        <v>2276</v>
      </c>
      <c r="P3278" s="21" t="s">
        <v>2276</v>
      </c>
      <c r="Q3278" s="21" t="s">
        <v>2276</v>
      </c>
      <c r="R3278" s="21" t="s">
        <v>2276</v>
      </c>
      <c r="S3278" s="21" t="s">
        <v>2276</v>
      </c>
      <c r="T3278" s="21" t="s">
        <v>2276</v>
      </c>
      <c r="U3278" s="21" t="s">
        <v>2276</v>
      </c>
      <c r="V3278" s="21" t="s">
        <v>2276</v>
      </c>
      <c r="W3278" s="21" t="s">
        <v>2375</v>
      </c>
      <c r="X3278" s="204" t="s">
        <v>425</v>
      </c>
      <c r="Y3278" s="204" t="s">
        <v>68</v>
      </c>
      <c r="Z3278" s="21" t="s">
        <v>2276</v>
      </c>
      <c r="AA3278" s="204"/>
      <c r="AB3278" s="204"/>
    </row>
    <row r="3279" spans="1:28" ht="42" customHeight="1">
      <c r="A3279" s="156" t="str">
        <f>'Reported burning'!A3279</f>
        <v>364h</v>
      </c>
      <c r="B3279" s="156" t="str">
        <f>'Reported burning'!B3279</f>
        <v>364h</v>
      </c>
      <c r="C3279" s="156" t="str">
        <f>'Reported burning'!C3279</f>
        <v>Human, deliberate</v>
      </c>
      <c r="D3279" s="156" t="str">
        <f>'Reported burning'!D3279</f>
        <v>Crop residue burning</v>
      </c>
      <c r="E3279" s="156" t="str">
        <f>'Reported burning'!E3279</f>
        <v>Cropping, Monoculture, Market-oriented</v>
      </c>
      <c r="F3279" s="156" t="str">
        <f>'Reported burning'!F3279</f>
        <v>Cropland</v>
      </c>
      <c r="G3279" s="156" t="str">
        <f>'Reported burning'!G3279</f>
        <v>Cropland</v>
      </c>
      <c r="H3279" s="156" t="str">
        <f>'Reported burning'!H3279</f>
        <v>Presence</v>
      </c>
      <c r="I3279" s="5"/>
      <c r="J3279" s="21" t="s">
        <v>2276</v>
      </c>
      <c r="K3279" s="21" t="s">
        <v>2276</v>
      </c>
      <c r="L3279" s="21" t="s">
        <v>2276</v>
      </c>
      <c r="M3279" s="21" t="s">
        <v>2276</v>
      </c>
      <c r="N3279" s="21" t="s">
        <v>2276</v>
      </c>
      <c r="O3279" s="21" t="s">
        <v>2276</v>
      </c>
      <c r="P3279" s="21" t="s">
        <v>2276</v>
      </c>
      <c r="Q3279" s="21" t="s">
        <v>2276</v>
      </c>
      <c r="R3279" s="21" t="s">
        <v>2276</v>
      </c>
      <c r="S3279" s="21" t="s">
        <v>2276</v>
      </c>
      <c r="T3279" s="21" t="s">
        <v>2276</v>
      </c>
      <c r="U3279" s="21" t="s">
        <v>2276</v>
      </c>
      <c r="V3279" s="21" t="s">
        <v>2276</v>
      </c>
      <c r="W3279" s="21" t="s">
        <v>2375</v>
      </c>
      <c r="X3279" s="204" t="s">
        <v>425</v>
      </c>
      <c r="Y3279" s="204" t="s">
        <v>68</v>
      </c>
      <c r="Z3279" s="21" t="s">
        <v>2276</v>
      </c>
      <c r="AA3279" s="204"/>
      <c r="AB3279" s="204"/>
    </row>
    <row r="3280" spans="1:28" ht="42" customHeight="1">
      <c r="A3280" s="156" t="str">
        <f>'Reported burning'!A3280</f>
        <v>364i</v>
      </c>
      <c r="B3280" s="156" t="str">
        <f>'Reported burning'!B3280</f>
        <v>364i</v>
      </c>
      <c r="C3280" s="156" t="str">
        <f>'Reported burning'!C3280</f>
        <v>Human, deliberate</v>
      </c>
      <c r="D3280" s="156" t="str">
        <f>'Reported burning'!D3280</f>
        <v>Crop residue burning</v>
      </c>
      <c r="E3280" s="156" t="str">
        <f>'Reported burning'!E3280</f>
        <v>Cropping, Monoculture, Market-oriented</v>
      </c>
      <c r="F3280" s="156" t="str">
        <f>'Reported burning'!F3280</f>
        <v>Cropland</v>
      </c>
      <c r="G3280" s="156" t="str">
        <f>'Reported burning'!G3280</f>
        <v>Cropland</v>
      </c>
      <c r="H3280" s="156" t="str">
        <f>'Reported burning'!H3280</f>
        <v>Presence</v>
      </c>
      <c r="I3280" s="5"/>
      <c r="J3280" s="21" t="s">
        <v>2276</v>
      </c>
      <c r="K3280" s="21" t="s">
        <v>2276</v>
      </c>
      <c r="L3280" s="21" t="s">
        <v>2276</v>
      </c>
      <c r="M3280" s="21" t="s">
        <v>2276</v>
      </c>
      <c r="N3280" s="21" t="s">
        <v>2276</v>
      </c>
      <c r="O3280" s="21" t="s">
        <v>2276</v>
      </c>
      <c r="P3280" s="21" t="s">
        <v>2276</v>
      </c>
      <c r="Q3280" s="21" t="s">
        <v>2276</v>
      </c>
      <c r="R3280" s="21" t="s">
        <v>2276</v>
      </c>
      <c r="S3280" s="21" t="s">
        <v>2276</v>
      </c>
      <c r="T3280" s="21" t="s">
        <v>2276</v>
      </c>
      <c r="U3280" s="21" t="s">
        <v>2276</v>
      </c>
      <c r="V3280" s="21" t="s">
        <v>2276</v>
      </c>
      <c r="W3280" s="21" t="s">
        <v>2375</v>
      </c>
      <c r="X3280" s="204" t="s">
        <v>425</v>
      </c>
      <c r="Y3280" s="204" t="s">
        <v>68</v>
      </c>
      <c r="Z3280" s="21" t="s">
        <v>2276</v>
      </c>
      <c r="AA3280" s="204"/>
      <c r="AB3280" s="204"/>
    </row>
    <row r="3281" spans="1:28" ht="42" customHeight="1">
      <c r="A3281" s="156" t="str">
        <f>'Reported burning'!A3281</f>
        <v>364j</v>
      </c>
      <c r="B3281" s="156" t="str">
        <f>'Reported burning'!B3281</f>
        <v>364j</v>
      </c>
      <c r="C3281" s="156" t="str">
        <f>'Reported burning'!C3281</f>
        <v>Human, deliberate</v>
      </c>
      <c r="D3281" s="156" t="str">
        <f>'Reported burning'!D3281</f>
        <v>Crop residue burning</v>
      </c>
      <c r="E3281" s="156" t="str">
        <f>'Reported burning'!E3281</f>
        <v>Cropping, Monoculture, Market-oriented</v>
      </c>
      <c r="F3281" s="156" t="str">
        <f>'Reported burning'!F3281</f>
        <v>Cropland</v>
      </c>
      <c r="G3281" s="156" t="str">
        <f>'Reported burning'!G3281</f>
        <v>Cropland</v>
      </c>
      <c r="H3281" s="156" t="str">
        <f>'Reported burning'!H3281</f>
        <v>Absence</v>
      </c>
      <c r="I3281" s="5"/>
      <c r="J3281" s="21">
        <v>0</v>
      </c>
      <c r="K3281" s="21">
        <v>0</v>
      </c>
      <c r="L3281" s="21">
        <v>0</v>
      </c>
      <c r="M3281" s="21">
        <v>0</v>
      </c>
      <c r="N3281" s="21">
        <v>0</v>
      </c>
      <c r="O3281" s="21">
        <v>0</v>
      </c>
      <c r="P3281" s="21">
        <v>0</v>
      </c>
      <c r="Q3281" s="21">
        <v>0</v>
      </c>
      <c r="R3281" s="21">
        <v>0</v>
      </c>
      <c r="S3281" s="21">
        <v>0</v>
      </c>
      <c r="T3281" s="21">
        <v>0</v>
      </c>
      <c r="U3281" s="21">
        <v>0</v>
      </c>
      <c r="V3281" s="21">
        <v>0</v>
      </c>
      <c r="W3281" s="21" t="s">
        <v>2375</v>
      </c>
      <c r="X3281" s="204" t="s">
        <v>425</v>
      </c>
      <c r="Y3281" s="204" t="s">
        <v>68</v>
      </c>
      <c r="Z3281" s="21" t="s">
        <v>2276</v>
      </c>
      <c r="AA3281" s="204"/>
      <c r="AB3281" s="204"/>
    </row>
    <row r="3282" spans="1:28" ht="42" customHeight="1">
      <c r="A3282" s="156" t="str">
        <f>'Reported burning'!A3282</f>
        <v>364k</v>
      </c>
      <c r="B3282" s="156" t="str">
        <f>'Reported burning'!B3282</f>
        <v>364k</v>
      </c>
      <c r="C3282" s="156" t="str">
        <f>'Reported burning'!C3282</f>
        <v>Human, deliberate</v>
      </c>
      <c r="D3282" s="156" t="str">
        <f>'Reported burning'!D3282</f>
        <v>Crop residue burning</v>
      </c>
      <c r="E3282" s="156" t="str">
        <f>'Reported burning'!E3282</f>
        <v>Cropping, Monoculture, Market-oriented</v>
      </c>
      <c r="F3282" s="156" t="str">
        <f>'Reported burning'!F3282</f>
        <v>Cropland</v>
      </c>
      <c r="G3282" s="156" t="str">
        <f>'Reported burning'!G3282</f>
        <v>Cropland</v>
      </c>
      <c r="H3282" s="156" t="str">
        <f>'Reported burning'!H3282</f>
        <v>Presence</v>
      </c>
      <c r="I3282" s="5"/>
      <c r="J3282" s="21" t="s">
        <v>2276</v>
      </c>
      <c r="K3282" s="21" t="s">
        <v>2276</v>
      </c>
      <c r="L3282" s="21" t="s">
        <v>2276</v>
      </c>
      <c r="M3282" s="21" t="s">
        <v>2276</v>
      </c>
      <c r="N3282" s="21" t="s">
        <v>2276</v>
      </c>
      <c r="O3282" s="21" t="s">
        <v>2276</v>
      </c>
      <c r="P3282" s="21" t="s">
        <v>2276</v>
      </c>
      <c r="Q3282" s="21" t="s">
        <v>2276</v>
      </c>
      <c r="R3282" s="21" t="s">
        <v>2276</v>
      </c>
      <c r="S3282" s="21" t="s">
        <v>2276</v>
      </c>
      <c r="T3282" s="21" t="s">
        <v>2276</v>
      </c>
      <c r="U3282" s="21" t="s">
        <v>2276</v>
      </c>
      <c r="V3282" s="21" t="s">
        <v>2276</v>
      </c>
      <c r="W3282" s="21" t="s">
        <v>2375</v>
      </c>
      <c r="X3282" s="204" t="s">
        <v>425</v>
      </c>
      <c r="Y3282" s="204" t="s">
        <v>68</v>
      </c>
      <c r="Z3282" s="21" t="s">
        <v>2276</v>
      </c>
      <c r="AA3282" s="204"/>
      <c r="AB3282" s="204"/>
    </row>
    <row r="3283" spans="1:28" ht="42" customHeight="1">
      <c r="A3283" s="156" t="str">
        <f>'Reported burning'!A3283</f>
        <v>364l</v>
      </c>
      <c r="B3283" s="156" t="str">
        <f>'Reported burning'!B3283</f>
        <v>364l</v>
      </c>
      <c r="C3283" s="156" t="str">
        <f>'Reported burning'!C3283</f>
        <v>Human, deliberate</v>
      </c>
      <c r="D3283" s="156" t="str">
        <f>'Reported burning'!D3283</f>
        <v>Crop residue burning</v>
      </c>
      <c r="E3283" s="156" t="str">
        <f>'Reported burning'!E3283</f>
        <v>Cropping, Monoculture, Market-oriented</v>
      </c>
      <c r="F3283" s="156" t="str">
        <f>'Reported burning'!F3283</f>
        <v>Cropland</v>
      </c>
      <c r="G3283" s="156" t="str">
        <f>'Reported burning'!G3283</f>
        <v>Cropland</v>
      </c>
      <c r="H3283" s="156" t="str">
        <f>'Reported burning'!H3283</f>
        <v>Absence</v>
      </c>
      <c r="I3283" s="5"/>
      <c r="J3283" s="21">
        <v>0</v>
      </c>
      <c r="K3283" s="21">
        <v>0</v>
      </c>
      <c r="L3283" s="21">
        <v>0</v>
      </c>
      <c r="M3283" s="21">
        <v>0</v>
      </c>
      <c r="N3283" s="21">
        <v>0</v>
      </c>
      <c r="O3283" s="21">
        <v>0</v>
      </c>
      <c r="P3283" s="21">
        <v>0</v>
      </c>
      <c r="Q3283" s="21">
        <v>0</v>
      </c>
      <c r="R3283" s="21">
        <v>0</v>
      </c>
      <c r="S3283" s="21">
        <v>0</v>
      </c>
      <c r="T3283" s="21">
        <v>0</v>
      </c>
      <c r="U3283" s="21">
        <v>0</v>
      </c>
      <c r="V3283" s="21">
        <v>0</v>
      </c>
      <c r="W3283" s="21" t="s">
        <v>2375</v>
      </c>
      <c r="X3283" s="204" t="s">
        <v>425</v>
      </c>
      <c r="Y3283" s="204" t="s">
        <v>68</v>
      </c>
      <c r="Z3283" s="21" t="s">
        <v>2276</v>
      </c>
      <c r="AA3283" s="204"/>
      <c r="AB3283" s="204"/>
    </row>
    <row r="3284" spans="1:28" ht="42" customHeight="1">
      <c r="A3284" s="156" t="str">
        <f>'Reported burning'!A3284</f>
        <v>364m</v>
      </c>
      <c r="B3284" s="156" t="str">
        <f>'Reported burning'!B3284</f>
        <v>364m</v>
      </c>
      <c r="C3284" s="156" t="str">
        <f>'Reported burning'!C3284</f>
        <v>Human, deliberate</v>
      </c>
      <c r="D3284" s="156" t="str">
        <f>'Reported burning'!D3284</f>
        <v>Crop residue burning</v>
      </c>
      <c r="E3284" s="156" t="str">
        <f>'Reported burning'!E3284</f>
        <v>Cropping, Monoculture, Market-oriented</v>
      </c>
      <c r="F3284" s="156" t="str">
        <f>'Reported burning'!F3284</f>
        <v>Cropland</v>
      </c>
      <c r="G3284" s="156" t="str">
        <f>'Reported burning'!G3284</f>
        <v>Cropland</v>
      </c>
      <c r="H3284" s="156" t="str">
        <f>'Reported burning'!H3284</f>
        <v>Presence</v>
      </c>
      <c r="I3284" s="5"/>
      <c r="J3284" s="21" t="s">
        <v>2276</v>
      </c>
      <c r="K3284" s="21" t="s">
        <v>2276</v>
      </c>
      <c r="L3284" s="21" t="s">
        <v>2276</v>
      </c>
      <c r="M3284" s="21" t="s">
        <v>2276</v>
      </c>
      <c r="N3284" s="21" t="s">
        <v>2276</v>
      </c>
      <c r="O3284" s="21" t="s">
        <v>2276</v>
      </c>
      <c r="P3284" s="21" t="s">
        <v>2276</v>
      </c>
      <c r="Q3284" s="21" t="s">
        <v>2276</v>
      </c>
      <c r="R3284" s="21" t="s">
        <v>2276</v>
      </c>
      <c r="S3284" s="21" t="s">
        <v>2276</v>
      </c>
      <c r="T3284" s="21" t="s">
        <v>2276</v>
      </c>
      <c r="U3284" s="21" t="s">
        <v>2276</v>
      </c>
      <c r="V3284" s="21" t="s">
        <v>2276</v>
      </c>
      <c r="W3284" s="21" t="s">
        <v>2375</v>
      </c>
      <c r="X3284" s="204" t="s">
        <v>425</v>
      </c>
      <c r="Y3284" s="204" t="s">
        <v>68</v>
      </c>
      <c r="Z3284" s="21" t="s">
        <v>2276</v>
      </c>
      <c r="AA3284" s="204"/>
      <c r="AB3284" s="204"/>
    </row>
    <row r="3285" spans="1:28" ht="42" customHeight="1">
      <c r="A3285" s="156" t="str">
        <f>'Reported burning'!A3285</f>
        <v>364n</v>
      </c>
      <c r="B3285" s="156" t="str">
        <f>'Reported burning'!B3285</f>
        <v>364n</v>
      </c>
      <c r="C3285" s="156" t="str">
        <f>'Reported burning'!C3285</f>
        <v>Human, deliberate</v>
      </c>
      <c r="D3285" s="156" t="str">
        <f>'Reported burning'!D3285</f>
        <v>Crop residue burning</v>
      </c>
      <c r="E3285" s="156" t="str">
        <f>'Reported burning'!E3285</f>
        <v>Cropping, Monoculture, Market-oriented</v>
      </c>
      <c r="F3285" s="156" t="str">
        <f>'Reported burning'!F3285</f>
        <v>Cropland</v>
      </c>
      <c r="G3285" s="156" t="str">
        <f>'Reported burning'!G3285</f>
        <v>Cropland</v>
      </c>
      <c r="H3285" s="156" t="str">
        <f>'Reported burning'!H3285</f>
        <v>Presence</v>
      </c>
      <c r="I3285" s="5"/>
      <c r="J3285" s="21" t="s">
        <v>2276</v>
      </c>
      <c r="K3285" s="21" t="s">
        <v>2276</v>
      </c>
      <c r="L3285" s="21" t="s">
        <v>2276</v>
      </c>
      <c r="M3285" s="21" t="s">
        <v>2276</v>
      </c>
      <c r="N3285" s="21" t="s">
        <v>2276</v>
      </c>
      <c r="O3285" s="21" t="s">
        <v>2276</v>
      </c>
      <c r="P3285" s="21" t="s">
        <v>2276</v>
      </c>
      <c r="Q3285" s="21" t="s">
        <v>2276</v>
      </c>
      <c r="R3285" s="21" t="s">
        <v>2276</v>
      </c>
      <c r="S3285" s="21" t="s">
        <v>2276</v>
      </c>
      <c r="T3285" s="21" t="s">
        <v>2276</v>
      </c>
      <c r="U3285" s="21" t="s">
        <v>2276</v>
      </c>
      <c r="V3285" s="21" t="s">
        <v>2276</v>
      </c>
      <c r="W3285" s="21" t="s">
        <v>2375</v>
      </c>
      <c r="X3285" s="204" t="s">
        <v>425</v>
      </c>
      <c r="Y3285" s="204" t="s">
        <v>68</v>
      </c>
      <c r="Z3285" s="21" t="s">
        <v>2276</v>
      </c>
      <c r="AA3285" s="204"/>
      <c r="AB3285" s="204"/>
    </row>
    <row r="3286" spans="1:28" ht="42" customHeight="1">
      <c r="A3286" s="156" t="str">
        <f>'Reported burning'!A3286</f>
        <v>364o</v>
      </c>
      <c r="B3286" s="156" t="str">
        <f>'Reported burning'!B3286</f>
        <v>364o</v>
      </c>
      <c r="C3286" s="156" t="str">
        <f>'Reported burning'!C3286</f>
        <v>Human, deliberate</v>
      </c>
      <c r="D3286" s="156" t="str">
        <f>'Reported burning'!D3286</f>
        <v>Crop residue burning</v>
      </c>
      <c r="E3286" s="156" t="str">
        <f>'Reported burning'!E3286</f>
        <v>Cropping, Monoculture, Market-oriented</v>
      </c>
      <c r="F3286" s="156" t="str">
        <f>'Reported burning'!F3286</f>
        <v>Cropland</v>
      </c>
      <c r="G3286" s="156" t="str">
        <f>'Reported burning'!G3286</f>
        <v>Cropland</v>
      </c>
      <c r="H3286" s="156" t="str">
        <f>'Reported burning'!H3286</f>
        <v>Presence</v>
      </c>
      <c r="I3286" s="5"/>
      <c r="J3286" s="21" t="s">
        <v>2276</v>
      </c>
      <c r="K3286" s="21" t="s">
        <v>2276</v>
      </c>
      <c r="L3286" s="21" t="s">
        <v>2276</v>
      </c>
      <c r="M3286" s="21" t="s">
        <v>2276</v>
      </c>
      <c r="N3286" s="21" t="s">
        <v>2276</v>
      </c>
      <c r="O3286" s="21" t="s">
        <v>2276</v>
      </c>
      <c r="P3286" s="21" t="s">
        <v>2276</v>
      </c>
      <c r="Q3286" s="21" t="s">
        <v>2276</v>
      </c>
      <c r="R3286" s="21" t="s">
        <v>2276</v>
      </c>
      <c r="S3286" s="21" t="s">
        <v>2276</v>
      </c>
      <c r="T3286" s="21" t="s">
        <v>2276</v>
      </c>
      <c r="U3286" s="21" t="s">
        <v>2276</v>
      </c>
      <c r="V3286" s="21" t="s">
        <v>2276</v>
      </c>
      <c r="W3286" s="21" t="s">
        <v>2375</v>
      </c>
      <c r="X3286" s="204" t="s">
        <v>425</v>
      </c>
      <c r="Y3286" s="204" t="s">
        <v>68</v>
      </c>
      <c r="Z3286" s="21" t="s">
        <v>2276</v>
      </c>
      <c r="AA3286" s="204"/>
      <c r="AB3286" s="204"/>
    </row>
    <row r="3287" spans="1:28" ht="28" customHeight="1">
      <c r="A3287" s="156" t="str">
        <f>'Reported burning'!A3287</f>
        <v>365a</v>
      </c>
      <c r="B3287" s="156" t="str">
        <f>'Reported burning'!B3287</f>
        <v>365a.1</v>
      </c>
      <c r="C3287" s="156" t="str">
        <f>'Reported burning'!C3287</f>
        <v>Human, deliberate</v>
      </c>
      <c r="D3287" s="156" t="str">
        <f>'Reported burning'!D3287</f>
        <v>Crop residue burning</v>
      </c>
      <c r="E3287" s="156" t="str">
        <f>'Reported burning'!E3287</f>
        <v>ND</v>
      </c>
      <c r="F3287" s="156" t="str">
        <f>'Reported burning'!F3287</f>
        <v>Cropland</v>
      </c>
      <c r="G3287" s="156" t="str">
        <f>'Reported burning'!G3287</f>
        <v>ND</v>
      </c>
      <c r="H3287" s="156" t="str">
        <f>'Reported burning'!H3287</f>
        <v>Presence</v>
      </c>
      <c r="I3287" s="5"/>
      <c r="J3287" s="21" t="s">
        <v>2276</v>
      </c>
      <c r="K3287" s="21" t="s">
        <v>2276</v>
      </c>
      <c r="L3287" s="21" t="s">
        <v>2276</v>
      </c>
      <c r="M3287" s="21" t="s">
        <v>2276</v>
      </c>
      <c r="N3287" s="21" t="s">
        <v>2276</v>
      </c>
      <c r="O3287" s="21" t="s">
        <v>2276</v>
      </c>
      <c r="P3287" s="21" t="s">
        <v>2276</v>
      </c>
      <c r="Q3287" s="21" t="s">
        <v>2276</v>
      </c>
      <c r="R3287" s="21" t="s">
        <v>2276</v>
      </c>
      <c r="S3287" s="21" t="s">
        <v>2276</v>
      </c>
      <c r="T3287" s="21" t="s">
        <v>2276</v>
      </c>
      <c r="U3287" s="21" t="s">
        <v>2276</v>
      </c>
      <c r="V3287" s="21" t="s">
        <v>2276</v>
      </c>
      <c r="W3287" s="21" t="s">
        <v>2276</v>
      </c>
      <c r="X3287" s="204" t="s">
        <v>189</v>
      </c>
      <c r="Y3287" s="204" t="s">
        <v>38</v>
      </c>
      <c r="Z3287" s="204" t="s">
        <v>2655</v>
      </c>
      <c r="AA3287" s="204"/>
      <c r="AB3287" s="204"/>
    </row>
    <row r="3288" spans="1:28" ht="28" customHeight="1">
      <c r="A3288" s="156" t="str">
        <f>'Reported burning'!A3288</f>
        <v>365b</v>
      </c>
      <c r="B3288" s="156" t="str">
        <f>'Reported burning'!B3288</f>
        <v>365b.1</v>
      </c>
      <c r="C3288" s="156" t="str">
        <f>'Reported burning'!C3288</f>
        <v>Human, deliberate</v>
      </c>
      <c r="D3288" s="156" t="str">
        <f>'Reported burning'!D3288</f>
        <v>Crop residue burning</v>
      </c>
      <c r="E3288" s="156" t="str">
        <f>'Reported burning'!E3288</f>
        <v>ND</v>
      </c>
      <c r="F3288" s="156" t="str">
        <f>'Reported burning'!F3288</f>
        <v>Cropland</v>
      </c>
      <c r="G3288" s="156" t="str">
        <f>'Reported burning'!G3288</f>
        <v>ND</v>
      </c>
      <c r="H3288" s="156" t="str">
        <f>'Reported burning'!H3288</f>
        <v>Presence</v>
      </c>
      <c r="I3288" s="5"/>
      <c r="J3288" s="21" t="s">
        <v>2276</v>
      </c>
      <c r="K3288" s="21" t="s">
        <v>2276</v>
      </c>
      <c r="L3288" s="21" t="s">
        <v>2276</v>
      </c>
      <c r="M3288" s="21" t="s">
        <v>2276</v>
      </c>
      <c r="N3288" s="21" t="s">
        <v>2276</v>
      </c>
      <c r="O3288" s="21" t="s">
        <v>2276</v>
      </c>
      <c r="P3288" s="21" t="s">
        <v>2276</v>
      </c>
      <c r="Q3288" s="21" t="s">
        <v>2276</v>
      </c>
      <c r="R3288" s="21" t="s">
        <v>2276</v>
      </c>
      <c r="S3288" s="21" t="s">
        <v>2276</v>
      </c>
      <c r="T3288" s="21" t="s">
        <v>2276</v>
      </c>
      <c r="U3288" s="21" t="s">
        <v>2276</v>
      </c>
      <c r="V3288" s="21" t="s">
        <v>2276</v>
      </c>
      <c r="W3288" s="21" t="s">
        <v>2276</v>
      </c>
      <c r="X3288" s="204" t="s">
        <v>189</v>
      </c>
      <c r="Y3288" s="204" t="s">
        <v>38</v>
      </c>
      <c r="Z3288" s="204" t="s">
        <v>2655</v>
      </c>
      <c r="AA3288" s="204"/>
      <c r="AB3288" s="204"/>
    </row>
    <row r="3289" spans="1:28" ht="28" customHeight="1">
      <c r="A3289" s="156" t="str">
        <f>'Reported burning'!A3289</f>
        <v>365d</v>
      </c>
      <c r="B3289" s="156" t="str">
        <f>'Reported burning'!B3289</f>
        <v>365d.1</v>
      </c>
      <c r="C3289" s="156" t="str">
        <f>'Reported burning'!C3289</f>
        <v>Human, deliberate</v>
      </c>
      <c r="D3289" s="156" t="str">
        <f>'Reported burning'!D3289</f>
        <v>Crop residue burning</v>
      </c>
      <c r="E3289" s="156" t="str">
        <f>'Reported burning'!E3289</f>
        <v>ND</v>
      </c>
      <c r="F3289" s="156" t="str">
        <f>'Reported burning'!F3289</f>
        <v>Cropland</v>
      </c>
      <c r="G3289" s="156" t="str">
        <f>'Reported burning'!G3289</f>
        <v>ND</v>
      </c>
      <c r="H3289" s="156" t="str">
        <f>'Reported burning'!H3289</f>
        <v>Presence</v>
      </c>
      <c r="I3289" s="5"/>
      <c r="J3289" s="21" t="s">
        <v>2276</v>
      </c>
      <c r="K3289" s="21" t="s">
        <v>2276</v>
      </c>
      <c r="L3289" s="21" t="s">
        <v>2276</v>
      </c>
      <c r="M3289" s="21" t="s">
        <v>2276</v>
      </c>
      <c r="N3289" s="21" t="s">
        <v>2276</v>
      </c>
      <c r="O3289" s="21" t="s">
        <v>2276</v>
      </c>
      <c r="P3289" s="21" t="s">
        <v>2276</v>
      </c>
      <c r="Q3289" s="21" t="s">
        <v>2276</v>
      </c>
      <c r="R3289" s="21" t="s">
        <v>2276</v>
      </c>
      <c r="S3289" s="21" t="s">
        <v>2276</v>
      </c>
      <c r="T3289" s="21" t="s">
        <v>2276</v>
      </c>
      <c r="U3289" s="21" t="s">
        <v>2276</v>
      </c>
      <c r="V3289" s="21" t="s">
        <v>2276</v>
      </c>
      <c r="W3289" s="21" t="s">
        <v>2276</v>
      </c>
      <c r="X3289" s="204" t="s">
        <v>189</v>
      </c>
      <c r="Y3289" s="204" t="s">
        <v>38</v>
      </c>
      <c r="Z3289" s="204" t="s">
        <v>2655</v>
      </c>
      <c r="AA3289" s="204"/>
      <c r="AB3289" s="204"/>
    </row>
    <row r="3290" spans="1:28" ht="28" customHeight="1">
      <c r="A3290" s="156" t="str">
        <f>'Reported burning'!A3290</f>
        <v>365e</v>
      </c>
      <c r="B3290" s="156" t="str">
        <f>'Reported burning'!B3290</f>
        <v>365e.1</v>
      </c>
      <c r="C3290" s="156" t="str">
        <f>'Reported burning'!C3290</f>
        <v>Human, deliberate</v>
      </c>
      <c r="D3290" s="156" t="str">
        <f>'Reported burning'!D3290</f>
        <v>Crop residue burning</v>
      </c>
      <c r="E3290" s="156" t="str">
        <f>'Reported burning'!E3290</f>
        <v>ND</v>
      </c>
      <c r="F3290" s="156" t="str">
        <f>'Reported burning'!F3290</f>
        <v>Cropland</v>
      </c>
      <c r="G3290" s="156" t="str">
        <f>'Reported burning'!G3290</f>
        <v>ND</v>
      </c>
      <c r="H3290" s="156" t="str">
        <f>'Reported burning'!H3290</f>
        <v>Presence</v>
      </c>
      <c r="I3290" s="5"/>
      <c r="J3290" s="21" t="s">
        <v>2276</v>
      </c>
      <c r="K3290" s="21" t="s">
        <v>2276</v>
      </c>
      <c r="L3290" s="21" t="s">
        <v>2276</v>
      </c>
      <c r="M3290" s="21" t="s">
        <v>2276</v>
      </c>
      <c r="N3290" s="21" t="s">
        <v>2276</v>
      </c>
      <c r="O3290" s="21" t="s">
        <v>2276</v>
      </c>
      <c r="P3290" s="21" t="s">
        <v>2276</v>
      </c>
      <c r="Q3290" s="21" t="s">
        <v>2276</v>
      </c>
      <c r="R3290" s="21" t="s">
        <v>2276</v>
      </c>
      <c r="S3290" s="21" t="s">
        <v>2276</v>
      </c>
      <c r="T3290" s="21" t="s">
        <v>2276</v>
      </c>
      <c r="U3290" s="21" t="s">
        <v>2276</v>
      </c>
      <c r="V3290" s="21" t="s">
        <v>2276</v>
      </c>
      <c r="W3290" s="21" t="s">
        <v>2276</v>
      </c>
      <c r="X3290" s="204" t="s">
        <v>189</v>
      </c>
      <c r="Y3290" s="204" t="s">
        <v>38</v>
      </c>
      <c r="Z3290" s="204" t="s">
        <v>2655</v>
      </c>
      <c r="AA3290" s="204"/>
      <c r="AB3290" s="204"/>
    </row>
    <row r="3291" spans="1:28" ht="28" customHeight="1">
      <c r="A3291" s="156" t="str">
        <f>'Reported burning'!A3291</f>
        <v>365f</v>
      </c>
      <c r="B3291" s="156" t="str">
        <f>'Reported burning'!B3291</f>
        <v>365f.1</v>
      </c>
      <c r="C3291" s="156" t="str">
        <f>'Reported burning'!C3291</f>
        <v>Human, deliberate</v>
      </c>
      <c r="D3291" s="156" t="str">
        <f>'Reported burning'!D3291</f>
        <v>Crop residue burning</v>
      </c>
      <c r="E3291" s="156" t="str">
        <f>'Reported burning'!E3291</f>
        <v>ND</v>
      </c>
      <c r="F3291" s="156" t="str">
        <f>'Reported burning'!F3291</f>
        <v>Cropland</v>
      </c>
      <c r="G3291" s="156" t="str">
        <f>'Reported burning'!G3291</f>
        <v>ND</v>
      </c>
      <c r="H3291" s="156" t="str">
        <f>'Reported burning'!H3291</f>
        <v>Presence</v>
      </c>
      <c r="I3291" s="5"/>
      <c r="J3291" s="21" t="s">
        <v>2276</v>
      </c>
      <c r="K3291" s="21" t="s">
        <v>2276</v>
      </c>
      <c r="L3291" s="21" t="s">
        <v>2276</v>
      </c>
      <c r="M3291" s="21" t="s">
        <v>2276</v>
      </c>
      <c r="N3291" s="21" t="s">
        <v>2276</v>
      </c>
      <c r="O3291" s="21" t="s">
        <v>2276</v>
      </c>
      <c r="P3291" s="21" t="s">
        <v>2276</v>
      </c>
      <c r="Q3291" s="21" t="s">
        <v>2276</v>
      </c>
      <c r="R3291" s="21" t="s">
        <v>2276</v>
      </c>
      <c r="S3291" s="21" t="s">
        <v>2276</v>
      </c>
      <c r="T3291" s="21" t="s">
        <v>2276</v>
      </c>
      <c r="U3291" s="21" t="s">
        <v>2276</v>
      </c>
      <c r="V3291" s="21" t="s">
        <v>2276</v>
      </c>
      <c r="W3291" s="21" t="s">
        <v>2276</v>
      </c>
      <c r="X3291" s="204" t="s">
        <v>189</v>
      </c>
      <c r="Y3291" s="204" t="s">
        <v>38</v>
      </c>
      <c r="Z3291" s="204" t="s">
        <v>2655</v>
      </c>
      <c r="AA3291" s="204"/>
      <c r="AB3291" s="204"/>
    </row>
    <row r="3292" spans="1:28" ht="45.5" customHeight="1">
      <c r="A3292" s="156" t="str">
        <f>'Reported burning'!A3292</f>
        <v>365a</v>
      </c>
      <c r="B3292" s="156" t="str">
        <f>'Reported burning'!B3292</f>
        <v>365a.2</v>
      </c>
      <c r="C3292" s="156" t="str">
        <f>'Reported burning'!C3292</f>
        <v>Human, escaped</v>
      </c>
      <c r="D3292" s="156" t="str">
        <f>'Reported burning'!D3292</f>
        <v>Crop residue burning</v>
      </c>
      <c r="E3292" s="156" t="str">
        <f>'Reported burning'!E3292</f>
        <v>ND</v>
      </c>
      <c r="F3292" s="156" t="str">
        <f>'Reported burning'!F3292</f>
        <v>Cropland</v>
      </c>
      <c r="G3292" s="156" t="str">
        <f>'Reported burning'!G3292</f>
        <v>ND</v>
      </c>
      <c r="H3292" s="156" t="str">
        <f>'Reported burning'!H3292</f>
        <v>Presence</v>
      </c>
      <c r="I3292" s="5"/>
      <c r="J3292" s="21" t="s">
        <v>2276</v>
      </c>
      <c r="K3292" s="21" t="s">
        <v>2276</v>
      </c>
      <c r="L3292" s="21" t="s">
        <v>2276</v>
      </c>
      <c r="M3292" s="21" t="s">
        <v>2276</v>
      </c>
      <c r="N3292" s="21" t="s">
        <v>2276</v>
      </c>
      <c r="O3292" s="21" t="s">
        <v>2276</v>
      </c>
      <c r="P3292" s="21" t="s">
        <v>2276</v>
      </c>
      <c r="Q3292" s="21" t="s">
        <v>2276</v>
      </c>
      <c r="R3292" s="21" t="s">
        <v>2379</v>
      </c>
      <c r="S3292" s="21" t="s">
        <v>2276</v>
      </c>
      <c r="T3292" s="21" t="s">
        <v>2276</v>
      </c>
      <c r="U3292" s="21" t="s">
        <v>2276</v>
      </c>
      <c r="V3292" s="21" t="s">
        <v>2276</v>
      </c>
      <c r="W3292" s="21" t="s">
        <v>2276</v>
      </c>
      <c r="X3292" s="4" t="s">
        <v>38</v>
      </c>
      <c r="Y3292" s="4" t="s">
        <v>86</v>
      </c>
      <c r="Z3292" s="4" t="s">
        <v>76</v>
      </c>
      <c r="AA3292" s="4" t="s">
        <v>8828</v>
      </c>
      <c r="AB3292" s="19" t="s">
        <v>8829</v>
      </c>
    </row>
    <row r="3293" spans="1:28" ht="45.5" customHeight="1">
      <c r="A3293" s="156" t="str">
        <f>'Reported burning'!A3293</f>
        <v>365b</v>
      </c>
      <c r="B3293" s="156" t="str">
        <f>'Reported burning'!B3293</f>
        <v>365b.2</v>
      </c>
      <c r="C3293" s="156" t="str">
        <f>'Reported burning'!C3293</f>
        <v>Human, escaped</v>
      </c>
      <c r="D3293" s="156" t="str">
        <f>'Reported burning'!D3293</f>
        <v>Crop residue burning</v>
      </c>
      <c r="E3293" s="156" t="str">
        <f>'Reported burning'!E3293</f>
        <v>ND</v>
      </c>
      <c r="F3293" s="156" t="str">
        <f>'Reported burning'!F3293</f>
        <v>Cropland</v>
      </c>
      <c r="G3293" s="156" t="str">
        <f>'Reported burning'!G3293</f>
        <v>ND</v>
      </c>
      <c r="H3293" s="156" t="str">
        <f>'Reported burning'!H3293</f>
        <v>Presence</v>
      </c>
      <c r="I3293" s="5"/>
      <c r="J3293" s="21" t="s">
        <v>2276</v>
      </c>
      <c r="K3293" s="21" t="s">
        <v>2276</v>
      </c>
      <c r="L3293" s="21" t="s">
        <v>2276</v>
      </c>
      <c r="M3293" s="21" t="s">
        <v>2276</v>
      </c>
      <c r="N3293" s="21" t="s">
        <v>2276</v>
      </c>
      <c r="O3293" s="21" t="s">
        <v>2276</v>
      </c>
      <c r="P3293" s="21" t="s">
        <v>2276</v>
      </c>
      <c r="Q3293" s="21" t="s">
        <v>2276</v>
      </c>
      <c r="R3293" s="21" t="s">
        <v>2379</v>
      </c>
      <c r="S3293" s="21" t="s">
        <v>2276</v>
      </c>
      <c r="T3293" s="21" t="s">
        <v>2276</v>
      </c>
      <c r="U3293" s="21" t="s">
        <v>2276</v>
      </c>
      <c r="V3293" s="21" t="s">
        <v>2276</v>
      </c>
      <c r="W3293" s="21" t="s">
        <v>2276</v>
      </c>
      <c r="X3293" s="4" t="s">
        <v>38</v>
      </c>
      <c r="Y3293" s="4" t="s">
        <v>86</v>
      </c>
      <c r="Z3293" s="4" t="s">
        <v>76</v>
      </c>
      <c r="AA3293" s="4" t="s">
        <v>8828</v>
      </c>
      <c r="AB3293" s="19" t="s">
        <v>8829</v>
      </c>
    </row>
    <row r="3294" spans="1:28" ht="45.5" customHeight="1">
      <c r="A3294" s="156" t="str">
        <f>'Reported burning'!A3294</f>
        <v>365c</v>
      </c>
      <c r="B3294" s="156" t="str">
        <f>'Reported burning'!B3294</f>
        <v>365c.2</v>
      </c>
      <c r="C3294" s="156" t="str">
        <f>'Reported burning'!C3294</f>
        <v>Human, escaped</v>
      </c>
      <c r="D3294" s="156" t="str">
        <f>'Reported burning'!D3294</f>
        <v>Crop residue burning</v>
      </c>
      <c r="E3294" s="156" t="str">
        <f>'Reported burning'!E3294</f>
        <v>ND</v>
      </c>
      <c r="F3294" s="156" t="str">
        <f>'Reported burning'!F3294</f>
        <v>Cropland</v>
      </c>
      <c r="G3294" s="156" t="str">
        <f>'Reported burning'!G3294</f>
        <v>Forest</v>
      </c>
      <c r="H3294" s="156" t="str">
        <f>'Reported burning'!H3294</f>
        <v>Presence</v>
      </c>
      <c r="I3294" s="5"/>
      <c r="J3294" s="21" t="s">
        <v>2276</v>
      </c>
      <c r="K3294" s="21" t="s">
        <v>2276</v>
      </c>
      <c r="L3294" s="21" t="s">
        <v>2276</v>
      </c>
      <c r="M3294" s="21" t="s">
        <v>2276</v>
      </c>
      <c r="N3294" s="21" t="s">
        <v>2276</v>
      </c>
      <c r="O3294" s="21" t="s">
        <v>2276</v>
      </c>
      <c r="P3294" s="21" t="s">
        <v>2276</v>
      </c>
      <c r="Q3294" s="21" t="s">
        <v>2276</v>
      </c>
      <c r="R3294" s="21" t="s">
        <v>2379</v>
      </c>
      <c r="S3294" s="21" t="s">
        <v>2276</v>
      </c>
      <c r="T3294" s="21" t="s">
        <v>2276</v>
      </c>
      <c r="U3294" s="21" t="s">
        <v>2276</v>
      </c>
      <c r="V3294" s="21" t="s">
        <v>2276</v>
      </c>
      <c r="W3294" s="21" t="s">
        <v>2276</v>
      </c>
      <c r="X3294" s="4" t="s">
        <v>38</v>
      </c>
      <c r="Y3294" s="4" t="s">
        <v>86</v>
      </c>
      <c r="Z3294" s="4" t="s">
        <v>76</v>
      </c>
      <c r="AA3294" s="4" t="s">
        <v>8828</v>
      </c>
      <c r="AB3294" s="19" t="s">
        <v>8829</v>
      </c>
    </row>
    <row r="3295" spans="1:28" ht="45.5" customHeight="1">
      <c r="A3295" s="156" t="str">
        <f>'Reported burning'!A3295</f>
        <v>365d</v>
      </c>
      <c r="B3295" s="156" t="str">
        <f>'Reported burning'!B3295</f>
        <v>365d.2</v>
      </c>
      <c r="C3295" s="156" t="str">
        <f>'Reported burning'!C3295</f>
        <v>Human, escaped</v>
      </c>
      <c r="D3295" s="156" t="str">
        <f>'Reported burning'!D3295</f>
        <v>Crop residue burning</v>
      </c>
      <c r="E3295" s="156" t="str">
        <f>'Reported burning'!E3295</f>
        <v>ND</v>
      </c>
      <c r="F3295" s="156" t="str">
        <f>'Reported burning'!F3295</f>
        <v>Cropland</v>
      </c>
      <c r="G3295" s="156" t="str">
        <f>'Reported burning'!G3295</f>
        <v>ND</v>
      </c>
      <c r="H3295" s="156" t="str">
        <f>'Reported burning'!H3295</f>
        <v>Presence</v>
      </c>
      <c r="I3295" s="5"/>
      <c r="J3295" s="21" t="s">
        <v>2276</v>
      </c>
      <c r="K3295" s="21" t="s">
        <v>2276</v>
      </c>
      <c r="L3295" s="21" t="s">
        <v>2276</v>
      </c>
      <c r="M3295" s="21" t="s">
        <v>2276</v>
      </c>
      <c r="N3295" s="21" t="s">
        <v>2276</v>
      </c>
      <c r="O3295" s="21" t="s">
        <v>2276</v>
      </c>
      <c r="P3295" s="21" t="s">
        <v>2276</v>
      </c>
      <c r="Q3295" s="21" t="s">
        <v>2276</v>
      </c>
      <c r="R3295" s="21" t="s">
        <v>2379</v>
      </c>
      <c r="S3295" s="21" t="s">
        <v>2276</v>
      </c>
      <c r="T3295" s="21" t="s">
        <v>2276</v>
      </c>
      <c r="U3295" s="21" t="s">
        <v>2276</v>
      </c>
      <c r="V3295" s="21" t="s">
        <v>2276</v>
      </c>
      <c r="W3295" s="21" t="s">
        <v>2276</v>
      </c>
      <c r="X3295" s="4" t="s">
        <v>38</v>
      </c>
      <c r="Y3295" s="4" t="s">
        <v>86</v>
      </c>
      <c r="Z3295" s="4" t="s">
        <v>76</v>
      </c>
      <c r="AA3295" s="4" t="s">
        <v>8828</v>
      </c>
      <c r="AB3295" s="19" t="s">
        <v>8829</v>
      </c>
    </row>
    <row r="3296" spans="1:28" ht="45.5" customHeight="1">
      <c r="A3296" s="156" t="str">
        <f>'Reported burning'!A3296</f>
        <v>365e</v>
      </c>
      <c r="B3296" s="156" t="str">
        <f>'Reported burning'!B3296</f>
        <v>365e.2</v>
      </c>
      <c r="C3296" s="156" t="str">
        <f>'Reported burning'!C3296</f>
        <v>Human, escaped</v>
      </c>
      <c r="D3296" s="156" t="str">
        <f>'Reported burning'!D3296</f>
        <v>Crop residue burning</v>
      </c>
      <c r="E3296" s="156" t="str">
        <f>'Reported burning'!E3296</f>
        <v>ND</v>
      </c>
      <c r="F3296" s="156" t="str">
        <f>'Reported burning'!F3296</f>
        <v>Cropland</v>
      </c>
      <c r="G3296" s="156" t="str">
        <f>'Reported burning'!G3296</f>
        <v>ND</v>
      </c>
      <c r="H3296" s="156" t="str">
        <f>'Reported burning'!H3296</f>
        <v>Presence</v>
      </c>
      <c r="I3296" s="5"/>
      <c r="J3296" s="21" t="s">
        <v>2276</v>
      </c>
      <c r="K3296" s="21" t="s">
        <v>2276</v>
      </c>
      <c r="L3296" s="21" t="s">
        <v>2276</v>
      </c>
      <c r="M3296" s="21" t="s">
        <v>2276</v>
      </c>
      <c r="N3296" s="21" t="s">
        <v>2276</v>
      </c>
      <c r="O3296" s="21" t="s">
        <v>2276</v>
      </c>
      <c r="P3296" s="21" t="s">
        <v>2276</v>
      </c>
      <c r="Q3296" s="21" t="s">
        <v>2276</v>
      </c>
      <c r="R3296" s="21" t="s">
        <v>2379</v>
      </c>
      <c r="S3296" s="21" t="s">
        <v>2276</v>
      </c>
      <c r="T3296" s="21" t="s">
        <v>2276</v>
      </c>
      <c r="U3296" s="21" t="s">
        <v>2276</v>
      </c>
      <c r="V3296" s="21" t="s">
        <v>2276</v>
      </c>
      <c r="W3296" s="21" t="s">
        <v>2276</v>
      </c>
      <c r="X3296" s="4" t="s">
        <v>38</v>
      </c>
      <c r="Y3296" s="4" t="s">
        <v>86</v>
      </c>
      <c r="Z3296" s="4" t="s">
        <v>76</v>
      </c>
      <c r="AA3296" s="4" t="s">
        <v>8828</v>
      </c>
      <c r="AB3296" s="19" t="s">
        <v>8829</v>
      </c>
    </row>
    <row r="3297" spans="1:28" ht="45.5" customHeight="1">
      <c r="A3297" s="156" t="str">
        <f>'Reported burning'!A3297</f>
        <v>365f</v>
      </c>
      <c r="B3297" s="156" t="str">
        <f>'Reported burning'!B3297</f>
        <v>365f.2</v>
      </c>
      <c r="C3297" s="156" t="str">
        <f>'Reported burning'!C3297</f>
        <v>Human, escaped</v>
      </c>
      <c r="D3297" s="156" t="str">
        <f>'Reported burning'!D3297</f>
        <v>Crop residue burning</v>
      </c>
      <c r="E3297" s="156" t="str">
        <f>'Reported burning'!E3297</f>
        <v>ND</v>
      </c>
      <c r="F3297" s="156" t="str">
        <f>'Reported burning'!F3297</f>
        <v>Cropland</v>
      </c>
      <c r="G3297" s="156" t="str">
        <f>'Reported burning'!G3297</f>
        <v>ND</v>
      </c>
      <c r="H3297" s="156" t="str">
        <f>'Reported burning'!H3297</f>
        <v>Presence</v>
      </c>
      <c r="I3297" s="5"/>
      <c r="J3297" s="21" t="s">
        <v>2276</v>
      </c>
      <c r="K3297" s="21" t="s">
        <v>2276</v>
      </c>
      <c r="L3297" s="21" t="s">
        <v>2276</v>
      </c>
      <c r="M3297" s="21" t="s">
        <v>2276</v>
      </c>
      <c r="N3297" s="21" t="s">
        <v>2276</v>
      </c>
      <c r="O3297" s="21" t="s">
        <v>2276</v>
      </c>
      <c r="P3297" s="21" t="s">
        <v>2276</v>
      </c>
      <c r="Q3297" s="21" t="s">
        <v>2276</v>
      </c>
      <c r="R3297" s="21" t="s">
        <v>2379</v>
      </c>
      <c r="S3297" s="21" t="s">
        <v>2276</v>
      </c>
      <c r="T3297" s="21" t="s">
        <v>2276</v>
      </c>
      <c r="U3297" s="21" t="s">
        <v>2276</v>
      </c>
      <c r="V3297" s="21" t="s">
        <v>2276</v>
      </c>
      <c r="W3297" s="21" t="s">
        <v>2276</v>
      </c>
      <c r="X3297" s="4" t="s">
        <v>38</v>
      </c>
      <c r="Y3297" s="4" t="s">
        <v>86</v>
      </c>
      <c r="Z3297" s="4" t="s">
        <v>76</v>
      </c>
      <c r="AA3297" s="4" t="s">
        <v>8828</v>
      </c>
      <c r="AB3297" s="19" t="s">
        <v>8829</v>
      </c>
    </row>
    <row r="3298" spans="1:28" ht="41" customHeight="1">
      <c r="A3298" s="156" t="str">
        <f>'Reported burning'!A3298</f>
        <v>366a</v>
      </c>
      <c r="B3298" s="156" t="str">
        <f>'Reported burning'!B3298</f>
        <v>366a.1</v>
      </c>
      <c r="C3298" s="156" t="str">
        <f>'Reported burning'!C3298</f>
        <v>Human, deliberate</v>
      </c>
      <c r="D3298" s="156" t="str">
        <f>'Reported burning'!D3298</f>
        <v>Crop residue burning</v>
      </c>
      <c r="E3298" s="156" t="str">
        <f>'Reported burning'!E3298</f>
        <v>Cropping, Monoculture, Subsistence-oriented</v>
      </c>
      <c r="F3298" s="156" t="str">
        <f>'Reported burning'!F3298</f>
        <v>Cropland</v>
      </c>
      <c r="G3298" s="156" t="str">
        <f>'Reported burning'!G3298</f>
        <v>ND</v>
      </c>
      <c r="H3298" s="156" t="str">
        <f>'Reported burning'!H3298</f>
        <v>Absence</v>
      </c>
      <c r="I3298" s="5"/>
      <c r="J3298" s="21">
        <v>0</v>
      </c>
      <c r="K3298" s="21">
        <v>0</v>
      </c>
      <c r="L3298" s="21">
        <v>0</v>
      </c>
      <c r="M3298" s="21">
        <v>0</v>
      </c>
      <c r="N3298" s="21">
        <v>0</v>
      </c>
      <c r="O3298" s="21">
        <v>0</v>
      </c>
      <c r="P3298" s="21">
        <v>0</v>
      </c>
      <c r="Q3298" s="21">
        <v>0</v>
      </c>
      <c r="R3298" s="21">
        <v>0</v>
      </c>
      <c r="S3298" s="21">
        <v>0</v>
      </c>
      <c r="T3298" s="21">
        <v>0</v>
      </c>
      <c r="U3298" s="21">
        <v>0</v>
      </c>
      <c r="V3298" s="21">
        <v>0</v>
      </c>
      <c r="W3298" s="21" t="s">
        <v>2276</v>
      </c>
      <c r="X3298" s="204" t="s">
        <v>399</v>
      </c>
      <c r="Y3298" s="204" t="s">
        <v>405</v>
      </c>
      <c r="Z3298" s="204" t="s">
        <v>2276</v>
      </c>
      <c r="AA3298" s="4" t="s">
        <v>8836</v>
      </c>
      <c r="AB3298" s="204"/>
    </row>
    <row r="3299" spans="1:28" ht="53" customHeight="1">
      <c r="A3299" s="156" t="str">
        <f>'Reported burning'!A3299</f>
        <v>366a</v>
      </c>
      <c r="B3299" s="156" t="str">
        <f>'Reported burning'!B3299</f>
        <v>366a.2</v>
      </c>
      <c r="C3299" s="156" t="str">
        <f>'Reported burning'!C3299</f>
        <v>Human, deliberate</v>
      </c>
      <c r="D3299" s="156" t="str">
        <f>'Reported burning'!D3299</f>
        <v>Crop residue burning</v>
      </c>
      <c r="E3299" s="156" t="str">
        <f>'Reported burning'!E3299</f>
        <v>Mixed cropping-livestock small holder, Subsistence-oriented</v>
      </c>
      <c r="F3299" s="156" t="str">
        <f>'Reported burning'!F3299</f>
        <v>Cropland</v>
      </c>
      <c r="G3299" s="156" t="str">
        <f>'Reported burning'!G3299</f>
        <v>ND</v>
      </c>
      <c r="H3299" s="156" t="str">
        <f>'Reported burning'!H3299</f>
        <v>Absence</v>
      </c>
      <c r="I3299" s="5"/>
      <c r="J3299" s="21">
        <v>0</v>
      </c>
      <c r="K3299" s="21">
        <v>0</v>
      </c>
      <c r="L3299" s="21">
        <v>0</v>
      </c>
      <c r="M3299" s="21">
        <v>0</v>
      </c>
      <c r="N3299" s="21">
        <v>0</v>
      </c>
      <c r="O3299" s="21">
        <v>0</v>
      </c>
      <c r="P3299" s="21">
        <v>0</v>
      </c>
      <c r="Q3299" s="21">
        <v>0</v>
      </c>
      <c r="R3299" s="21">
        <v>0</v>
      </c>
      <c r="S3299" s="21">
        <v>0</v>
      </c>
      <c r="T3299" s="21">
        <v>0</v>
      </c>
      <c r="U3299" s="21">
        <v>0</v>
      </c>
      <c r="V3299" s="21">
        <v>0</v>
      </c>
      <c r="W3299" s="21" t="s">
        <v>2276</v>
      </c>
      <c r="X3299" s="204" t="s">
        <v>399</v>
      </c>
      <c r="Y3299" s="204" t="s">
        <v>405</v>
      </c>
      <c r="Z3299" s="204" t="s">
        <v>2276</v>
      </c>
      <c r="AA3299" s="4" t="s">
        <v>8836</v>
      </c>
      <c r="AB3299" s="204"/>
    </row>
    <row r="3300" spans="1:28" ht="49" customHeight="1">
      <c r="A3300" s="156" t="str">
        <f>'Reported burning'!A3300</f>
        <v>366a</v>
      </c>
      <c r="B3300" s="156" t="str">
        <f>'Reported burning'!B3300</f>
        <v>366a.3</v>
      </c>
      <c r="C3300" s="156" t="str">
        <f>'Reported burning'!C3300</f>
        <v>Human, deliberate</v>
      </c>
      <c r="D3300" s="156" t="str">
        <f>'Reported burning'!D3300</f>
        <v>Crop residue burning</v>
      </c>
      <c r="E3300" s="156" t="str">
        <f>'Reported burning'!E3300</f>
        <v>Cropping, Monoculture, Subsistence-oriented</v>
      </c>
      <c r="F3300" s="156" t="str">
        <f>'Reported burning'!F3300</f>
        <v>Cropland</v>
      </c>
      <c r="G3300" s="156" t="str">
        <f>'Reported burning'!G3300</f>
        <v>ND</v>
      </c>
      <c r="H3300" s="156" t="str">
        <f>'Reported burning'!H3300</f>
        <v>Presence</v>
      </c>
      <c r="I3300" s="5"/>
      <c r="J3300" s="21" t="s">
        <v>2276</v>
      </c>
      <c r="K3300" s="21" t="s">
        <v>2362</v>
      </c>
      <c r="L3300" s="21" t="s">
        <v>2276</v>
      </c>
      <c r="M3300" s="21" t="s">
        <v>2375</v>
      </c>
      <c r="N3300" s="21" t="s">
        <v>2276</v>
      </c>
      <c r="O3300" s="21" t="s">
        <v>2362</v>
      </c>
      <c r="P3300" s="21" t="s">
        <v>2276</v>
      </c>
      <c r="Q3300" s="21" t="s">
        <v>2362</v>
      </c>
      <c r="R3300" s="21" t="s">
        <v>2276</v>
      </c>
      <c r="S3300" s="21" t="s">
        <v>2276</v>
      </c>
      <c r="T3300" s="21" t="s">
        <v>2276</v>
      </c>
      <c r="U3300" s="14" t="s">
        <v>2376</v>
      </c>
      <c r="V3300" s="21" t="s">
        <v>2276</v>
      </c>
      <c r="W3300" s="14" t="s">
        <v>2375</v>
      </c>
      <c r="X3300" s="204" t="s">
        <v>35</v>
      </c>
      <c r="Y3300" s="204" t="s">
        <v>127</v>
      </c>
      <c r="Z3300" s="204" t="s">
        <v>2276</v>
      </c>
      <c r="AA3300" s="4"/>
      <c r="AB3300" s="4" t="s">
        <v>8837</v>
      </c>
    </row>
    <row r="3301" spans="1:28" ht="50" customHeight="1">
      <c r="A3301" s="156" t="str">
        <f>'Reported burning'!A3301</f>
        <v>366a</v>
      </c>
      <c r="B3301" s="156" t="str">
        <f>'Reported burning'!B3301</f>
        <v>366a.4</v>
      </c>
      <c r="C3301" s="156" t="str">
        <f>'Reported burning'!C3301</f>
        <v>Human, deliberate</v>
      </c>
      <c r="D3301" s="156" t="str">
        <f>'Reported burning'!D3301</f>
        <v>Crop residue burning</v>
      </c>
      <c r="E3301" s="156" t="str">
        <f>'Reported burning'!E3301</f>
        <v>Mixed cropping-livestock small holder, Subsistence-oriented</v>
      </c>
      <c r="F3301" s="156" t="str">
        <f>'Reported burning'!F3301</f>
        <v>Cropland</v>
      </c>
      <c r="G3301" s="156" t="str">
        <f>'Reported burning'!G3301</f>
        <v>ND</v>
      </c>
      <c r="H3301" s="156" t="str">
        <f>'Reported burning'!H3301</f>
        <v>Absence</v>
      </c>
      <c r="I3301" s="5"/>
      <c r="J3301" s="21">
        <v>0</v>
      </c>
      <c r="K3301" s="21">
        <v>0</v>
      </c>
      <c r="L3301" s="21">
        <v>0</v>
      </c>
      <c r="M3301" s="21">
        <v>0</v>
      </c>
      <c r="N3301" s="21">
        <v>0</v>
      </c>
      <c r="O3301" s="21">
        <v>0</v>
      </c>
      <c r="P3301" s="21">
        <v>0</v>
      </c>
      <c r="Q3301" s="21">
        <v>0</v>
      </c>
      <c r="R3301" s="21">
        <v>0</v>
      </c>
      <c r="S3301" s="21">
        <v>0</v>
      </c>
      <c r="T3301" s="21">
        <v>0</v>
      </c>
      <c r="U3301" s="21">
        <v>0</v>
      </c>
      <c r="V3301" s="21">
        <v>0</v>
      </c>
      <c r="W3301" s="21">
        <v>0</v>
      </c>
      <c r="X3301" s="204" t="s">
        <v>35</v>
      </c>
      <c r="Y3301" s="204" t="s">
        <v>127</v>
      </c>
      <c r="Z3301" s="204" t="s">
        <v>2276</v>
      </c>
      <c r="AA3301" s="4"/>
      <c r="AB3301" s="4" t="s">
        <v>8837</v>
      </c>
    </row>
    <row r="3302" spans="1:28" ht="36" customHeight="1">
      <c r="A3302" s="156" t="str">
        <f>'Reported burning'!A3302</f>
        <v>367a</v>
      </c>
      <c r="B3302" s="156" t="str">
        <f>'Reported burning'!B3302</f>
        <v>367a.1</v>
      </c>
      <c r="C3302" s="156" t="str">
        <f>'Reported burning'!C3302</f>
        <v>Human, deliberate</v>
      </c>
      <c r="D3302" s="156" t="str">
        <f>'Reported burning'!D3302</f>
        <v>Vegetation management</v>
      </c>
      <c r="E3302" s="156" t="str">
        <f>'Reported burning'!E3302</f>
        <v>Cropping, Monoculture, Market-oriented</v>
      </c>
      <c r="F3302" s="156" t="str">
        <f>'Reported burning'!F3302</f>
        <v>Cropland</v>
      </c>
      <c r="G3302" s="156" t="str">
        <f>'Reported burning'!G3302</f>
        <v>ND</v>
      </c>
      <c r="H3302" s="156" t="str">
        <f>'Reported burning'!H3302</f>
        <v>Presence</v>
      </c>
      <c r="I3302" s="5"/>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1" t="s">
        <v>2276</v>
      </c>
      <c r="Y3302" s="21" t="s">
        <v>2276</v>
      </c>
      <c r="Z3302" s="21" t="s">
        <v>2276</v>
      </c>
      <c r="AA3302" s="19" t="s">
        <v>8842</v>
      </c>
      <c r="AB3302" s="204"/>
    </row>
    <row r="3303" spans="1:28" ht="35.5" customHeight="1">
      <c r="A3303" s="156" t="str">
        <f>'Reported burning'!A3303</f>
        <v>368a</v>
      </c>
      <c r="B3303" s="156" t="str">
        <f>'Reported burning'!B3303</f>
        <v>368a.1</v>
      </c>
      <c r="C3303" s="156" t="str">
        <f>'Reported burning'!C3303</f>
        <v>Human, deliberate</v>
      </c>
      <c r="D3303" s="156" t="str">
        <f>'Reported burning'!D3303</f>
        <v>Crop field preparation</v>
      </c>
      <c r="E3303" s="156" t="str">
        <f>'Reported burning'!E3303</f>
        <v>Cropping, Swidden</v>
      </c>
      <c r="F3303" s="156" t="str">
        <f>'Reported burning'!F3303</f>
        <v>Forest</v>
      </c>
      <c r="G3303" s="156" t="str">
        <f>'Reported burning'!G3303</f>
        <v>ND</v>
      </c>
      <c r="H3303" s="156" t="str">
        <f>'Reported burning'!H3303</f>
        <v>Presence</v>
      </c>
      <c r="I3303" s="5"/>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1" t="s">
        <v>2276</v>
      </c>
      <c r="AA3303" s="204"/>
      <c r="AB3303" s="204"/>
    </row>
    <row r="3304" spans="1:28" ht="35.5" customHeight="1">
      <c r="A3304" s="156" t="str">
        <f>'Reported burning'!A3304</f>
        <v>368a</v>
      </c>
      <c r="B3304" s="156" t="str">
        <f>'Reported burning'!B3304</f>
        <v>368a.2</v>
      </c>
      <c r="C3304" s="156" t="str">
        <f>'Reported burning'!C3304</f>
        <v>Human, deliberate</v>
      </c>
      <c r="D3304" s="156" t="str">
        <f>'Reported burning'!D3304</f>
        <v>All</v>
      </c>
      <c r="E3304" s="156" t="str">
        <f>'Reported burning'!E3304</f>
        <v>Cropping, Intensive</v>
      </c>
      <c r="F3304" s="156" t="str">
        <f>'Reported burning'!F3304</f>
        <v>Cropland</v>
      </c>
      <c r="G3304" s="156" t="str">
        <f>'Reported burning'!G3304</f>
        <v>ND</v>
      </c>
      <c r="H3304" s="156" t="str">
        <f>'Reported burning'!H3304</f>
        <v>Absence</v>
      </c>
      <c r="I3304" s="5"/>
      <c r="J3304" s="21">
        <v>0</v>
      </c>
      <c r="K3304" s="21">
        <v>0</v>
      </c>
      <c r="L3304" s="21">
        <v>0</v>
      </c>
      <c r="M3304" s="21">
        <v>0</v>
      </c>
      <c r="N3304" s="21">
        <v>0</v>
      </c>
      <c r="O3304" s="21">
        <v>0</v>
      </c>
      <c r="P3304" s="21">
        <v>0</v>
      </c>
      <c r="Q3304" s="21">
        <v>0</v>
      </c>
      <c r="R3304" s="21">
        <v>0</v>
      </c>
      <c r="S3304" s="21">
        <v>0</v>
      </c>
      <c r="T3304" s="21">
        <v>0</v>
      </c>
      <c r="U3304" s="21">
        <v>0</v>
      </c>
      <c r="V3304" s="21">
        <v>0</v>
      </c>
      <c r="W3304" s="21" t="s">
        <v>2276</v>
      </c>
      <c r="X3304" s="21" t="s">
        <v>2276</v>
      </c>
      <c r="Y3304" s="21" t="s">
        <v>2276</v>
      </c>
      <c r="Z3304" s="21" t="s">
        <v>2276</v>
      </c>
      <c r="AA3304" s="4" t="s">
        <v>8847</v>
      </c>
      <c r="AB3304" s="204"/>
    </row>
    <row r="3305" spans="1:28" ht="35.5" customHeight="1">
      <c r="A3305" s="156" t="str">
        <f>'Reported burning'!A3305</f>
        <v>368a</v>
      </c>
      <c r="B3305" s="156" t="str">
        <f>'Reported burning'!B3305</f>
        <v>368a.3</v>
      </c>
      <c r="C3305" s="156" t="str">
        <f>'Reported burning'!C3305</f>
        <v>Human, deliberate</v>
      </c>
      <c r="D3305" s="156" t="str">
        <f>'Reported burning'!D3305</f>
        <v>All</v>
      </c>
      <c r="E3305" s="156" t="str">
        <f>'Reported burning'!E3305</f>
        <v>Forestry, Industrial</v>
      </c>
      <c r="F3305" s="156" t="str">
        <f>'Reported burning'!F3305</f>
        <v>Plantation forest</v>
      </c>
      <c r="G3305" s="156" t="str">
        <f>'Reported burning'!G3305</f>
        <v>ND</v>
      </c>
      <c r="H3305" s="156" t="str">
        <f>'Reported burning'!H3305</f>
        <v>Absence</v>
      </c>
      <c r="I3305" s="5"/>
      <c r="J3305" s="21">
        <v>0</v>
      </c>
      <c r="K3305" s="21">
        <v>0</v>
      </c>
      <c r="L3305" s="21">
        <v>0</v>
      </c>
      <c r="M3305" s="21">
        <v>0</v>
      </c>
      <c r="N3305" s="21">
        <v>0</v>
      </c>
      <c r="O3305" s="21">
        <v>0</v>
      </c>
      <c r="P3305" s="21">
        <v>0</v>
      </c>
      <c r="Q3305" s="21">
        <v>0</v>
      </c>
      <c r="R3305" s="21">
        <v>0</v>
      </c>
      <c r="S3305" s="21">
        <v>0</v>
      </c>
      <c r="T3305" s="21">
        <v>0</v>
      </c>
      <c r="U3305" s="21">
        <v>0</v>
      </c>
      <c r="V3305" s="21">
        <v>0</v>
      </c>
      <c r="W3305" s="21" t="s">
        <v>2276</v>
      </c>
      <c r="X3305" s="21" t="s">
        <v>2276</v>
      </c>
      <c r="Y3305" s="21" t="s">
        <v>2276</v>
      </c>
      <c r="Z3305" s="21" t="s">
        <v>2276</v>
      </c>
      <c r="AA3305" s="204"/>
      <c r="AB3305" s="204"/>
    </row>
    <row r="3306" spans="1:28" ht="43.5" customHeight="1">
      <c r="A3306" s="156" t="str">
        <f>'Reported burning'!A3306</f>
        <v>369a</v>
      </c>
      <c r="B3306" s="156" t="str">
        <f>'Reported burning'!B3306</f>
        <v>369a.1</v>
      </c>
      <c r="C3306" s="156" t="str">
        <f>'Reported burning'!C3306</f>
        <v>Human, deliberate</v>
      </c>
      <c r="D3306" s="156" t="str">
        <f>'Reported burning'!D3306</f>
        <v>Crop field preparation</v>
      </c>
      <c r="E3306" s="156" t="str">
        <f>'Reported burning'!E3306</f>
        <v>Cropping, Swidden</v>
      </c>
      <c r="F3306" s="156" t="str">
        <f>'Reported burning'!F3306</f>
        <v>Cropland</v>
      </c>
      <c r="G3306" s="156" t="str">
        <f>'Reported burning'!G3306</f>
        <v>ND</v>
      </c>
      <c r="H3306" s="156" t="str">
        <f>'Reported burning'!H3306</f>
        <v>Presence</v>
      </c>
      <c r="I3306" s="5"/>
      <c r="J3306" s="21" t="s">
        <v>2276</v>
      </c>
      <c r="K3306" s="21" t="s">
        <v>2276</v>
      </c>
      <c r="L3306" s="21" t="s">
        <v>2276</v>
      </c>
      <c r="M3306" s="21" t="s">
        <v>2276</v>
      </c>
      <c r="N3306" s="21" t="s">
        <v>2276</v>
      </c>
      <c r="O3306" s="21" t="s">
        <v>2276</v>
      </c>
      <c r="P3306" s="21" t="s">
        <v>2276</v>
      </c>
      <c r="Q3306" s="21" t="s">
        <v>2276</v>
      </c>
      <c r="R3306" s="21" t="s">
        <v>2276</v>
      </c>
      <c r="S3306" s="21" t="s">
        <v>2376</v>
      </c>
      <c r="T3306" s="21">
        <v>0</v>
      </c>
      <c r="U3306" s="21">
        <v>0</v>
      </c>
      <c r="V3306" s="21">
        <v>0</v>
      </c>
      <c r="W3306" s="21" t="s">
        <v>2375</v>
      </c>
      <c r="X3306" s="204"/>
      <c r="Y3306" s="204"/>
      <c r="Z3306" s="204"/>
      <c r="AA3306" s="204"/>
      <c r="AB3306" s="204"/>
    </row>
    <row r="3307" spans="1:28" ht="41" customHeight="1">
      <c r="A3307" s="156" t="str">
        <f>'Reported burning'!A3307</f>
        <v>369a</v>
      </c>
      <c r="B3307" s="156" t="str">
        <f>'Reported burning'!B3307</f>
        <v>369a.2</v>
      </c>
      <c r="C3307" s="156" t="str">
        <f>'Reported burning'!C3307</f>
        <v>Human, deliberate</v>
      </c>
      <c r="D3307" s="156" t="str">
        <f>'Reported burning'!D3307</f>
        <v>Crop field preparation</v>
      </c>
      <c r="E3307" s="156" t="str">
        <f>'Reported burning'!E3307</f>
        <v>Cropping, Monoculture, Subsistence-oriented</v>
      </c>
      <c r="F3307" s="156" t="str">
        <f>'Reported burning'!F3307</f>
        <v>Cropland</v>
      </c>
      <c r="G3307" s="156" t="str">
        <f>'Reported burning'!G3307</f>
        <v>ND</v>
      </c>
      <c r="H3307" s="156" t="str">
        <f>'Reported burning'!H3307</f>
        <v>Absence</v>
      </c>
      <c r="I3307" s="5"/>
      <c r="J3307" s="21">
        <v>0</v>
      </c>
      <c r="K3307" s="21">
        <v>0</v>
      </c>
      <c r="L3307" s="21">
        <v>0</v>
      </c>
      <c r="M3307" s="21">
        <v>0</v>
      </c>
      <c r="N3307" s="21">
        <v>0</v>
      </c>
      <c r="O3307" s="21">
        <v>0</v>
      </c>
      <c r="P3307" s="21">
        <v>0</v>
      </c>
      <c r="Q3307" s="21">
        <v>0</v>
      </c>
      <c r="R3307" s="21">
        <v>0</v>
      </c>
      <c r="S3307" s="21">
        <v>0</v>
      </c>
      <c r="T3307" s="21">
        <v>0</v>
      </c>
      <c r="U3307" s="21">
        <v>0</v>
      </c>
      <c r="V3307" s="21">
        <v>0</v>
      </c>
      <c r="W3307" s="21" t="s">
        <v>2276</v>
      </c>
      <c r="X3307" s="21" t="s">
        <v>2276</v>
      </c>
      <c r="Y3307" s="21" t="s">
        <v>2276</v>
      </c>
      <c r="Z3307" s="21" t="s">
        <v>2276</v>
      </c>
      <c r="AA3307" s="204"/>
      <c r="AB3307" s="204"/>
    </row>
    <row r="3308" spans="1:28" ht="41" customHeight="1">
      <c r="A3308" s="156" t="str">
        <f>'Reported burning'!A3308</f>
        <v>369a</v>
      </c>
      <c r="B3308" s="156" t="str">
        <f>'Reported burning'!B3308</f>
        <v>369a.3</v>
      </c>
      <c r="C3308" s="156" t="str">
        <f>'Reported burning'!C3308</f>
        <v>Human, deliberate</v>
      </c>
      <c r="D3308" s="156" t="str">
        <f>'Reported burning'!D3308</f>
        <v>Crop field preparation</v>
      </c>
      <c r="E3308" s="156" t="str">
        <f>'Reported burning'!E3308</f>
        <v>Mixed cropping-livestock small holder, Subsistence-oriented</v>
      </c>
      <c r="F3308" s="156" t="str">
        <f>'Reported burning'!F3308</f>
        <v>Cropland</v>
      </c>
      <c r="G3308" s="156" t="str">
        <f>'Reported burning'!G3308</f>
        <v>ND</v>
      </c>
      <c r="H3308" s="156" t="str">
        <f>'Reported burning'!H3308</f>
        <v>Absence</v>
      </c>
      <c r="I3308" s="5"/>
      <c r="J3308" s="21">
        <v>0</v>
      </c>
      <c r="K3308" s="21">
        <v>0</v>
      </c>
      <c r="L3308" s="21">
        <v>0</v>
      </c>
      <c r="M3308" s="21">
        <v>0</v>
      </c>
      <c r="N3308" s="21">
        <v>0</v>
      </c>
      <c r="O3308" s="21">
        <v>0</v>
      </c>
      <c r="P3308" s="21">
        <v>0</v>
      </c>
      <c r="Q3308" s="21">
        <v>0</v>
      </c>
      <c r="R3308" s="21">
        <v>0</v>
      </c>
      <c r="S3308" s="21">
        <v>0</v>
      </c>
      <c r="T3308" s="21">
        <v>0</v>
      </c>
      <c r="U3308" s="21">
        <v>0</v>
      </c>
      <c r="V3308" s="21">
        <v>0</v>
      </c>
      <c r="W3308" s="21" t="s">
        <v>2276</v>
      </c>
      <c r="X3308" s="21" t="s">
        <v>2276</v>
      </c>
      <c r="Y3308" s="21" t="s">
        <v>2276</v>
      </c>
      <c r="Z3308" s="21" t="s">
        <v>2276</v>
      </c>
      <c r="AA3308" s="204"/>
      <c r="AB3308" s="204"/>
    </row>
    <row r="3309" spans="1:28" ht="41" customHeight="1">
      <c r="A3309" s="156" t="str">
        <f>'Reported burning'!A3309</f>
        <v>369b</v>
      </c>
      <c r="B3309" s="156" t="str">
        <f>'Reported burning'!B3309</f>
        <v>369b.1</v>
      </c>
      <c r="C3309" s="156" t="str">
        <f>'Reported burning'!C3309</f>
        <v>Human, deliberate</v>
      </c>
      <c r="D3309" s="156" t="str">
        <f>'Reported burning'!D3309</f>
        <v>Crop field preparation</v>
      </c>
      <c r="E3309" s="156" t="str">
        <f>'Reported burning'!E3309</f>
        <v>Cropping, Swidden</v>
      </c>
      <c r="F3309" s="156" t="str">
        <f>'Reported burning'!F3309</f>
        <v>Cropland</v>
      </c>
      <c r="G3309" s="156" t="str">
        <f>'Reported burning'!G3309</f>
        <v>ND</v>
      </c>
      <c r="H3309" s="156" t="str">
        <f>'Reported burning'!H3309</f>
        <v>Presence</v>
      </c>
      <c r="I3309" s="5"/>
      <c r="J3309" s="21" t="s">
        <v>2276</v>
      </c>
      <c r="K3309" s="21" t="s">
        <v>2276</v>
      </c>
      <c r="L3309" s="21" t="s">
        <v>2276</v>
      </c>
      <c r="M3309" s="21" t="s">
        <v>2276</v>
      </c>
      <c r="N3309" s="21" t="s">
        <v>2276</v>
      </c>
      <c r="O3309" s="21" t="s">
        <v>2276</v>
      </c>
      <c r="P3309" s="21" t="s">
        <v>2276</v>
      </c>
      <c r="Q3309" s="21" t="s">
        <v>2276</v>
      </c>
      <c r="R3309" s="21" t="s">
        <v>2276</v>
      </c>
      <c r="S3309" s="21" t="s">
        <v>2374</v>
      </c>
      <c r="T3309" s="21">
        <v>0</v>
      </c>
      <c r="U3309" s="21">
        <v>0</v>
      </c>
      <c r="V3309" s="21">
        <v>0</v>
      </c>
      <c r="W3309" s="21" t="s">
        <v>2401</v>
      </c>
      <c r="X3309" s="21" t="s">
        <v>2276</v>
      </c>
      <c r="Y3309" s="21" t="s">
        <v>2276</v>
      </c>
      <c r="Z3309" s="21" t="s">
        <v>2276</v>
      </c>
      <c r="AA3309" s="204"/>
      <c r="AB3309" s="204"/>
    </row>
    <row r="3310" spans="1:28" ht="41" customHeight="1">
      <c r="A3310" s="156" t="str">
        <f>'Reported burning'!A3310</f>
        <v>369b</v>
      </c>
      <c r="B3310" s="156" t="str">
        <f>'Reported burning'!B3310</f>
        <v>369b.2</v>
      </c>
      <c r="C3310" s="156" t="str">
        <f>'Reported burning'!C3310</f>
        <v>Human, deliberate</v>
      </c>
      <c r="D3310" s="156" t="str">
        <f>'Reported burning'!D3310</f>
        <v>Crop field preparation</v>
      </c>
      <c r="E3310" s="156" t="str">
        <f>'Reported burning'!E3310</f>
        <v>Cropping, Monoculture, Subsistence-oriented</v>
      </c>
      <c r="F3310" s="156" t="str">
        <f>'Reported burning'!F3310</f>
        <v>Cropland</v>
      </c>
      <c r="G3310" s="156" t="str">
        <f>'Reported burning'!G3310</f>
        <v>ND</v>
      </c>
      <c r="H3310" s="156" t="str">
        <f>'Reported burning'!H3310</f>
        <v>Absence</v>
      </c>
      <c r="I3310" s="5"/>
      <c r="J3310" s="21">
        <v>0</v>
      </c>
      <c r="K3310" s="21">
        <v>0</v>
      </c>
      <c r="L3310" s="21">
        <v>0</v>
      </c>
      <c r="M3310" s="21">
        <v>0</v>
      </c>
      <c r="N3310" s="21">
        <v>0</v>
      </c>
      <c r="O3310" s="21">
        <v>0</v>
      </c>
      <c r="P3310" s="21">
        <v>0</v>
      </c>
      <c r="Q3310" s="21">
        <v>0</v>
      </c>
      <c r="R3310" s="21">
        <v>0</v>
      </c>
      <c r="S3310" s="21">
        <v>0</v>
      </c>
      <c r="T3310" s="21">
        <v>0</v>
      </c>
      <c r="U3310" s="21">
        <v>0</v>
      </c>
      <c r="V3310" s="21">
        <v>0</v>
      </c>
      <c r="W3310" s="21" t="s">
        <v>2276</v>
      </c>
      <c r="X3310" s="21" t="s">
        <v>2276</v>
      </c>
      <c r="Y3310" s="21" t="s">
        <v>2276</v>
      </c>
      <c r="Z3310" s="21" t="s">
        <v>2276</v>
      </c>
      <c r="AA3310" s="204"/>
      <c r="AB3310" s="204"/>
    </row>
    <row r="3311" spans="1:28" ht="41" customHeight="1">
      <c r="A3311" s="156" t="str">
        <f>'Reported burning'!A3311</f>
        <v>369b</v>
      </c>
      <c r="B3311" s="156" t="str">
        <f>'Reported burning'!B3311</f>
        <v>369b.3</v>
      </c>
      <c r="C3311" s="156" t="str">
        <f>'Reported burning'!C3311</f>
        <v>Human, deliberate</v>
      </c>
      <c r="D3311" s="156" t="str">
        <f>'Reported burning'!D3311</f>
        <v>Crop field preparation</v>
      </c>
      <c r="E3311" s="156" t="str">
        <f>'Reported burning'!E3311</f>
        <v>Mixed cropping-livestock small holder, Subsistence-oriented</v>
      </c>
      <c r="F3311" s="156" t="str">
        <f>'Reported burning'!F3311</f>
        <v>Cropland</v>
      </c>
      <c r="G3311" s="156" t="str">
        <f>'Reported burning'!G3311</f>
        <v>ND</v>
      </c>
      <c r="H3311" s="156" t="str">
        <f>'Reported burning'!H3311</f>
        <v>Absence</v>
      </c>
      <c r="I3311" s="5"/>
      <c r="J3311" s="21">
        <v>0</v>
      </c>
      <c r="K3311" s="21">
        <v>0</v>
      </c>
      <c r="L3311" s="21">
        <v>0</v>
      </c>
      <c r="M3311" s="21">
        <v>0</v>
      </c>
      <c r="N3311" s="21">
        <v>0</v>
      </c>
      <c r="O3311" s="21">
        <v>0</v>
      </c>
      <c r="P3311" s="21">
        <v>0</v>
      </c>
      <c r="Q3311" s="21">
        <v>0</v>
      </c>
      <c r="R3311" s="21">
        <v>0</v>
      </c>
      <c r="S3311" s="21">
        <v>0</v>
      </c>
      <c r="T3311" s="21">
        <v>0</v>
      </c>
      <c r="U3311" s="21">
        <v>0</v>
      </c>
      <c r="V3311" s="21">
        <v>0</v>
      </c>
      <c r="W3311" s="21" t="s">
        <v>2276</v>
      </c>
      <c r="X3311" s="21" t="s">
        <v>2276</v>
      </c>
      <c r="Y3311" s="21" t="s">
        <v>2276</v>
      </c>
      <c r="Z3311" s="21" t="s">
        <v>2276</v>
      </c>
      <c r="AA3311" s="204"/>
      <c r="AB3311" s="204"/>
    </row>
    <row r="3312" spans="1:28" ht="41" customHeight="1">
      <c r="A3312" s="156" t="str">
        <f>'Reported burning'!A3312</f>
        <v>369c</v>
      </c>
      <c r="B3312" s="156" t="str">
        <f>'Reported burning'!B3312</f>
        <v>369c.1</v>
      </c>
      <c r="C3312" s="156" t="str">
        <f>'Reported burning'!C3312</f>
        <v>Human, deliberate</v>
      </c>
      <c r="D3312" s="156" t="str">
        <f>'Reported burning'!D3312</f>
        <v>Crop field preparation</v>
      </c>
      <c r="E3312" s="156" t="str">
        <f>'Reported burning'!E3312</f>
        <v>Cropping, Swidden</v>
      </c>
      <c r="F3312" s="156" t="str">
        <f>'Reported burning'!F3312</f>
        <v>Cropland</v>
      </c>
      <c r="G3312" s="156" t="str">
        <f>'Reported burning'!G3312</f>
        <v>ND</v>
      </c>
      <c r="H3312" s="156" t="str">
        <f>'Reported burning'!H3312</f>
        <v>Presence</v>
      </c>
      <c r="I3312" s="5"/>
      <c r="J3312" s="21" t="s">
        <v>2276</v>
      </c>
      <c r="K3312" s="21" t="s">
        <v>2276</v>
      </c>
      <c r="L3312" s="21" t="s">
        <v>2276</v>
      </c>
      <c r="M3312" s="21" t="s">
        <v>2276</v>
      </c>
      <c r="N3312" s="21" t="s">
        <v>2276</v>
      </c>
      <c r="O3312" s="21" t="s">
        <v>2276</v>
      </c>
      <c r="P3312" s="21" t="s">
        <v>2276</v>
      </c>
      <c r="Q3312" s="21" t="s">
        <v>2276</v>
      </c>
      <c r="R3312" s="21" t="s">
        <v>2276</v>
      </c>
      <c r="S3312" s="21" t="s">
        <v>2376</v>
      </c>
      <c r="T3312" s="21">
        <v>0</v>
      </c>
      <c r="U3312" s="21">
        <v>0</v>
      </c>
      <c r="V3312" s="21">
        <v>0</v>
      </c>
      <c r="W3312" s="21" t="s">
        <v>2401</v>
      </c>
      <c r="X3312" s="21" t="s">
        <v>2276</v>
      </c>
      <c r="Y3312" s="21" t="s">
        <v>2276</v>
      </c>
      <c r="Z3312" s="21" t="s">
        <v>2276</v>
      </c>
      <c r="AA3312" s="204"/>
      <c r="AB3312" s="204"/>
    </row>
    <row r="3313" spans="1:28" ht="41" customHeight="1">
      <c r="A3313" s="156" t="str">
        <f>'Reported burning'!A3313</f>
        <v>369c</v>
      </c>
      <c r="B3313" s="156" t="str">
        <f>'Reported burning'!B3313</f>
        <v>369c.2</v>
      </c>
      <c r="C3313" s="156" t="str">
        <f>'Reported burning'!C3313</f>
        <v>Human, deliberate</v>
      </c>
      <c r="D3313" s="156" t="str">
        <f>'Reported burning'!D3313</f>
        <v>Crop field preparation</v>
      </c>
      <c r="E3313" s="156" t="str">
        <f>'Reported burning'!E3313</f>
        <v>Cropping, Monoculture, Subsistence-oriented</v>
      </c>
      <c r="F3313" s="156" t="str">
        <f>'Reported burning'!F3313</f>
        <v>Cropland</v>
      </c>
      <c r="G3313" s="156" t="str">
        <f>'Reported burning'!G3313</f>
        <v>ND</v>
      </c>
      <c r="H3313" s="156" t="str">
        <f>'Reported burning'!H3313</f>
        <v>Absence</v>
      </c>
      <c r="I3313" s="5"/>
      <c r="J3313" s="21">
        <v>0</v>
      </c>
      <c r="K3313" s="21">
        <v>0</v>
      </c>
      <c r="L3313" s="21">
        <v>0</v>
      </c>
      <c r="M3313" s="21">
        <v>0</v>
      </c>
      <c r="N3313" s="21">
        <v>0</v>
      </c>
      <c r="O3313" s="21">
        <v>0</v>
      </c>
      <c r="P3313" s="21">
        <v>0</v>
      </c>
      <c r="Q3313" s="21">
        <v>0</v>
      </c>
      <c r="R3313" s="21">
        <v>0</v>
      </c>
      <c r="S3313" s="21">
        <v>0</v>
      </c>
      <c r="T3313" s="21">
        <v>0</v>
      </c>
      <c r="U3313" s="21">
        <v>0</v>
      </c>
      <c r="V3313" s="21">
        <v>0</v>
      </c>
      <c r="W3313" s="21" t="s">
        <v>2276</v>
      </c>
      <c r="X3313" s="21" t="s">
        <v>2276</v>
      </c>
      <c r="Y3313" s="21" t="s">
        <v>2276</v>
      </c>
      <c r="Z3313" s="21" t="s">
        <v>2276</v>
      </c>
      <c r="AA3313" s="204"/>
      <c r="AB3313" s="204"/>
    </row>
    <row r="3314" spans="1:28" ht="41" customHeight="1">
      <c r="A3314" s="156" t="str">
        <f>'Reported burning'!A3314</f>
        <v>369c</v>
      </c>
      <c r="B3314" s="156" t="str">
        <f>'Reported burning'!B3314</f>
        <v>369c.3</v>
      </c>
      <c r="C3314" s="156" t="str">
        <f>'Reported burning'!C3314</f>
        <v>Human, deliberate</v>
      </c>
      <c r="D3314" s="156" t="str">
        <f>'Reported burning'!D3314</f>
        <v>Crop field preparation</v>
      </c>
      <c r="E3314" s="156" t="str">
        <f>'Reported burning'!E3314</f>
        <v>Mixed cropping-livestock small holder, Subsistence-oriented</v>
      </c>
      <c r="F3314" s="156" t="str">
        <f>'Reported burning'!F3314</f>
        <v>Cropland</v>
      </c>
      <c r="G3314" s="156" t="str">
        <f>'Reported burning'!G3314</f>
        <v>ND</v>
      </c>
      <c r="H3314" s="156" t="str">
        <f>'Reported burning'!H3314</f>
        <v>Absence</v>
      </c>
      <c r="I3314" s="5"/>
      <c r="J3314" s="21">
        <v>0</v>
      </c>
      <c r="K3314" s="21">
        <v>0</v>
      </c>
      <c r="L3314" s="21">
        <v>0</v>
      </c>
      <c r="M3314" s="21">
        <v>0</v>
      </c>
      <c r="N3314" s="21">
        <v>0</v>
      </c>
      <c r="O3314" s="21">
        <v>0</v>
      </c>
      <c r="P3314" s="21">
        <v>0</v>
      </c>
      <c r="Q3314" s="21">
        <v>0</v>
      </c>
      <c r="R3314" s="21">
        <v>0</v>
      </c>
      <c r="S3314" s="21">
        <v>0</v>
      </c>
      <c r="T3314" s="21">
        <v>0</v>
      </c>
      <c r="U3314" s="21">
        <v>0</v>
      </c>
      <c r="V3314" s="21">
        <v>0</v>
      </c>
      <c r="W3314" s="21" t="s">
        <v>2276</v>
      </c>
      <c r="X3314" s="21" t="s">
        <v>2276</v>
      </c>
      <c r="Y3314" s="21" t="s">
        <v>2276</v>
      </c>
      <c r="Z3314" s="21" t="s">
        <v>2276</v>
      </c>
      <c r="AA3314" s="204"/>
      <c r="AB3314" s="204"/>
    </row>
    <row r="3315" spans="1:28" ht="41" customHeight="1">
      <c r="A3315" s="156" t="str">
        <f>'Reported burning'!A3315</f>
        <v>369d</v>
      </c>
      <c r="B3315" s="156" t="str">
        <f>'Reported burning'!B3315</f>
        <v>369d.1</v>
      </c>
      <c r="C3315" s="156" t="str">
        <f>'Reported burning'!C3315</f>
        <v>Human, deliberate</v>
      </c>
      <c r="D3315" s="156" t="str">
        <f>'Reported burning'!D3315</f>
        <v>Crop field preparation</v>
      </c>
      <c r="E3315" s="156" t="str">
        <f>'Reported burning'!E3315</f>
        <v>Cropping, Swidden</v>
      </c>
      <c r="F3315" s="156" t="str">
        <f>'Reported burning'!F3315</f>
        <v>Cropland</v>
      </c>
      <c r="G3315" s="156" t="str">
        <f>'Reported burning'!G3315</f>
        <v>ND</v>
      </c>
      <c r="H3315" s="156" t="str">
        <f>'Reported burning'!H3315</f>
        <v>Presence</v>
      </c>
      <c r="I3315" s="5"/>
      <c r="J3315" s="21" t="s">
        <v>2276</v>
      </c>
      <c r="K3315" s="21" t="s">
        <v>2276</v>
      </c>
      <c r="L3315" s="21" t="s">
        <v>2276</v>
      </c>
      <c r="M3315" s="21" t="s">
        <v>2276</v>
      </c>
      <c r="N3315" s="21" t="s">
        <v>2276</v>
      </c>
      <c r="O3315" s="21" t="s">
        <v>2276</v>
      </c>
      <c r="P3315" s="21" t="s">
        <v>2276</v>
      </c>
      <c r="Q3315" s="21" t="s">
        <v>2276</v>
      </c>
      <c r="R3315" s="21" t="s">
        <v>2276</v>
      </c>
      <c r="S3315" s="21" t="s">
        <v>2527</v>
      </c>
      <c r="T3315" s="21">
        <v>0</v>
      </c>
      <c r="U3315" s="21">
        <v>0</v>
      </c>
      <c r="V3315" s="21">
        <v>0</v>
      </c>
      <c r="W3315" s="21" t="s">
        <v>2375</v>
      </c>
      <c r="X3315" s="21" t="s">
        <v>2276</v>
      </c>
      <c r="Y3315" s="21" t="s">
        <v>2276</v>
      </c>
      <c r="Z3315" s="21" t="s">
        <v>2276</v>
      </c>
      <c r="AA3315" s="204"/>
      <c r="AB3315" s="204"/>
    </row>
    <row r="3316" spans="1:28" ht="41" customHeight="1">
      <c r="A3316" s="156" t="str">
        <f>'Reported burning'!A3316</f>
        <v>369d</v>
      </c>
      <c r="B3316" s="156" t="str">
        <f>'Reported burning'!B3316</f>
        <v>369d.2</v>
      </c>
      <c r="C3316" s="156" t="str">
        <f>'Reported burning'!C3316</f>
        <v>Human, deliberate</v>
      </c>
      <c r="D3316" s="156" t="str">
        <f>'Reported burning'!D3316</f>
        <v>Crop field preparation</v>
      </c>
      <c r="E3316" s="156" t="str">
        <f>'Reported burning'!E3316</f>
        <v>Cropping, Monoculture, Subsistence-oriented</v>
      </c>
      <c r="F3316" s="156" t="str">
        <f>'Reported burning'!F3316</f>
        <v>Cropland</v>
      </c>
      <c r="G3316" s="156" t="str">
        <f>'Reported burning'!G3316</f>
        <v>ND</v>
      </c>
      <c r="H3316" s="156" t="str">
        <f>'Reported burning'!H3316</f>
        <v>Absence</v>
      </c>
      <c r="I3316" s="5"/>
      <c r="J3316" s="21">
        <v>0</v>
      </c>
      <c r="K3316" s="21">
        <v>0</v>
      </c>
      <c r="L3316" s="21">
        <v>0</v>
      </c>
      <c r="M3316" s="21">
        <v>0</v>
      </c>
      <c r="N3316" s="21">
        <v>0</v>
      </c>
      <c r="O3316" s="21">
        <v>0</v>
      </c>
      <c r="P3316" s="21">
        <v>0</v>
      </c>
      <c r="Q3316" s="21">
        <v>0</v>
      </c>
      <c r="R3316" s="21">
        <v>0</v>
      </c>
      <c r="S3316" s="21">
        <v>0</v>
      </c>
      <c r="T3316" s="21">
        <v>0</v>
      </c>
      <c r="U3316" s="21">
        <v>0</v>
      </c>
      <c r="V3316" s="21">
        <v>0</v>
      </c>
      <c r="W3316" s="21" t="s">
        <v>2276</v>
      </c>
      <c r="X3316" s="21" t="s">
        <v>2276</v>
      </c>
      <c r="Y3316" s="21" t="s">
        <v>2276</v>
      </c>
      <c r="Z3316" s="21" t="s">
        <v>2276</v>
      </c>
      <c r="AA3316" s="204"/>
      <c r="AB3316" s="204"/>
    </row>
    <row r="3317" spans="1:28" ht="41" customHeight="1">
      <c r="A3317" s="156" t="str">
        <f>'Reported burning'!A3317</f>
        <v>369d</v>
      </c>
      <c r="B3317" s="156" t="str">
        <f>'Reported burning'!B3317</f>
        <v>369d.3</v>
      </c>
      <c r="C3317" s="156" t="str">
        <f>'Reported burning'!C3317</f>
        <v>Human, deliberate</v>
      </c>
      <c r="D3317" s="156" t="str">
        <f>'Reported burning'!D3317</f>
        <v>Crop field preparation</v>
      </c>
      <c r="E3317" s="156" t="str">
        <f>'Reported burning'!E3317</f>
        <v>Mixed cropping-livestock small holder, Subsistence-oriented</v>
      </c>
      <c r="F3317" s="156" t="str">
        <f>'Reported burning'!F3317</f>
        <v>Cropland</v>
      </c>
      <c r="G3317" s="156" t="str">
        <f>'Reported burning'!G3317</f>
        <v>ND</v>
      </c>
      <c r="H3317" s="156" t="str">
        <f>'Reported burning'!H3317</f>
        <v>Absence</v>
      </c>
      <c r="I3317" s="5"/>
      <c r="J3317" s="21">
        <v>0</v>
      </c>
      <c r="K3317" s="21">
        <v>0</v>
      </c>
      <c r="L3317" s="21">
        <v>0</v>
      </c>
      <c r="M3317" s="21">
        <v>0</v>
      </c>
      <c r="N3317" s="21">
        <v>0</v>
      </c>
      <c r="O3317" s="21">
        <v>0</v>
      </c>
      <c r="P3317" s="21">
        <v>0</v>
      </c>
      <c r="Q3317" s="21">
        <v>0</v>
      </c>
      <c r="R3317" s="21">
        <v>0</v>
      </c>
      <c r="S3317" s="21">
        <v>0</v>
      </c>
      <c r="T3317" s="21">
        <v>0</v>
      </c>
      <c r="U3317" s="21">
        <v>0</v>
      </c>
      <c r="V3317" s="21">
        <v>0</v>
      </c>
      <c r="W3317" s="21" t="s">
        <v>2276</v>
      </c>
      <c r="X3317" s="21" t="s">
        <v>2276</v>
      </c>
      <c r="Y3317" s="21" t="s">
        <v>2276</v>
      </c>
      <c r="Z3317" s="21" t="s">
        <v>2276</v>
      </c>
      <c r="AA3317" s="204"/>
      <c r="AB3317" s="204"/>
    </row>
    <row r="3318" spans="1:28" ht="36.5" customHeight="1">
      <c r="A3318" s="156" t="str">
        <f>'Reported burning'!A3318</f>
        <v>370a</v>
      </c>
      <c r="B3318" s="156" t="str">
        <f>'Reported burning'!B3318</f>
        <v>370a.1</v>
      </c>
      <c r="C3318" s="156" t="str">
        <f>'Reported burning'!C3318</f>
        <v>All</v>
      </c>
      <c r="D3318" s="156" t="str">
        <f>'Reported burning'!D3318</f>
        <v>ND</v>
      </c>
      <c r="E3318" s="156" t="str">
        <f>'Reported burning'!E3318</f>
        <v>ND</v>
      </c>
      <c r="F3318" s="156" t="str">
        <f>'Reported burning'!F3318</f>
        <v>ND</v>
      </c>
      <c r="G3318" s="156" t="str">
        <f>'Reported burning'!G3318</f>
        <v>Forest</v>
      </c>
      <c r="H3318" s="156" t="str">
        <f>'Reported burning'!H3318</f>
        <v>Presence</v>
      </c>
      <c r="I3318" s="5"/>
      <c r="J3318" s="21" t="s">
        <v>2276</v>
      </c>
      <c r="K3318" s="21" t="s">
        <v>2276</v>
      </c>
      <c r="L3318" s="21" t="s">
        <v>2276</v>
      </c>
      <c r="M3318" s="21" t="s">
        <v>2276</v>
      </c>
      <c r="N3318" s="21" t="s">
        <v>2276</v>
      </c>
      <c r="O3318" s="21" t="s">
        <v>2276</v>
      </c>
      <c r="P3318" s="21" t="s">
        <v>2276</v>
      </c>
      <c r="Q3318" s="21" t="s">
        <v>2276</v>
      </c>
      <c r="R3318" s="21" t="s">
        <v>2276</v>
      </c>
      <c r="S3318" s="21" t="s">
        <v>2276</v>
      </c>
      <c r="T3318" s="21" t="s">
        <v>2276</v>
      </c>
      <c r="U3318" s="21" t="s">
        <v>2276</v>
      </c>
      <c r="V3318" s="21" t="s">
        <v>2276</v>
      </c>
      <c r="W3318" s="21" t="s">
        <v>2276</v>
      </c>
      <c r="X3318" s="21" t="s">
        <v>2276</v>
      </c>
      <c r="Y3318" s="21" t="s">
        <v>2276</v>
      </c>
      <c r="Z3318" s="21" t="s">
        <v>2276</v>
      </c>
      <c r="AA3318" s="204"/>
      <c r="AB3318" s="204"/>
    </row>
    <row r="3319" spans="1:28" ht="36.5" customHeight="1">
      <c r="A3319" s="156" t="str">
        <f>'Reported burning'!A3319</f>
        <v>370a</v>
      </c>
      <c r="B3319" s="156" t="str">
        <f>'Reported burning'!B3319</f>
        <v>370a.2</v>
      </c>
      <c r="C3319" s="156" t="str">
        <f>'Reported burning'!C3319</f>
        <v>All</v>
      </c>
      <c r="D3319" s="156" t="str">
        <f>'Reported burning'!D3319</f>
        <v>ND</v>
      </c>
      <c r="E3319" s="156" t="str">
        <f>'Reported burning'!E3319</f>
        <v>ND</v>
      </c>
      <c r="F3319" s="156" t="str">
        <f>'Reported burning'!F3319</f>
        <v>ND</v>
      </c>
      <c r="G3319" s="156" t="str">
        <f>'Reported burning'!G3319</f>
        <v>Forest</v>
      </c>
      <c r="H3319" s="156" t="str">
        <f>'Reported burning'!H3319</f>
        <v>Presence</v>
      </c>
      <c r="I3319" s="5"/>
      <c r="J3319" s="21" t="s">
        <v>2276</v>
      </c>
      <c r="K3319" s="21" t="s">
        <v>2276</v>
      </c>
      <c r="L3319" s="21" t="s">
        <v>2276</v>
      </c>
      <c r="M3319" s="21" t="s">
        <v>2276</v>
      </c>
      <c r="N3319" s="21" t="s">
        <v>2276</v>
      </c>
      <c r="O3319" s="21" t="s">
        <v>2276</v>
      </c>
      <c r="P3319" s="21" t="s">
        <v>2276</v>
      </c>
      <c r="Q3319" s="21" t="s">
        <v>2276</v>
      </c>
      <c r="R3319" s="21" t="s">
        <v>2276</v>
      </c>
      <c r="S3319" s="21" t="s">
        <v>2276</v>
      </c>
      <c r="T3319" s="21" t="s">
        <v>2276</v>
      </c>
      <c r="U3319" s="21" t="s">
        <v>2276</v>
      </c>
      <c r="V3319" s="21" t="s">
        <v>2276</v>
      </c>
      <c r="W3319" s="21" t="s">
        <v>2276</v>
      </c>
      <c r="X3319" s="21" t="s">
        <v>2276</v>
      </c>
      <c r="Y3319" s="21" t="s">
        <v>2276</v>
      </c>
      <c r="Z3319" s="21" t="s">
        <v>2276</v>
      </c>
      <c r="AA3319" s="204"/>
      <c r="AB3319" s="204"/>
    </row>
    <row r="3320" spans="1:28" ht="36.5" customHeight="1">
      <c r="A3320" s="156" t="str">
        <f>'Reported burning'!A3320</f>
        <v>370a</v>
      </c>
      <c r="B3320" s="156" t="str">
        <f>'Reported burning'!B3320</f>
        <v>370a.3</v>
      </c>
      <c r="C3320" s="156" t="str">
        <f>'Reported burning'!C3320</f>
        <v>Human, escaped</v>
      </c>
      <c r="D3320" s="156" t="str">
        <f>'Reported burning'!D3320</f>
        <v>Land clearance</v>
      </c>
      <c r="E3320" s="156" t="str">
        <f>'Reported burning'!E3320</f>
        <v>Cropping, Intensive</v>
      </c>
      <c r="F3320" s="156" t="str">
        <f>'Reported burning'!F3320</f>
        <v>Forest</v>
      </c>
      <c r="G3320" s="156" t="str">
        <f>'Reported burning'!G3320</f>
        <v>Forest</v>
      </c>
      <c r="H3320" s="156" t="str">
        <f>'Reported burning'!H3320</f>
        <v>Presence</v>
      </c>
      <c r="I3320" s="5"/>
      <c r="J3320" s="21" t="s">
        <v>2276</v>
      </c>
      <c r="K3320" s="21" t="s">
        <v>2276</v>
      </c>
      <c r="L3320" s="21" t="s">
        <v>2276</v>
      </c>
      <c r="M3320" s="21" t="s">
        <v>2276</v>
      </c>
      <c r="N3320" s="21" t="s">
        <v>2276</v>
      </c>
      <c r="O3320" s="21" t="s">
        <v>2276</v>
      </c>
      <c r="P3320" s="21" t="s">
        <v>2276</v>
      </c>
      <c r="Q3320" s="21" t="s">
        <v>2276</v>
      </c>
      <c r="R3320" s="21" t="s">
        <v>2276</v>
      </c>
      <c r="S3320" s="21" t="s">
        <v>2276</v>
      </c>
      <c r="T3320" s="21" t="s">
        <v>2276</v>
      </c>
      <c r="U3320" s="21" t="s">
        <v>2276</v>
      </c>
      <c r="V3320" s="21" t="s">
        <v>2276</v>
      </c>
      <c r="W3320" s="21" t="s">
        <v>2276</v>
      </c>
      <c r="X3320" s="21" t="s">
        <v>2276</v>
      </c>
      <c r="Y3320" s="21" t="s">
        <v>2276</v>
      </c>
      <c r="Z3320" s="21" t="s">
        <v>2276</v>
      </c>
      <c r="AA3320" s="204"/>
      <c r="AB3320" s="204"/>
    </row>
    <row r="3321" spans="1:28" s="203" customFormat="1" ht="36.5" customHeight="1">
      <c r="A3321" s="156" t="str">
        <f>'Reported burning'!A3321</f>
        <v>370a</v>
      </c>
      <c r="B3321" s="156" t="str">
        <f>'Reported burning'!B3321</f>
        <v>370a.4</v>
      </c>
      <c r="C3321" s="156" t="str">
        <f>'Reported burning'!C3321</f>
        <v>Human, escaped</v>
      </c>
      <c r="D3321" s="156" t="str">
        <f>'Reported burning'!D3321</f>
        <v>Land clearance</v>
      </c>
      <c r="E3321" s="156" t="str">
        <f>'Reported burning'!E3321</f>
        <v>Cropping, Monoculture, Market-oriented</v>
      </c>
      <c r="F3321" s="156" t="str">
        <f>'Reported burning'!F3321</f>
        <v>Forest</v>
      </c>
      <c r="G3321" s="156" t="str">
        <f>'Reported burning'!G3321</f>
        <v>Forest</v>
      </c>
      <c r="H3321" s="156" t="str">
        <f>'Reported burning'!H3321</f>
        <v>Presence</v>
      </c>
      <c r="I3321" s="5"/>
      <c r="J3321" s="21" t="s">
        <v>2276</v>
      </c>
      <c r="K3321" s="21" t="s">
        <v>2276</v>
      </c>
      <c r="L3321" s="21" t="s">
        <v>2276</v>
      </c>
      <c r="M3321" s="21" t="s">
        <v>2276</v>
      </c>
      <c r="N3321" s="21" t="s">
        <v>2276</v>
      </c>
      <c r="O3321" s="21" t="s">
        <v>2276</v>
      </c>
      <c r="P3321" s="21" t="s">
        <v>2276</v>
      </c>
      <c r="Q3321" s="21" t="s">
        <v>2276</v>
      </c>
      <c r="R3321" s="21" t="s">
        <v>2276</v>
      </c>
      <c r="S3321" s="21" t="s">
        <v>2276</v>
      </c>
      <c r="T3321" s="21" t="s">
        <v>2276</v>
      </c>
      <c r="U3321" s="21" t="s">
        <v>2276</v>
      </c>
      <c r="V3321" s="21" t="s">
        <v>2276</v>
      </c>
      <c r="W3321" s="21" t="s">
        <v>2276</v>
      </c>
      <c r="X3321" s="21" t="s">
        <v>2276</v>
      </c>
      <c r="Y3321" s="21" t="s">
        <v>2276</v>
      </c>
      <c r="Z3321" s="21" t="s">
        <v>2276</v>
      </c>
      <c r="AA3321" s="204"/>
      <c r="AB3321" s="204"/>
    </row>
    <row r="3322" spans="1:28" ht="36.5" customHeight="1">
      <c r="A3322" s="156" t="str">
        <f>'Reported burning'!A3322</f>
        <v>370a</v>
      </c>
      <c r="B3322" s="156" t="str">
        <f>'Reported burning'!B3322</f>
        <v>370a.5</v>
      </c>
      <c r="C3322" s="156" t="str">
        <f>'Reported burning'!C3322</f>
        <v>Human, escaped</v>
      </c>
      <c r="D3322" s="156" t="str">
        <f>'Reported burning'!D3322</f>
        <v>Crop field preparation</v>
      </c>
      <c r="E3322" s="156" t="str">
        <f>'Reported burning'!E3322</f>
        <v>Cropping, Swidden</v>
      </c>
      <c r="F3322" s="156" t="str">
        <f>'Reported burning'!F3322</f>
        <v>Secondary vegetation</v>
      </c>
      <c r="G3322" s="156" t="str">
        <f>'Reported burning'!G3322</f>
        <v>Forest</v>
      </c>
      <c r="H3322" s="156" t="str">
        <f>'Reported burning'!H3322</f>
        <v>Presence</v>
      </c>
      <c r="I3322" s="5"/>
      <c r="J3322" s="21" t="s">
        <v>2276</v>
      </c>
      <c r="K3322" s="21" t="s">
        <v>2276</v>
      </c>
      <c r="L3322" s="21" t="s">
        <v>2276</v>
      </c>
      <c r="M3322" s="21" t="s">
        <v>2276</v>
      </c>
      <c r="N3322" s="21" t="s">
        <v>2276</v>
      </c>
      <c r="O3322" s="21" t="s">
        <v>2276</v>
      </c>
      <c r="P3322" s="21" t="s">
        <v>2276</v>
      </c>
      <c r="Q3322" s="21" t="s">
        <v>2276</v>
      </c>
      <c r="R3322" s="21" t="s">
        <v>2276</v>
      </c>
      <c r="S3322" s="21" t="s">
        <v>2276</v>
      </c>
      <c r="T3322" s="21" t="s">
        <v>2276</v>
      </c>
      <c r="U3322" s="21" t="s">
        <v>2276</v>
      </c>
      <c r="V3322" s="21" t="s">
        <v>2276</v>
      </c>
      <c r="W3322" s="21" t="s">
        <v>2276</v>
      </c>
      <c r="X3322" s="21" t="s">
        <v>2276</v>
      </c>
      <c r="Y3322" s="21" t="s">
        <v>2276</v>
      </c>
      <c r="Z3322" s="21" t="s">
        <v>2276</v>
      </c>
      <c r="AA3322" s="204"/>
      <c r="AB3322" s="204"/>
    </row>
    <row r="3323" spans="1:28" ht="36.5" customHeight="1">
      <c r="A3323" s="156" t="str">
        <f>'Reported burning'!A3323</f>
        <v>370a</v>
      </c>
      <c r="B3323" s="156" t="str">
        <f>'Reported burning'!B3323</f>
        <v>370a.6</v>
      </c>
      <c r="C3323" s="156" t="str">
        <f>'Reported burning'!C3323</f>
        <v>Human, escaped</v>
      </c>
      <c r="D3323" s="156" t="str">
        <f>'Reported burning'!D3323</f>
        <v>Domestic</v>
      </c>
      <c r="E3323" s="156" t="str">
        <f>'Reported burning'!E3323</f>
        <v>Tourism manager</v>
      </c>
      <c r="F3323" s="156" t="str">
        <f>'Reported burning'!F3323</f>
        <v>ND</v>
      </c>
      <c r="G3323" s="156" t="str">
        <f>'Reported burning'!G3323</f>
        <v>Forest</v>
      </c>
      <c r="H3323" s="156" t="str">
        <f>'Reported burning'!H3323</f>
        <v>Presence</v>
      </c>
      <c r="I3323" s="5"/>
      <c r="J3323" s="21" t="s">
        <v>2276</v>
      </c>
      <c r="K3323" s="21" t="s">
        <v>2276</v>
      </c>
      <c r="L3323" s="21" t="s">
        <v>2276</v>
      </c>
      <c r="M3323" s="21" t="s">
        <v>2276</v>
      </c>
      <c r="N3323" s="21" t="s">
        <v>2276</v>
      </c>
      <c r="O3323" s="21" t="s">
        <v>2276</v>
      </c>
      <c r="P3323" s="21" t="s">
        <v>2276</v>
      </c>
      <c r="Q3323" s="21" t="s">
        <v>2276</v>
      </c>
      <c r="R3323" s="21" t="s">
        <v>2276</v>
      </c>
      <c r="S3323" s="21" t="s">
        <v>2276</v>
      </c>
      <c r="T3323" s="21" t="s">
        <v>2276</v>
      </c>
      <c r="U3323" s="21" t="s">
        <v>2276</v>
      </c>
      <c r="V3323" s="21" t="s">
        <v>2276</v>
      </c>
      <c r="W3323" s="21" t="s">
        <v>2276</v>
      </c>
      <c r="X3323" s="21" t="s">
        <v>2276</v>
      </c>
      <c r="Y3323" s="21" t="s">
        <v>2276</v>
      </c>
      <c r="Z3323" s="21" t="s">
        <v>2276</v>
      </c>
      <c r="AA3323" s="204"/>
      <c r="AB3323" s="204"/>
    </row>
    <row r="3324" spans="1:28" s="203" customFormat="1" ht="36.5" customHeight="1">
      <c r="A3324" s="156" t="str">
        <f>'Reported burning'!A3324</f>
        <v>370a</v>
      </c>
      <c r="B3324" s="156" t="str">
        <f>'Reported burning'!B3324</f>
        <v>370a.7</v>
      </c>
      <c r="C3324" s="156" t="str">
        <f>'Reported burning'!C3324</f>
        <v>Human, escaped</v>
      </c>
      <c r="D3324" s="156" t="str">
        <f>'Reported burning'!D3324</f>
        <v>Domestic</v>
      </c>
      <c r="E3324" s="156" t="str">
        <f>'Reported burning'!E3324</f>
        <v>Forestry, Traditional</v>
      </c>
      <c r="F3324" s="156" t="str">
        <f>'Reported burning'!F3324</f>
        <v>ND</v>
      </c>
      <c r="G3324" s="156" t="str">
        <f>'Reported burning'!G3324</f>
        <v>Forest</v>
      </c>
      <c r="H3324" s="156" t="str">
        <f>'Reported burning'!H3324</f>
        <v>Presence</v>
      </c>
      <c r="I3324" s="5"/>
      <c r="J3324" s="21" t="s">
        <v>2276</v>
      </c>
      <c r="K3324" s="21" t="s">
        <v>2276</v>
      </c>
      <c r="L3324" s="21" t="s">
        <v>2276</v>
      </c>
      <c r="M3324" s="21" t="s">
        <v>2276</v>
      </c>
      <c r="N3324" s="21" t="s">
        <v>2276</v>
      </c>
      <c r="O3324" s="21" t="s">
        <v>2276</v>
      </c>
      <c r="P3324" s="21" t="s">
        <v>2276</v>
      </c>
      <c r="Q3324" s="21" t="s">
        <v>2276</v>
      </c>
      <c r="R3324" s="21" t="s">
        <v>2276</v>
      </c>
      <c r="S3324" s="21" t="s">
        <v>2276</v>
      </c>
      <c r="T3324" s="21" t="s">
        <v>2276</v>
      </c>
      <c r="U3324" s="21" t="s">
        <v>2276</v>
      </c>
      <c r="V3324" s="21" t="s">
        <v>2276</v>
      </c>
      <c r="W3324" s="21" t="s">
        <v>2276</v>
      </c>
      <c r="X3324" s="21" t="s">
        <v>2276</v>
      </c>
      <c r="Y3324" s="21" t="s">
        <v>2276</v>
      </c>
      <c r="Z3324" s="21" t="s">
        <v>2276</v>
      </c>
      <c r="AA3324" s="204"/>
      <c r="AB3324" s="204"/>
    </row>
    <row r="3325" spans="1:28" ht="36.5" customHeight="1">
      <c r="A3325" s="156" t="s">
        <v>8877</v>
      </c>
      <c r="B3325" s="156" t="str">
        <f>'Reported burning'!B3325</f>
        <v>370a.8</v>
      </c>
      <c r="C3325" s="156" t="str">
        <f>'Reported burning'!C3325</f>
        <v>Human, escaped</v>
      </c>
      <c r="D3325" s="156" t="str">
        <f>'Reported burning'!D3325</f>
        <v>Hunting</v>
      </c>
      <c r="E3325" s="156" t="str">
        <f>'Reported burning'!E3325</f>
        <v>Forestry, Traditional</v>
      </c>
      <c r="F3325" s="156" t="str">
        <f>'Reported burning'!F3325</f>
        <v>Forest</v>
      </c>
      <c r="G3325" s="156" t="str">
        <f>'Reported burning'!G3325</f>
        <v>Forest</v>
      </c>
      <c r="H3325" s="156" t="str">
        <f>'Reported burning'!H3325</f>
        <v>Presence</v>
      </c>
      <c r="I3325" s="5"/>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2276</v>
      </c>
      <c r="X3325" s="21" t="s">
        <v>2276</v>
      </c>
      <c r="Y3325" s="21" t="s">
        <v>2276</v>
      </c>
      <c r="Z3325" s="21" t="s">
        <v>2276</v>
      </c>
      <c r="AA3325" s="204"/>
      <c r="AB3325" s="204"/>
    </row>
    <row r="3326" spans="1:28" ht="36.5" customHeight="1">
      <c r="A3326" s="156" t="str">
        <f>'Reported burning'!A3326</f>
        <v>370a</v>
      </c>
      <c r="B3326" s="156" t="str">
        <f>'Reported burning'!B3326</f>
        <v>370a.9</v>
      </c>
      <c r="C3326" s="156" t="str">
        <f>'Reported burning'!C3326</f>
        <v>Human, accidental</v>
      </c>
      <c r="D3326" s="156" t="str">
        <f>'Reported burning'!D3326</f>
        <v>Accidental</v>
      </c>
      <c r="E3326" s="156" t="str">
        <f>'Reported burning'!E3326</f>
        <v>Urban planner</v>
      </c>
      <c r="F3326" s="156" t="str">
        <f>'Reported burning'!F3326</f>
        <v>ND</v>
      </c>
      <c r="G3326" s="156" t="str">
        <f>'Reported burning'!G3326</f>
        <v>Forest</v>
      </c>
      <c r="H3326" s="156" t="str">
        <f>'Reported burning'!H3326</f>
        <v>Presence</v>
      </c>
      <c r="I3326" s="5"/>
      <c r="J3326" s="21" t="s">
        <v>2276</v>
      </c>
      <c r="K3326" s="21" t="s">
        <v>2276</v>
      </c>
      <c r="L3326" s="21" t="s">
        <v>2276</v>
      </c>
      <c r="M3326" s="21" t="s">
        <v>2276</v>
      </c>
      <c r="N3326" s="21" t="s">
        <v>2276</v>
      </c>
      <c r="O3326" s="21" t="s">
        <v>2276</v>
      </c>
      <c r="P3326" s="21" t="s">
        <v>2276</v>
      </c>
      <c r="Q3326" s="21" t="s">
        <v>2276</v>
      </c>
      <c r="R3326" s="21" t="s">
        <v>2276</v>
      </c>
      <c r="S3326" s="21" t="s">
        <v>2276</v>
      </c>
      <c r="T3326" s="21" t="s">
        <v>2276</v>
      </c>
      <c r="U3326" s="21" t="s">
        <v>2276</v>
      </c>
      <c r="V3326" s="21" t="s">
        <v>2276</v>
      </c>
      <c r="W3326" s="21" t="s">
        <v>2276</v>
      </c>
      <c r="X3326" s="21" t="s">
        <v>2276</v>
      </c>
      <c r="Y3326" s="21" t="s">
        <v>2276</v>
      </c>
      <c r="Z3326" s="21" t="s">
        <v>2276</v>
      </c>
      <c r="AA3326" s="204"/>
      <c r="AB3326" s="204"/>
    </row>
    <row r="3327" spans="1:28" ht="36.5" customHeight="1">
      <c r="A3327" s="156" t="str">
        <f>'Reported burning'!A3327</f>
        <v>370a</v>
      </c>
      <c r="B3327" s="156" t="str">
        <f>'Reported burning'!B3327</f>
        <v>370a.10</v>
      </c>
      <c r="C3327" s="156" t="str">
        <f>'Reported burning'!C3327</f>
        <v>Lightning</v>
      </c>
      <c r="D3327" s="156" t="str">
        <f>'Reported burning'!D3327</f>
        <v>ND</v>
      </c>
      <c r="E3327" s="156" t="str">
        <f>'Reported burning'!E3327</f>
        <v>ND</v>
      </c>
      <c r="F3327" s="156" t="str">
        <f>'Reported burning'!F3327</f>
        <v>ND</v>
      </c>
      <c r="G3327" s="156" t="str">
        <f>'Reported burning'!G3327</f>
        <v>Forest</v>
      </c>
      <c r="H3327" s="156" t="str">
        <f>'Reported burning'!H3327</f>
        <v>Presence</v>
      </c>
      <c r="I3327" s="5"/>
      <c r="J3327" s="21" t="s">
        <v>2276</v>
      </c>
      <c r="K3327" s="21" t="s">
        <v>2276</v>
      </c>
      <c r="L3327" s="21" t="s">
        <v>2276</v>
      </c>
      <c r="M3327" s="21" t="s">
        <v>2276</v>
      </c>
      <c r="N3327" s="21" t="s">
        <v>2276</v>
      </c>
      <c r="O3327" s="21" t="s">
        <v>2276</v>
      </c>
      <c r="P3327" s="21" t="s">
        <v>2276</v>
      </c>
      <c r="Q3327" s="21" t="s">
        <v>2276</v>
      </c>
      <c r="R3327" s="21" t="s">
        <v>2276</v>
      </c>
      <c r="S3327" s="21" t="s">
        <v>2276</v>
      </c>
      <c r="T3327" s="21" t="s">
        <v>2276</v>
      </c>
      <c r="U3327" s="21" t="s">
        <v>2276</v>
      </c>
      <c r="V3327" s="21" t="s">
        <v>2276</v>
      </c>
      <c r="W3327" s="21" t="s">
        <v>2276</v>
      </c>
      <c r="X3327" s="21" t="s">
        <v>2276</v>
      </c>
      <c r="Y3327" s="21" t="s">
        <v>2276</v>
      </c>
      <c r="Z3327" s="21" t="s">
        <v>2276</v>
      </c>
      <c r="AA3327" s="204"/>
      <c r="AB3327" s="204"/>
    </row>
    <row r="3328" spans="1:28" ht="37.5" customHeight="1">
      <c r="A3328" s="156" t="str">
        <f>'Reported burning'!A3328</f>
        <v>370a</v>
      </c>
      <c r="B3328" s="156" t="str">
        <f>'Reported burning'!B3328</f>
        <v>370a.11</v>
      </c>
      <c r="C3328" s="156" t="str">
        <f>'Reported burning'!C3328</f>
        <v>Human, deliberate</v>
      </c>
      <c r="D3328" s="156" t="str">
        <f>'Reported burning'!D3328</f>
        <v>Arson</v>
      </c>
      <c r="E3328" s="156" t="str">
        <f>'Reported burning'!E3328</f>
        <v>ND</v>
      </c>
      <c r="F3328" s="156" t="str">
        <f>'Reported burning'!F3328</f>
        <v>ND</v>
      </c>
      <c r="G3328" s="156" t="str">
        <f>'Reported burning'!G3328</f>
        <v>Forest</v>
      </c>
      <c r="H3328" s="156" t="str">
        <f>'Reported burning'!H3328</f>
        <v>Presence</v>
      </c>
      <c r="I3328" s="5"/>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1" t="s">
        <v>2276</v>
      </c>
      <c r="Y3328" s="21" t="s">
        <v>2276</v>
      </c>
      <c r="Z3328" s="21" t="s">
        <v>2276</v>
      </c>
      <c r="AA3328" s="204"/>
      <c r="AB3328" s="204"/>
    </row>
    <row r="3329" spans="1:28" ht="37.5" customHeight="1">
      <c r="A3329" s="156" t="str">
        <f>'Reported burning'!A3329</f>
        <v>371a</v>
      </c>
      <c r="B3329" s="156" t="str">
        <f>'Reported burning'!B3329</f>
        <v>371a.1</v>
      </c>
      <c r="C3329" s="156" t="str">
        <f>'Reported burning'!C3329</f>
        <v>Human, deliberate</v>
      </c>
      <c r="D3329" s="156" t="str">
        <f>'Reported burning'!D3329</f>
        <v>Crop field preparation</v>
      </c>
      <c r="E3329" s="156" t="str">
        <f>'Reported burning'!E3329</f>
        <v>Cropping, Swidden</v>
      </c>
      <c r="F3329" s="156" t="str">
        <f>'Reported burning'!F3329</f>
        <v>Secondary vegetation</v>
      </c>
      <c r="G3329" s="156" t="str">
        <f>'Reported burning'!G3329</f>
        <v>Secondary vegetation</v>
      </c>
      <c r="H3329" s="156" t="str">
        <f>'Reported burning'!H3329</f>
        <v>Presence</v>
      </c>
      <c r="I3329" s="5"/>
      <c r="J3329" s="21" t="s">
        <v>2276</v>
      </c>
      <c r="K3329" s="21" t="s">
        <v>2276</v>
      </c>
      <c r="L3329" s="21" t="s">
        <v>2276</v>
      </c>
      <c r="M3329" s="21" t="s">
        <v>2276</v>
      </c>
      <c r="N3329" s="21" t="s">
        <v>2276</v>
      </c>
      <c r="O3329" s="21" t="s">
        <v>2276</v>
      </c>
      <c r="P3329" s="21" t="s">
        <v>2276</v>
      </c>
      <c r="Q3329" s="21" t="s">
        <v>2276</v>
      </c>
      <c r="R3329" s="21" t="s">
        <v>2276</v>
      </c>
      <c r="S3329" s="21" t="s">
        <v>2276</v>
      </c>
      <c r="T3329" s="21" t="s">
        <v>2276</v>
      </c>
      <c r="U3329" s="21" t="s">
        <v>2276</v>
      </c>
      <c r="V3329" s="21" t="s">
        <v>2276</v>
      </c>
      <c r="W3329" s="21" t="s">
        <v>2276</v>
      </c>
      <c r="X3329" s="21" t="s">
        <v>2276</v>
      </c>
      <c r="Y3329" s="21" t="s">
        <v>2276</v>
      </c>
      <c r="Z3329" s="21" t="s">
        <v>2276</v>
      </c>
      <c r="AA3329" s="74" t="s">
        <v>8902</v>
      </c>
      <c r="AB3329" s="204"/>
    </row>
    <row r="3330" spans="1:28" ht="37.5" customHeight="1">
      <c r="A3330" s="156" t="str">
        <f>'Reported burning'!A3330</f>
        <v>371a</v>
      </c>
      <c r="B3330" s="156" t="str">
        <f>'Reported burning'!B3330</f>
        <v>371a.2</v>
      </c>
      <c r="C3330" s="156" t="str">
        <f>'Reported burning'!C3330</f>
        <v>Human, deliberate</v>
      </c>
      <c r="D3330" s="156" t="str">
        <f>'Reported burning'!D3330</f>
        <v>Pasture renewal</v>
      </c>
      <c r="E3330" s="156" t="str">
        <f>'Reported burning'!E3330</f>
        <v>Cattle, Extensive</v>
      </c>
      <c r="F3330" s="156" t="str">
        <f>'Reported burning'!F3330</f>
        <v>Pasture</v>
      </c>
      <c r="G3330" s="156" t="str">
        <f>'Reported burning'!G3330</f>
        <v>Pasture</v>
      </c>
      <c r="H3330" s="156" t="str">
        <f>'Reported burning'!H3330</f>
        <v>Presence</v>
      </c>
      <c r="I3330" s="5"/>
      <c r="J3330" s="21" t="s">
        <v>2276</v>
      </c>
      <c r="K3330" s="21" t="s">
        <v>2276</v>
      </c>
      <c r="L3330" s="21" t="s">
        <v>2276</v>
      </c>
      <c r="M3330" s="21" t="s">
        <v>2276</v>
      </c>
      <c r="N3330" s="21" t="s">
        <v>2276</v>
      </c>
      <c r="O3330" s="21" t="s">
        <v>2276</v>
      </c>
      <c r="P3330" s="21" t="s">
        <v>2276</v>
      </c>
      <c r="Q3330" s="21" t="s">
        <v>2276</v>
      </c>
      <c r="R3330" s="21" t="s">
        <v>2276</v>
      </c>
      <c r="S3330" s="21" t="s">
        <v>2276</v>
      </c>
      <c r="T3330" s="21" t="s">
        <v>2276</v>
      </c>
      <c r="U3330" s="21" t="s">
        <v>2276</v>
      </c>
      <c r="V3330" s="21" t="s">
        <v>2276</v>
      </c>
      <c r="W3330" s="21" t="s">
        <v>2276</v>
      </c>
      <c r="X3330" s="21" t="s">
        <v>2276</v>
      </c>
      <c r="Y3330" s="21" t="s">
        <v>2276</v>
      </c>
      <c r="Z3330" s="21" t="s">
        <v>2276</v>
      </c>
      <c r="AA3330" s="74" t="s">
        <v>8902</v>
      </c>
      <c r="AB3330" s="204"/>
    </row>
    <row r="3331" spans="1:28" ht="37.5" customHeight="1">
      <c r="A3331" s="156" t="str">
        <f>'Reported burning'!A3331</f>
        <v>371a</v>
      </c>
      <c r="B3331" s="156" t="str">
        <f>'Reported burning'!B3331</f>
        <v>371a.3</v>
      </c>
      <c r="C3331" s="156" t="str">
        <f>'Reported burning'!C3331</f>
        <v>Human, deliberate</v>
      </c>
      <c r="D3331" s="156" t="str">
        <f>'Reported burning'!D3331</f>
        <v>Pest management</v>
      </c>
      <c r="E3331" s="156" t="str">
        <f>'Reported burning'!E3331</f>
        <v>Cattle, Extensive</v>
      </c>
      <c r="F3331" s="156" t="str">
        <f>'Reported burning'!F3331</f>
        <v>Pasture</v>
      </c>
      <c r="G3331" s="156" t="str">
        <f>'Reported burning'!G3331</f>
        <v>Pasture</v>
      </c>
      <c r="H3331" s="156" t="str">
        <f>'Reported burning'!H3331</f>
        <v>Presence</v>
      </c>
      <c r="I3331" s="5"/>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1" t="s">
        <v>2276</v>
      </c>
      <c r="AA3331" s="74" t="s">
        <v>8902</v>
      </c>
      <c r="AB3331" s="204"/>
    </row>
    <row r="3332" spans="1:28" ht="37.5" customHeight="1">
      <c r="A3332" s="156" t="str">
        <f>'Reported burning'!A3332</f>
        <v>371a</v>
      </c>
      <c r="B3332" s="156" t="str">
        <f>'Reported burning'!B3332</f>
        <v>371a.4</v>
      </c>
      <c r="C3332" s="156" t="str">
        <f>'Reported burning'!C3332</f>
        <v>Human, deliberate</v>
      </c>
      <c r="D3332" s="156" t="str">
        <f>'Reported burning'!D3332</f>
        <v>Land clearance</v>
      </c>
      <c r="E3332" s="156" t="str">
        <f>'Reported burning'!E3332</f>
        <v>Cattle, Extensive</v>
      </c>
      <c r="F3332" s="156" t="str">
        <f>'Reported burning'!F3332</f>
        <v>Pasture</v>
      </c>
      <c r="G3332" s="156" t="str">
        <f>'Reported burning'!G3332</f>
        <v>Pasture</v>
      </c>
      <c r="H3332" s="156" t="str">
        <f>'Reported burning'!H3332</f>
        <v>Presence</v>
      </c>
      <c r="I3332" s="5"/>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1" t="s">
        <v>2276</v>
      </c>
      <c r="AA3332" s="74" t="s">
        <v>8902</v>
      </c>
      <c r="AB3332" s="204"/>
    </row>
    <row r="3333" spans="1:28" ht="37.5" customHeight="1">
      <c r="A3333" s="156" t="str">
        <f>'Reported burning'!A3333</f>
        <v>371a</v>
      </c>
      <c r="B3333" s="156" t="str">
        <f>'Reported burning'!B3333</f>
        <v>371a.5</v>
      </c>
      <c r="C3333" s="156" t="str">
        <f>'Reported burning'!C3333</f>
        <v>Human, escaped</v>
      </c>
      <c r="D3333" s="156" t="str">
        <f>'Reported burning'!D3333</f>
        <v>Crop field preparation</v>
      </c>
      <c r="E3333" s="156" t="str">
        <f>'Reported burning'!E3333</f>
        <v>Cropping, Swidden</v>
      </c>
      <c r="F3333" s="156" t="str">
        <f>'Reported burning'!F3333</f>
        <v>Secondary vegetation</v>
      </c>
      <c r="G3333" s="156" t="str">
        <f>'Reported burning'!G3333</f>
        <v>ND</v>
      </c>
      <c r="H3333" s="156" t="str">
        <f>'Reported burning'!H3333</f>
        <v>Presence</v>
      </c>
      <c r="I3333" s="5"/>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21" t="s">
        <v>2276</v>
      </c>
      <c r="AA3333" s="204" t="s">
        <v>8907</v>
      </c>
      <c r="AB3333" s="204"/>
    </row>
    <row r="3334" spans="1:28" ht="37.5" customHeight="1">
      <c r="A3334" s="156" t="str">
        <f>'Reported burning'!A3334</f>
        <v>371a</v>
      </c>
      <c r="B3334" s="156" t="str">
        <f>'Reported burning'!B3334</f>
        <v>371a.6</v>
      </c>
      <c r="C3334" s="156" t="str">
        <f>'Reported burning'!C3334</f>
        <v>Human, escaped</v>
      </c>
      <c r="D3334" s="156" t="str">
        <f>'Reported burning'!D3334</f>
        <v>Pasture renewal</v>
      </c>
      <c r="E3334" s="156" t="str">
        <f>'Reported burning'!E3334</f>
        <v>Cattle, Extensive</v>
      </c>
      <c r="F3334" s="156" t="str">
        <f>'Reported burning'!F3334</f>
        <v>Pasture</v>
      </c>
      <c r="G3334" s="156" t="str">
        <f>'Reported burning'!G3334</f>
        <v>ND</v>
      </c>
      <c r="H3334" s="156" t="str">
        <f>'Reported burning'!H3334</f>
        <v>Presence</v>
      </c>
      <c r="I3334" s="5"/>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21" t="s">
        <v>2276</v>
      </c>
      <c r="AA3334" s="204" t="s">
        <v>8907</v>
      </c>
      <c r="AB3334" s="204"/>
    </row>
    <row r="3335" spans="1:28" ht="37.5" customHeight="1">
      <c r="A3335" s="156" t="str">
        <f>'Reported burning'!A3335</f>
        <v>371a</v>
      </c>
      <c r="B3335" s="156" t="str">
        <f>'Reported burning'!B3335</f>
        <v>371a.7</v>
      </c>
      <c r="C3335" s="156" t="str">
        <f>'Reported burning'!C3335</f>
        <v>Human, escaped</v>
      </c>
      <c r="D3335" s="156" t="str">
        <f>'Reported burning'!D3335</f>
        <v>Pest management</v>
      </c>
      <c r="E3335" s="156" t="str">
        <f>'Reported burning'!E3335</f>
        <v>Cattle, Extensive</v>
      </c>
      <c r="F3335" s="156" t="str">
        <f>'Reported burning'!F3335</f>
        <v>Pasture</v>
      </c>
      <c r="G3335" s="156" t="str">
        <f>'Reported burning'!G3335</f>
        <v>ND</v>
      </c>
      <c r="H3335" s="156" t="str">
        <f>'Reported burning'!H3335</f>
        <v>Presence</v>
      </c>
      <c r="I3335" s="5"/>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21" t="s">
        <v>2276</v>
      </c>
      <c r="AA3335" s="204" t="s">
        <v>8907</v>
      </c>
      <c r="AB3335" s="204"/>
    </row>
    <row r="3336" spans="1:28" ht="37.5" customHeight="1">
      <c r="A3336" s="156" t="str">
        <f>'Reported burning'!A3336</f>
        <v>371a</v>
      </c>
      <c r="B3336" s="156" t="str">
        <f>'Reported burning'!B3336</f>
        <v>371a.8</v>
      </c>
      <c r="C3336" s="156" t="str">
        <f>'Reported burning'!C3336</f>
        <v>Human, escaped</v>
      </c>
      <c r="D3336" s="156" t="str">
        <f>'Reported burning'!D3336</f>
        <v>Land clearance</v>
      </c>
      <c r="E3336" s="156" t="str">
        <f>'Reported burning'!E3336</f>
        <v>Cattle, Extensive</v>
      </c>
      <c r="F3336" s="156" t="str">
        <f>'Reported burning'!F3336</f>
        <v>Pasture</v>
      </c>
      <c r="G3336" s="156" t="str">
        <f>'Reported burning'!G3336</f>
        <v>ND</v>
      </c>
      <c r="H3336" s="156" t="str">
        <f>'Reported burning'!H3336</f>
        <v>Presence</v>
      </c>
      <c r="I3336" s="5"/>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21" t="s">
        <v>2276</v>
      </c>
      <c r="AA3336" s="204" t="s">
        <v>8907</v>
      </c>
      <c r="AB3336" s="204"/>
    </row>
    <row r="3337" spans="1:28" ht="38.5" customHeight="1">
      <c r="A3337" s="156" t="str">
        <f>'Reported burning'!A3337</f>
        <v>371a</v>
      </c>
      <c r="B3337" s="156" t="str">
        <f>'Reported burning'!B3337</f>
        <v>371a.9</v>
      </c>
      <c r="C3337" s="156" t="str">
        <f>'Reported burning'!C3337</f>
        <v>Human, deliberate</v>
      </c>
      <c r="D3337" s="156" t="str">
        <f>'Reported burning'!D3337</f>
        <v>All</v>
      </c>
      <c r="E3337" s="156" t="str">
        <f>'Reported burning'!E3337</f>
        <v>Mixed cropping-livestock small holder, Market-oriented</v>
      </c>
      <c r="F3337" s="156" t="str">
        <f>'Reported burning'!F3337</f>
        <v>ND</v>
      </c>
      <c r="G3337" s="156" t="str">
        <f>'Reported burning'!G3337</f>
        <v>ND</v>
      </c>
      <c r="H3337" s="156" t="str">
        <f>'Reported burning'!H3337</f>
        <v>Absence</v>
      </c>
      <c r="I3337" s="5"/>
      <c r="J3337" s="21">
        <v>0</v>
      </c>
      <c r="K3337" s="21">
        <v>0</v>
      </c>
      <c r="L3337" s="21">
        <v>0</v>
      </c>
      <c r="M3337" s="21">
        <v>0</v>
      </c>
      <c r="N3337" s="21">
        <v>0</v>
      </c>
      <c r="O3337" s="21">
        <v>0</v>
      </c>
      <c r="P3337" s="21">
        <v>0</v>
      </c>
      <c r="Q3337" s="21">
        <v>0</v>
      </c>
      <c r="R3337" s="21">
        <v>0</v>
      </c>
      <c r="S3337" s="21">
        <v>0</v>
      </c>
      <c r="T3337" s="21">
        <v>0</v>
      </c>
      <c r="U3337" s="21">
        <v>0</v>
      </c>
      <c r="V3337" s="21">
        <v>0</v>
      </c>
      <c r="W3337" s="21">
        <v>0</v>
      </c>
      <c r="X3337" s="21" t="s">
        <v>2276</v>
      </c>
      <c r="Y3337" s="21" t="s">
        <v>2276</v>
      </c>
      <c r="Z3337" s="21" t="s">
        <v>2276</v>
      </c>
      <c r="AA3337" s="19" t="s">
        <v>8908</v>
      </c>
      <c r="AB3337" s="204"/>
    </row>
    <row r="3338" spans="1:28" ht="37.5" customHeight="1">
      <c r="A3338" s="156" t="str">
        <f>'Reported burning'!A3338</f>
        <v>371b</v>
      </c>
      <c r="B3338" s="156" t="str">
        <f>'Reported burning'!B3338</f>
        <v>371b.1</v>
      </c>
      <c r="C3338" s="156" t="str">
        <f>'Reported burning'!C3338</f>
        <v>Human, deliberate</v>
      </c>
      <c r="D3338" s="156" t="str">
        <f>'Reported burning'!D3338</f>
        <v>Crop field preparation</v>
      </c>
      <c r="E3338" s="156" t="str">
        <f>'Reported burning'!E3338</f>
        <v>Cropping, Swidden</v>
      </c>
      <c r="F3338" s="156" t="str">
        <f>'Reported burning'!F3338</f>
        <v>Secondary vegetation</v>
      </c>
      <c r="G3338" s="156" t="str">
        <f>'Reported burning'!G3338</f>
        <v>Secondary vegetation</v>
      </c>
      <c r="H3338" s="156" t="str">
        <f>'Reported burning'!H3338</f>
        <v>Presence</v>
      </c>
      <c r="I3338" s="5"/>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04"/>
      <c r="AA3338" s="74" t="s">
        <v>8902</v>
      </c>
      <c r="AB3338" s="204"/>
    </row>
    <row r="3339" spans="1:28" ht="37.5" customHeight="1">
      <c r="A3339" s="156" t="str">
        <f>'Reported burning'!A3339</f>
        <v>371b</v>
      </c>
      <c r="B3339" s="156" t="str">
        <f>'Reported burning'!B3339</f>
        <v>371b.2</v>
      </c>
      <c r="C3339" s="156" t="str">
        <f>'Reported burning'!C3339</f>
        <v>Human, deliberate</v>
      </c>
      <c r="D3339" s="156" t="str">
        <f>'Reported burning'!D3339</f>
        <v>Pasture renewal</v>
      </c>
      <c r="E3339" s="156" t="str">
        <f>'Reported burning'!E3339</f>
        <v>Cattle, Extensive</v>
      </c>
      <c r="F3339" s="156" t="str">
        <f>'Reported burning'!F3339</f>
        <v>Pasture</v>
      </c>
      <c r="G3339" s="156" t="str">
        <f>'Reported burning'!G3339</f>
        <v>Pasture</v>
      </c>
      <c r="H3339" s="156" t="str">
        <f>'Reported burning'!H3339</f>
        <v>Presence</v>
      </c>
      <c r="I3339" s="5"/>
      <c r="J3339" s="21" t="s">
        <v>2276</v>
      </c>
      <c r="K3339" s="21" t="s">
        <v>2276</v>
      </c>
      <c r="L3339" s="21" t="s">
        <v>2276</v>
      </c>
      <c r="M3339" s="21" t="s">
        <v>2276</v>
      </c>
      <c r="N3339" s="21" t="s">
        <v>2276</v>
      </c>
      <c r="O3339" s="21" t="s">
        <v>2276</v>
      </c>
      <c r="P3339" s="21" t="s">
        <v>2276</v>
      </c>
      <c r="Q3339" s="21" t="s">
        <v>2276</v>
      </c>
      <c r="R3339" s="21" t="s">
        <v>2276</v>
      </c>
      <c r="S3339" s="21" t="s">
        <v>2276</v>
      </c>
      <c r="T3339" s="21" t="s">
        <v>2276</v>
      </c>
      <c r="U3339" s="21" t="s">
        <v>2276</v>
      </c>
      <c r="V3339" s="21" t="s">
        <v>2276</v>
      </c>
      <c r="W3339" s="21" t="s">
        <v>2276</v>
      </c>
      <c r="X3339" s="21" t="s">
        <v>2276</v>
      </c>
      <c r="Y3339" s="21" t="s">
        <v>2276</v>
      </c>
      <c r="Z3339" s="204"/>
      <c r="AA3339" s="74" t="s">
        <v>8902</v>
      </c>
      <c r="AB3339" s="204"/>
    </row>
    <row r="3340" spans="1:28" ht="37.5" customHeight="1">
      <c r="A3340" s="156" t="str">
        <f>'Reported burning'!A3340</f>
        <v>371b</v>
      </c>
      <c r="B3340" s="156" t="str">
        <f>'Reported burning'!B3340</f>
        <v>371b.3</v>
      </c>
      <c r="C3340" s="156" t="str">
        <f>'Reported burning'!C3340</f>
        <v>Human, deliberate</v>
      </c>
      <c r="D3340" s="156" t="str">
        <f>'Reported burning'!D3340</f>
        <v>Pest management</v>
      </c>
      <c r="E3340" s="156" t="str">
        <f>'Reported burning'!E3340</f>
        <v>Cattle, Extensive</v>
      </c>
      <c r="F3340" s="156" t="str">
        <f>'Reported burning'!F3340</f>
        <v>Pasture</v>
      </c>
      <c r="G3340" s="156" t="str">
        <f>'Reported burning'!G3340</f>
        <v>Pasture</v>
      </c>
      <c r="H3340" s="156" t="str">
        <f>'Reported burning'!H3340</f>
        <v>Presence</v>
      </c>
      <c r="I3340" s="5"/>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04"/>
      <c r="AA3340" s="74" t="s">
        <v>8902</v>
      </c>
      <c r="AB3340" s="204"/>
    </row>
    <row r="3341" spans="1:28" ht="37.5" customHeight="1">
      <c r="A3341" s="156" t="str">
        <f>'Reported burning'!A3341</f>
        <v>371b</v>
      </c>
      <c r="B3341" s="156" t="str">
        <f>'Reported burning'!B3341</f>
        <v>371b.4</v>
      </c>
      <c r="C3341" s="156" t="str">
        <f>'Reported burning'!C3341</f>
        <v>Human, deliberate</v>
      </c>
      <c r="D3341" s="156" t="str">
        <f>'Reported burning'!D3341</f>
        <v>Land clearance</v>
      </c>
      <c r="E3341" s="156" t="str">
        <f>'Reported burning'!E3341</f>
        <v>Cattle, Extensive</v>
      </c>
      <c r="F3341" s="156" t="str">
        <f>'Reported burning'!F3341</f>
        <v>Pasture</v>
      </c>
      <c r="G3341" s="156" t="str">
        <f>'Reported burning'!G3341</f>
        <v>Pasture</v>
      </c>
      <c r="H3341" s="156" t="str">
        <f>'Reported burning'!H3341</f>
        <v>Presence</v>
      </c>
      <c r="I3341" s="5"/>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04"/>
      <c r="AA3341" s="74" t="s">
        <v>8902</v>
      </c>
      <c r="AB3341" s="204"/>
    </row>
    <row r="3342" spans="1:28" ht="37.5" customHeight="1">
      <c r="A3342" s="156" t="str">
        <f>'Reported burning'!A3342</f>
        <v>371b</v>
      </c>
      <c r="B3342" s="156" t="str">
        <f>'Reported burning'!B3342</f>
        <v>371b.5</v>
      </c>
      <c r="C3342" s="156" t="str">
        <f>'Reported burning'!C3342</f>
        <v>Human, escaped</v>
      </c>
      <c r="D3342" s="156" t="str">
        <f>'Reported burning'!D3342</f>
        <v>Crop field preparation</v>
      </c>
      <c r="E3342" s="156" t="str">
        <f>'Reported burning'!E3342</f>
        <v>Cropping, Swidden</v>
      </c>
      <c r="F3342" s="156" t="str">
        <f>'Reported burning'!F3342</f>
        <v>Secondary vegetation</v>
      </c>
      <c r="G3342" s="156" t="str">
        <f>'Reported burning'!G3342</f>
        <v>ND</v>
      </c>
      <c r="H3342" s="156" t="str">
        <f>'Reported burning'!H3342</f>
        <v>Presence</v>
      </c>
      <c r="I3342" s="5"/>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04"/>
      <c r="AA3342" s="204" t="s">
        <v>8907</v>
      </c>
      <c r="AB3342" s="204"/>
    </row>
    <row r="3343" spans="1:28" ht="37.5" customHeight="1">
      <c r="A3343" s="156" t="str">
        <f>'Reported burning'!A3343</f>
        <v>371b</v>
      </c>
      <c r="B3343" s="156" t="str">
        <f>'Reported burning'!B3343</f>
        <v>371b.6</v>
      </c>
      <c r="C3343" s="156" t="str">
        <f>'Reported burning'!C3343</f>
        <v>Human, escaped</v>
      </c>
      <c r="D3343" s="156" t="str">
        <f>'Reported burning'!D3343</f>
        <v>Pasture renewal</v>
      </c>
      <c r="E3343" s="156" t="str">
        <f>'Reported burning'!E3343</f>
        <v>Cattle, Extensive</v>
      </c>
      <c r="F3343" s="156" t="str">
        <f>'Reported burning'!F3343</f>
        <v>Pasture</v>
      </c>
      <c r="G3343" s="156" t="str">
        <f>'Reported burning'!G3343</f>
        <v>ND</v>
      </c>
      <c r="H3343" s="156" t="str">
        <f>'Reported burning'!H3343</f>
        <v>Presence</v>
      </c>
      <c r="I3343" s="5"/>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04"/>
      <c r="AA3343" s="204" t="s">
        <v>8907</v>
      </c>
      <c r="AB3343" s="204"/>
    </row>
    <row r="3344" spans="1:28" ht="37.5" customHeight="1">
      <c r="A3344" s="156" t="str">
        <f>'Reported burning'!A3344</f>
        <v>371b</v>
      </c>
      <c r="B3344" s="156" t="str">
        <f>'Reported burning'!B3344</f>
        <v>371b.7</v>
      </c>
      <c r="C3344" s="156" t="str">
        <f>'Reported burning'!C3344</f>
        <v>Human, escaped</v>
      </c>
      <c r="D3344" s="156" t="str">
        <f>'Reported burning'!D3344</f>
        <v>Pest management</v>
      </c>
      <c r="E3344" s="156" t="str">
        <f>'Reported burning'!E3344</f>
        <v>Cattle, Extensive</v>
      </c>
      <c r="F3344" s="156" t="str">
        <f>'Reported burning'!F3344</f>
        <v>Pasture</v>
      </c>
      <c r="G3344" s="156" t="str">
        <f>'Reported burning'!G3344</f>
        <v>ND</v>
      </c>
      <c r="H3344" s="156" t="str">
        <f>'Reported burning'!H3344</f>
        <v>Presence</v>
      </c>
      <c r="I3344" s="5"/>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04"/>
      <c r="AA3344" s="204" t="s">
        <v>8907</v>
      </c>
      <c r="AB3344" s="204"/>
    </row>
    <row r="3345" spans="1:28" ht="37.5" customHeight="1">
      <c r="A3345" s="156" t="str">
        <f>'Reported burning'!A3345</f>
        <v>371b</v>
      </c>
      <c r="B3345" s="156" t="str">
        <f>'Reported burning'!B3345</f>
        <v>371b.8</v>
      </c>
      <c r="C3345" s="156" t="str">
        <f>'Reported burning'!C3345</f>
        <v>Human, escaped</v>
      </c>
      <c r="D3345" s="156" t="str">
        <f>'Reported burning'!D3345</f>
        <v>Land clearance</v>
      </c>
      <c r="E3345" s="156" t="str">
        <f>'Reported burning'!E3345</f>
        <v>Cattle, Extensive</v>
      </c>
      <c r="F3345" s="156" t="str">
        <f>'Reported burning'!F3345</f>
        <v>Pasture</v>
      </c>
      <c r="G3345" s="156" t="str">
        <f>'Reported burning'!G3345</f>
        <v>ND</v>
      </c>
      <c r="H3345" s="156" t="str">
        <f>'Reported burning'!H3345</f>
        <v>Presence</v>
      </c>
      <c r="I3345" s="5"/>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04"/>
      <c r="AA3345" s="204" t="s">
        <v>8907</v>
      </c>
      <c r="AB3345" s="204"/>
    </row>
    <row r="3346" spans="1:28" ht="49" customHeight="1">
      <c r="A3346" s="156" t="str">
        <f>'Reported burning'!A3346</f>
        <v>371b</v>
      </c>
      <c r="B3346" s="156" t="str">
        <f>'Reported burning'!B3346</f>
        <v>371b.9</v>
      </c>
      <c r="C3346" s="156" t="str">
        <f>'Reported burning'!C3346</f>
        <v>Human, deliberate</v>
      </c>
      <c r="D3346" s="156" t="str">
        <f>'Reported burning'!D3346</f>
        <v>All</v>
      </c>
      <c r="E3346" s="156" t="str">
        <f>'Reported burning'!E3346</f>
        <v>Mixed cropping-livestock small holder, Market-oriented</v>
      </c>
      <c r="F3346" s="156" t="str">
        <f>'Reported burning'!F3346</f>
        <v>ND</v>
      </c>
      <c r="G3346" s="156" t="str">
        <f>'Reported burning'!G3346</f>
        <v>ND</v>
      </c>
      <c r="H3346" s="156" t="str">
        <f>'Reported burning'!H3346</f>
        <v>Absence</v>
      </c>
      <c r="I3346" s="5"/>
      <c r="J3346" s="21">
        <v>0</v>
      </c>
      <c r="K3346" s="21">
        <v>0</v>
      </c>
      <c r="L3346" s="21">
        <v>0</v>
      </c>
      <c r="M3346" s="21">
        <v>0</v>
      </c>
      <c r="N3346" s="21">
        <v>0</v>
      </c>
      <c r="O3346" s="21">
        <v>0</v>
      </c>
      <c r="P3346" s="21">
        <v>0</v>
      </c>
      <c r="Q3346" s="21">
        <v>0</v>
      </c>
      <c r="R3346" s="21">
        <v>0</v>
      </c>
      <c r="S3346" s="21">
        <v>0</v>
      </c>
      <c r="T3346" s="21">
        <v>0</v>
      </c>
      <c r="U3346" s="21" t="s">
        <v>2276</v>
      </c>
      <c r="V3346" s="21" t="s">
        <v>2276</v>
      </c>
      <c r="W3346" s="21" t="s">
        <v>2276</v>
      </c>
      <c r="X3346" s="21" t="s">
        <v>2276</v>
      </c>
      <c r="Y3346" s="21" t="s">
        <v>2276</v>
      </c>
      <c r="Z3346" s="204"/>
      <c r="AA3346" s="19" t="s">
        <v>8908</v>
      </c>
      <c r="AB3346" s="204"/>
    </row>
    <row r="3347" spans="1:28" ht="43" customHeight="1">
      <c r="A3347" s="156" t="str">
        <f>'Reported burning'!A3347</f>
        <v>372a</v>
      </c>
      <c r="B3347" s="156" t="str">
        <f>'Reported burning'!B3347</f>
        <v>372a.1</v>
      </c>
      <c r="C3347" s="156" t="str">
        <f>'Reported burning'!C3347</f>
        <v>Human, deliberate</v>
      </c>
      <c r="D3347" s="156" t="str">
        <f>'Reported burning'!D3347</f>
        <v>Forest clearance</v>
      </c>
      <c r="E3347" s="156" t="str">
        <f>'Reported burning'!E3347</f>
        <v>Cropping, Intensive</v>
      </c>
      <c r="F3347" s="156" t="str">
        <f>'Reported burning'!F3347</f>
        <v>Forest</v>
      </c>
      <c r="G3347" s="156" t="str">
        <f>'Reported burning'!G3347</f>
        <v>Forest</v>
      </c>
      <c r="H3347" s="156" t="str">
        <f>'Reported burning'!H3347</f>
        <v>Presence</v>
      </c>
      <c r="I3347" s="5"/>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04"/>
      <c r="AB3347" s="204"/>
    </row>
    <row r="3348" spans="1:28" ht="43" customHeight="1">
      <c r="A3348" s="156" t="str">
        <f>'Reported burning'!A3348</f>
        <v>372a</v>
      </c>
      <c r="B3348" s="156" t="str">
        <f>'Reported burning'!B3348</f>
        <v>372a.2</v>
      </c>
      <c r="C3348" s="156" t="str">
        <f>'Reported burning'!C3348</f>
        <v>Human, deliberate</v>
      </c>
      <c r="D3348" s="156" t="str">
        <f>'Reported burning'!D3348</f>
        <v>Hunting</v>
      </c>
      <c r="E3348" s="156" t="str">
        <f>'Reported burning'!E3348</f>
        <v>Forestry, Traditional</v>
      </c>
      <c r="F3348" s="156" t="str">
        <f>'Reported burning'!F3348</f>
        <v>Forest</v>
      </c>
      <c r="G3348" s="156" t="str">
        <f>'Reported burning'!G3348</f>
        <v>Forest</v>
      </c>
      <c r="H3348" s="156" t="str">
        <f>'Reported burning'!H3348</f>
        <v>Presence</v>
      </c>
      <c r="I3348" s="5"/>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04"/>
      <c r="AB3348" s="204"/>
    </row>
    <row r="3349" spans="1:28" ht="43" customHeight="1">
      <c r="A3349" s="156" t="str">
        <f>'Reported burning'!A3349</f>
        <v>372a</v>
      </c>
      <c r="B3349" s="156" t="str">
        <f>'Reported burning'!B3349</f>
        <v>372a.3</v>
      </c>
      <c r="C3349" s="156" t="str">
        <f>'Reported burning'!C3349</f>
        <v>Human, deliberate</v>
      </c>
      <c r="D3349" s="156" t="str">
        <f>'Reported burning'!D3349</f>
        <v>Fishing</v>
      </c>
      <c r="E3349" s="156" t="str">
        <f>'Reported burning'!E3349</f>
        <v>Forestry, Traditional</v>
      </c>
      <c r="F3349" s="156" t="str">
        <f>'Reported burning'!F3349</f>
        <v>Forest</v>
      </c>
      <c r="G3349" s="156" t="str">
        <f>'Reported burning'!G3349</f>
        <v>Forest</v>
      </c>
      <c r="H3349" s="156" t="str">
        <f>'Reported burning'!H3349</f>
        <v>Presence</v>
      </c>
      <c r="I3349" s="5"/>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04"/>
      <c r="AB3349" s="204"/>
    </row>
    <row r="3350" spans="1:28" ht="43" customHeight="1">
      <c r="A3350" s="156" t="str">
        <f>'Reported burning'!A3350</f>
        <v>372a</v>
      </c>
      <c r="B3350" s="156" t="str">
        <f>'Reported burning'!B3350</f>
        <v>372a.4</v>
      </c>
      <c r="C3350" s="156" t="str">
        <f>'Reported burning'!C3350</f>
        <v>Human, deliberate</v>
      </c>
      <c r="D3350" s="156" t="str">
        <f>'Reported burning'!D3350</f>
        <v>Harvesting of NTFP</v>
      </c>
      <c r="E3350" s="156" t="str">
        <f>'Reported burning'!E3350</f>
        <v>Forestry, Traditional</v>
      </c>
      <c r="F3350" s="156" t="str">
        <f>'Reported burning'!F3350</f>
        <v>Forest</v>
      </c>
      <c r="G3350" s="156" t="str">
        <f>'Reported burning'!G3350</f>
        <v>Forest</v>
      </c>
      <c r="H3350" s="156" t="str">
        <f>'Reported burning'!H3350</f>
        <v>Presence</v>
      </c>
      <c r="I3350" s="5"/>
      <c r="J3350" s="21" t="s">
        <v>2276</v>
      </c>
      <c r="K3350" s="21" t="s">
        <v>2276</v>
      </c>
      <c r="L3350" s="21" t="s">
        <v>2276</v>
      </c>
      <c r="M3350" s="21" t="s">
        <v>2276</v>
      </c>
      <c r="N3350" s="21" t="s">
        <v>2276</v>
      </c>
      <c r="O3350" s="21" t="s">
        <v>2276</v>
      </c>
      <c r="P3350" s="21" t="s">
        <v>2276</v>
      </c>
      <c r="Q3350" s="21" t="s">
        <v>2276</v>
      </c>
      <c r="R3350" s="21" t="s">
        <v>2276</v>
      </c>
      <c r="S3350" s="21" t="s">
        <v>2276</v>
      </c>
      <c r="T3350" s="21" t="s">
        <v>2276</v>
      </c>
      <c r="U3350" s="21" t="s">
        <v>2276</v>
      </c>
      <c r="V3350" s="21" t="s">
        <v>2276</v>
      </c>
      <c r="W3350" s="21" t="s">
        <v>2276</v>
      </c>
      <c r="X3350" s="21" t="s">
        <v>2276</v>
      </c>
      <c r="Y3350" s="21" t="s">
        <v>2276</v>
      </c>
      <c r="Z3350" s="21" t="s">
        <v>2276</v>
      </c>
      <c r="AA3350" s="204"/>
      <c r="AB3350" s="204"/>
    </row>
    <row r="3351" spans="1:28" ht="43" customHeight="1">
      <c r="A3351" s="156" t="str">
        <f>'Reported burning'!A3351</f>
        <v>372a</v>
      </c>
      <c r="B3351" s="156" t="str">
        <f>'Reported burning'!B3351</f>
        <v>372a.5</v>
      </c>
      <c r="C3351" s="156" t="str">
        <f>'Reported burning'!C3351</f>
        <v>Human, escaped</v>
      </c>
      <c r="D3351" s="156" t="str">
        <f>'Reported burning'!D3351</f>
        <v>Forest clearance</v>
      </c>
      <c r="E3351" s="156" t="str">
        <f>'Reported burning'!E3351</f>
        <v>Cropping, Intensive</v>
      </c>
      <c r="F3351" s="156" t="str">
        <f>'Reported burning'!F3351</f>
        <v>Forest</v>
      </c>
      <c r="G3351" s="156" t="str">
        <f>'Reported burning'!G3351</f>
        <v>Forest</v>
      </c>
      <c r="H3351" s="156" t="str">
        <f>'Reported burning'!H3351</f>
        <v>Presence</v>
      </c>
      <c r="I3351" s="5"/>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1" t="s">
        <v>2276</v>
      </c>
      <c r="AA3351" s="204"/>
      <c r="AB3351" s="204"/>
    </row>
    <row r="3352" spans="1:28" ht="43" customHeight="1">
      <c r="A3352" s="156" t="str">
        <f>'Reported burning'!A3352</f>
        <v>372a</v>
      </c>
      <c r="B3352" s="156" t="str">
        <f>'Reported burning'!B3352</f>
        <v>372a.6</v>
      </c>
      <c r="C3352" s="156" t="str">
        <f>'Reported burning'!C3352</f>
        <v>Human, escaped</v>
      </c>
      <c r="D3352" s="156" t="str">
        <f>'Reported burning'!D3352</f>
        <v>Hunting</v>
      </c>
      <c r="E3352" s="156" t="str">
        <f>'Reported burning'!E3352</f>
        <v>Forestry, Traditional</v>
      </c>
      <c r="F3352" s="156" t="str">
        <f>'Reported burning'!F3352</f>
        <v>Forest</v>
      </c>
      <c r="G3352" s="156" t="str">
        <f>'Reported burning'!G3352</f>
        <v>Forest</v>
      </c>
      <c r="H3352" s="156" t="str">
        <f>'Reported burning'!H3352</f>
        <v>Presence</v>
      </c>
      <c r="I3352" s="5"/>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1" t="s">
        <v>2276</v>
      </c>
      <c r="AA3352" s="204"/>
      <c r="AB3352" s="204"/>
    </row>
    <row r="3353" spans="1:28" ht="43" customHeight="1">
      <c r="A3353" s="156" t="str">
        <f>'Reported burning'!A3353</f>
        <v>372a</v>
      </c>
      <c r="B3353" s="156" t="str">
        <f>'Reported burning'!B3353</f>
        <v>372a.7</v>
      </c>
      <c r="C3353" s="156" t="str">
        <f>'Reported burning'!C3353</f>
        <v>Human, escaped</v>
      </c>
      <c r="D3353" s="156" t="str">
        <f>'Reported burning'!D3353</f>
        <v>Fishing</v>
      </c>
      <c r="E3353" s="156" t="str">
        <f>'Reported burning'!E3353</f>
        <v>Forestry, Traditional</v>
      </c>
      <c r="F3353" s="156" t="str">
        <f>'Reported burning'!F3353</f>
        <v>Forest</v>
      </c>
      <c r="G3353" s="156" t="str">
        <f>'Reported burning'!G3353</f>
        <v>Forest</v>
      </c>
      <c r="H3353" s="156" t="str">
        <f>'Reported burning'!H3353</f>
        <v>Presence</v>
      </c>
      <c r="I3353" s="5"/>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04"/>
      <c r="AB3353" s="204"/>
    </row>
    <row r="3354" spans="1:28" ht="43" customHeight="1">
      <c r="A3354" s="156" t="str">
        <f>'Reported burning'!A3354</f>
        <v>372a</v>
      </c>
      <c r="B3354" s="156" t="str">
        <f>'Reported burning'!B3354</f>
        <v>372a.8</v>
      </c>
      <c r="C3354" s="156" t="str">
        <f>'Reported burning'!C3354</f>
        <v>Human, escaped</v>
      </c>
      <c r="D3354" s="156" t="str">
        <f>'Reported burning'!D3354</f>
        <v>Harvesting of NTFP</v>
      </c>
      <c r="E3354" s="156" t="str">
        <f>'Reported burning'!E3354</f>
        <v>Forestry, Traditional</v>
      </c>
      <c r="F3354" s="156" t="str">
        <f>'Reported burning'!F3354</f>
        <v>Forest</v>
      </c>
      <c r="G3354" s="156" t="str">
        <f>'Reported burning'!G3354</f>
        <v>Forest</v>
      </c>
      <c r="H3354" s="156" t="str">
        <f>'Reported burning'!H3354</f>
        <v>Presence</v>
      </c>
      <c r="I3354" s="5"/>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1" t="s">
        <v>2276</v>
      </c>
      <c r="AA3354" s="204"/>
      <c r="AB3354" s="204"/>
    </row>
    <row r="3355" spans="1:28" ht="37" customHeight="1">
      <c r="A3355" s="156" t="str">
        <f>'Reported burning'!A3355</f>
        <v>372a</v>
      </c>
      <c r="B3355" s="156" t="str">
        <f>'Reported burning'!B3355</f>
        <v>372a.9</v>
      </c>
      <c r="C3355" s="156" t="str">
        <f>'Reported burning'!C3355</f>
        <v>Human, accidental</v>
      </c>
      <c r="D3355" s="156" t="str">
        <f>'Reported burning'!D3355</f>
        <v>Accidental</v>
      </c>
      <c r="E3355" s="156" t="str">
        <f>'Reported burning'!E3355</f>
        <v>All</v>
      </c>
      <c r="F3355" s="156" t="str">
        <f>'Reported burning'!F3355</f>
        <v>ND</v>
      </c>
      <c r="G3355" s="156" t="str">
        <f>'Reported burning'!G3355</f>
        <v>Forest</v>
      </c>
      <c r="H3355" s="156" t="str">
        <f>'Reported burning'!H3355</f>
        <v>Presence</v>
      </c>
      <c r="I3355" s="5"/>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1" t="s">
        <v>2276</v>
      </c>
      <c r="AA3355" s="204"/>
      <c r="AB3355" s="204"/>
    </row>
    <row r="3356" spans="1:28" ht="37" customHeight="1">
      <c r="A3356" s="156" t="str">
        <f>'Reported burning'!A3356</f>
        <v>372a</v>
      </c>
      <c r="B3356" s="156" t="str">
        <f>'Reported burning'!B3356</f>
        <v>372a.10</v>
      </c>
      <c r="C3356" s="156" t="str">
        <f>'Reported burning'!C3356</f>
        <v>Human, escaped</v>
      </c>
      <c r="D3356" s="156" t="str">
        <f>'Reported burning'!D3356</f>
        <v>All</v>
      </c>
      <c r="E3356" s="156" t="str">
        <f>'Reported burning'!E3356</f>
        <v>All</v>
      </c>
      <c r="F3356" s="156" t="str">
        <f>'Reported burning'!F3356</f>
        <v>ND</v>
      </c>
      <c r="G3356" s="156" t="str">
        <f>'Reported burning'!G3356</f>
        <v>Forest</v>
      </c>
      <c r="H3356" s="156" t="str">
        <f>'Reported burning'!H3356</f>
        <v>Presence</v>
      </c>
      <c r="I3356" s="5"/>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1" t="s">
        <v>2276</v>
      </c>
      <c r="AA3356" s="204"/>
      <c r="AB3356" s="204"/>
    </row>
    <row r="3357" spans="1:28" ht="37" customHeight="1">
      <c r="A3357" s="156" t="str">
        <f>'Reported burning'!A3357</f>
        <v>373a</v>
      </c>
      <c r="B3357" s="156" t="str">
        <f>'Reported burning'!B3357</f>
        <v>373a.1</v>
      </c>
      <c r="C3357" s="156" t="str">
        <f>'Reported burning'!C3357</f>
        <v>Human, accidental</v>
      </c>
      <c r="D3357" s="156" t="str">
        <f>'Reported burning'!D3357</f>
        <v>Accidental</v>
      </c>
      <c r="E3357" s="156" t="str">
        <f>'Reported burning'!E3357</f>
        <v>All</v>
      </c>
      <c r="F3357" s="156" t="str">
        <f>'Reported burning'!F3357</f>
        <v>ND</v>
      </c>
      <c r="G3357" s="156" t="str">
        <f>'Reported burning'!G3357</f>
        <v>ND</v>
      </c>
      <c r="H3357" s="156" t="str">
        <f>'Reported burning'!H3357</f>
        <v>Presence</v>
      </c>
      <c r="I3357" s="5"/>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1" t="s">
        <v>2276</v>
      </c>
      <c r="AA3357" s="204"/>
      <c r="AB3357" s="204"/>
    </row>
    <row r="3358" spans="1:28" ht="32.5" customHeight="1">
      <c r="A3358" s="156" t="str">
        <f>'Reported burning'!A3358</f>
        <v>373a</v>
      </c>
      <c r="B3358" s="156" t="str">
        <f>'Reported burning'!B3358</f>
        <v>373a.2</v>
      </c>
      <c r="C3358" s="156" t="str">
        <f>'Reported burning'!C3358</f>
        <v>Human, accidental</v>
      </c>
      <c r="D3358" s="156" t="str">
        <f>'Reported burning'!D3358</f>
        <v>Accidental</v>
      </c>
      <c r="E3358" s="156" t="str">
        <f>'Reported burning'!E3358</f>
        <v>Urban planner</v>
      </c>
      <c r="F3358" s="156" t="str">
        <f>'Reported burning'!F3358</f>
        <v>ND</v>
      </c>
      <c r="G3358" s="156" t="str">
        <f>'Reported burning'!G3358</f>
        <v>ND</v>
      </c>
      <c r="H3358" s="156" t="str">
        <f>'Reported burning'!H3358</f>
        <v>Presence</v>
      </c>
      <c r="I3358" s="5"/>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1" t="s">
        <v>2276</v>
      </c>
      <c r="AA3358" s="204"/>
      <c r="AB3358" s="204"/>
    </row>
    <row r="3359" spans="1:28" ht="32.5" customHeight="1">
      <c r="A3359" s="156" t="str">
        <f>'Reported burning'!A3359</f>
        <v>373a</v>
      </c>
      <c r="B3359" s="156" t="str">
        <f>'Reported burning'!B3359</f>
        <v>373a.3</v>
      </c>
      <c r="C3359" s="156" t="str">
        <f>'Reported burning'!C3359</f>
        <v>Human, escaped</v>
      </c>
      <c r="D3359" s="156" t="str">
        <f>'Reported burning'!D3359</f>
        <v>Hunting</v>
      </c>
      <c r="E3359" s="156" t="str">
        <f>'Reported burning'!E3359</f>
        <v>Forestry, Traditional</v>
      </c>
      <c r="F3359" s="156" t="str">
        <f>'Reported burning'!F3359</f>
        <v>Shrubland (Mixed forest &amp; grassland)</v>
      </c>
      <c r="G3359" s="156" t="str">
        <f>'Reported burning'!G3359</f>
        <v>ND</v>
      </c>
      <c r="H3359" s="156" t="str">
        <f>'Reported burning'!H3359</f>
        <v>Presence</v>
      </c>
      <c r="I3359" s="5"/>
      <c r="J3359" s="21" t="s">
        <v>2276</v>
      </c>
      <c r="K3359" s="21" t="s">
        <v>2276</v>
      </c>
      <c r="L3359" s="21" t="s">
        <v>2276</v>
      </c>
      <c r="M3359" s="21" t="s">
        <v>2276</v>
      </c>
      <c r="N3359" s="21" t="s">
        <v>2276</v>
      </c>
      <c r="O3359" s="21" t="s">
        <v>2276</v>
      </c>
      <c r="P3359" s="21" t="s">
        <v>2276</v>
      </c>
      <c r="Q3359" s="21" t="s">
        <v>2276</v>
      </c>
      <c r="R3359" s="21" t="s">
        <v>2276</v>
      </c>
      <c r="S3359" s="21" t="s">
        <v>2276</v>
      </c>
      <c r="T3359" s="21" t="s">
        <v>2276</v>
      </c>
      <c r="U3359" s="21" t="s">
        <v>2276</v>
      </c>
      <c r="V3359" s="21" t="s">
        <v>2276</v>
      </c>
      <c r="W3359" s="21" t="s">
        <v>2276</v>
      </c>
      <c r="X3359" s="21" t="s">
        <v>2276</v>
      </c>
      <c r="Y3359" s="21" t="s">
        <v>2276</v>
      </c>
      <c r="Z3359" s="21" t="s">
        <v>2276</v>
      </c>
      <c r="AA3359" s="204"/>
      <c r="AB3359" s="204"/>
    </row>
    <row r="3360" spans="1:28" ht="32.5" customHeight="1">
      <c r="A3360" s="156" t="str">
        <f>'Reported burning'!A3360</f>
        <v>373a</v>
      </c>
      <c r="B3360" s="156" t="str">
        <f>'Reported burning'!B3360</f>
        <v>373a.4</v>
      </c>
      <c r="C3360" s="156" t="str">
        <f>'Reported burning'!C3360</f>
        <v>Human, escaped</v>
      </c>
      <c r="D3360" s="156" t="str">
        <f>'Reported burning'!D3360</f>
        <v>Harvesting of NTFP</v>
      </c>
      <c r="E3360" s="156" t="str">
        <f>'Reported burning'!E3360</f>
        <v>Forestry, Traditional</v>
      </c>
      <c r="F3360" s="156" t="str">
        <f>'Reported burning'!F3360</f>
        <v>Shrubland (Mixed forest &amp; grassland)</v>
      </c>
      <c r="G3360" s="156" t="str">
        <f>'Reported burning'!G3360</f>
        <v>ND</v>
      </c>
      <c r="H3360" s="156" t="str">
        <f>'Reported burning'!H3360</f>
        <v>Presence</v>
      </c>
      <c r="I3360" s="5"/>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04"/>
      <c r="AB3360" s="204"/>
    </row>
    <row r="3361" spans="1:28" ht="32.5" customHeight="1">
      <c r="A3361" s="156" t="str">
        <f>'Reported burning'!A3361</f>
        <v>373a</v>
      </c>
      <c r="B3361" s="156" t="str">
        <f>'Reported burning'!B3361</f>
        <v>373a.5</v>
      </c>
      <c r="C3361" s="156" t="str">
        <f>'Reported burning'!C3361</f>
        <v>Human, escaped</v>
      </c>
      <c r="D3361" s="156" t="str">
        <f>'Reported burning'!D3361</f>
        <v>Land clearance</v>
      </c>
      <c r="E3361" s="156" t="str">
        <f>'Reported burning'!E3361</f>
        <v>Cropping, Monoculture, Subsistence-oriented</v>
      </c>
      <c r="F3361" s="156" t="str">
        <f>'Reported burning'!F3361</f>
        <v>Shrubland (Mixed forest &amp; grassland)</v>
      </c>
      <c r="G3361" s="156" t="str">
        <f>'Reported burning'!G3361</f>
        <v>ND</v>
      </c>
      <c r="H3361" s="156" t="str">
        <f>'Reported burning'!H3361</f>
        <v>Presence</v>
      </c>
      <c r="I3361" s="5"/>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04"/>
      <c r="AB3361" s="204"/>
    </row>
    <row r="3362" spans="1:28" ht="32.5" customHeight="1">
      <c r="A3362" s="156" t="str">
        <f>'Reported burning'!A3362</f>
        <v>373a</v>
      </c>
      <c r="B3362" s="156" t="str">
        <f>'Reported burning'!B3362</f>
        <v>373a.6</v>
      </c>
      <c r="C3362" s="156" t="str">
        <f>'Reported burning'!C3362</f>
        <v>Human, deliberate</v>
      </c>
      <c r="D3362" s="156" t="str">
        <f>'Reported burning'!D3362</f>
        <v>Hunting</v>
      </c>
      <c r="E3362" s="156" t="str">
        <f>'Reported burning'!E3362</f>
        <v>Forestry, Traditional</v>
      </c>
      <c r="F3362" s="156" t="str">
        <f>'Reported burning'!F3362</f>
        <v>Shrubland (Mixed forest &amp; grassland)</v>
      </c>
      <c r="G3362" s="156" t="str">
        <f>'Reported burning'!G3362</f>
        <v>Shrubland (Mixed forest &amp; grassland)</v>
      </c>
      <c r="H3362" s="156" t="str">
        <f>'Reported burning'!H3362</f>
        <v>Presence</v>
      </c>
      <c r="I3362" s="5"/>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04"/>
      <c r="AB3362" s="204"/>
    </row>
    <row r="3363" spans="1:28" ht="32.5" customHeight="1">
      <c r="A3363" s="156" t="str">
        <f>'Reported burning'!A3363</f>
        <v>373a</v>
      </c>
      <c r="B3363" s="156" t="str">
        <f>'Reported burning'!B3363</f>
        <v>373a.7</v>
      </c>
      <c r="C3363" s="156" t="str">
        <f>'Reported burning'!C3363</f>
        <v>Human, deliberate</v>
      </c>
      <c r="D3363" s="156" t="str">
        <f>'Reported burning'!D3363</f>
        <v>Harvesting of NTFP</v>
      </c>
      <c r="E3363" s="156" t="str">
        <f>'Reported burning'!E3363</f>
        <v>Forestry, Traditional</v>
      </c>
      <c r="F3363" s="156" t="str">
        <f>'Reported burning'!F3363</f>
        <v>Shrubland (Mixed forest &amp; grassland)</v>
      </c>
      <c r="G3363" s="156" t="str">
        <f>'Reported burning'!G3363</f>
        <v>Shrubland (Mixed forest &amp; grassland)</v>
      </c>
      <c r="H3363" s="156" t="str">
        <f>'Reported burning'!H3363</f>
        <v>Presence</v>
      </c>
      <c r="I3363" s="5"/>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04"/>
      <c r="AB3363" s="204"/>
    </row>
    <row r="3364" spans="1:28" ht="32.5" customHeight="1">
      <c r="A3364" s="156" t="str">
        <f>'Reported burning'!A3364</f>
        <v>373a</v>
      </c>
      <c r="B3364" s="156" t="str">
        <f>'Reported burning'!B3364</f>
        <v>373a.8</v>
      </c>
      <c r="C3364" s="156" t="str">
        <f>'Reported burning'!C3364</f>
        <v>Human, deliberate</v>
      </c>
      <c r="D3364" s="156" t="str">
        <f>'Reported burning'!D3364</f>
        <v>Land clearance</v>
      </c>
      <c r="E3364" s="156" t="str">
        <f>'Reported burning'!E3364</f>
        <v>Cropping, Monoculture, Subsistence-oriented</v>
      </c>
      <c r="F3364" s="156" t="str">
        <f>'Reported burning'!F3364</f>
        <v>Shrubland (Mixed forest &amp; grassland)</v>
      </c>
      <c r="G3364" s="156" t="str">
        <f>'Reported burning'!G3364</f>
        <v>Shrubland (Mixed forest &amp; grassland)</v>
      </c>
      <c r="H3364" s="156" t="str">
        <f>'Reported burning'!H3364</f>
        <v>Presence</v>
      </c>
      <c r="I3364" s="5"/>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04"/>
      <c r="AB3364" s="204"/>
    </row>
    <row r="3365" spans="1:28" ht="32.5" customHeight="1">
      <c r="A3365" s="156" t="str">
        <f>'Reported burning'!A3365</f>
        <v>373a</v>
      </c>
      <c r="B3365" s="156" t="str">
        <f>'Reported burning'!B3365</f>
        <v>373a.9</v>
      </c>
      <c r="C3365" s="156" t="str">
        <f>'Reported burning'!C3365</f>
        <v>Human, escaped</v>
      </c>
      <c r="D3365" s="156" t="str">
        <f>'Reported burning'!D3365</f>
        <v>Land clearance</v>
      </c>
      <c r="E3365" s="156" t="str">
        <f>'Reported burning'!E3365</f>
        <v>Cattle, Extensive</v>
      </c>
      <c r="F3365" s="156" t="str">
        <f>'Reported burning'!F3365</f>
        <v>Shrubland (Mixed forest &amp; grassland)</v>
      </c>
      <c r="G3365" s="156" t="str">
        <f>'Reported burning'!G3366</f>
        <v>Shrubland (Mixed forest &amp; grassland)</v>
      </c>
      <c r="H3365" s="156" t="str">
        <f>'Reported burning'!H3365</f>
        <v>Presence</v>
      </c>
      <c r="I3365" s="5"/>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04"/>
      <c r="AB3365" s="204"/>
    </row>
    <row r="3366" spans="1:28" ht="32.5" customHeight="1">
      <c r="A3366" s="156" t="str">
        <f>'Reported burning'!A3366</f>
        <v>373a</v>
      </c>
      <c r="B3366" s="156" t="str">
        <f>'Reported burning'!B3366</f>
        <v>373a.10</v>
      </c>
      <c r="C3366" s="156" t="str">
        <f>'Reported burning'!C3366</f>
        <v>Human, deliberate</v>
      </c>
      <c r="D3366" s="156" t="str">
        <f>'Reported burning'!D3366</f>
        <v>Land clearance</v>
      </c>
      <c r="E3366" s="156" t="str">
        <f>'Reported burning'!E3366</f>
        <v>Cattle, Extensive</v>
      </c>
      <c r="F3366" s="156" t="str">
        <f>'Reported burning'!F3366</f>
        <v>Shrubland (Mixed forest &amp; grassland)</v>
      </c>
      <c r="G3366" s="156" t="str">
        <f>'Reported burning'!G3365</f>
        <v>ND</v>
      </c>
      <c r="H3366" s="156" t="str">
        <f>'Reported burning'!H3366</f>
        <v>Presence</v>
      </c>
      <c r="I3366" s="5"/>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04"/>
      <c r="AB3366" s="204"/>
    </row>
    <row r="3367" spans="1:28" ht="34.5" customHeight="1">
      <c r="A3367" s="156" t="str">
        <f>'Reported burning'!A3367</f>
        <v>373b</v>
      </c>
      <c r="B3367" s="156" t="str">
        <f>'Reported burning'!B3367</f>
        <v>373b.1</v>
      </c>
      <c r="C3367" s="156" t="str">
        <f>'Reported burning'!C3367</f>
        <v>Human, escaped</v>
      </c>
      <c r="D3367" s="156" t="str">
        <f>'Reported burning'!D3367</f>
        <v>ND</v>
      </c>
      <c r="E3367" s="156" t="str">
        <f>'Reported burning'!E3367</f>
        <v>ND</v>
      </c>
      <c r="F3367" s="156" t="str">
        <f>'Reported burning'!F3367</f>
        <v>ND</v>
      </c>
      <c r="G3367" s="156" t="str">
        <f>'Reported burning'!G3367</f>
        <v>Cropland</v>
      </c>
      <c r="H3367" s="156" t="str">
        <f>'Reported burning'!H3367</f>
        <v>Presence</v>
      </c>
      <c r="I3367" s="5"/>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04"/>
      <c r="AB3367" s="204"/>
    </row>
    <row r="3368" spans="1:28" ht="44" customHeight="1">
      <c r="A3368" s="156" t="str">
        <f>'Reported burning'!A3368</f>
        <v>373b</v>
      </c>
      <c r="B3368" s="156" t="str">
        <f>'Reported burning'!B3368</f>
        <v>373b.2</v>
      </c>
      <c r="C3368" s="156" t="str">
        <f>'Reported burning'!C3368</f>
        <v>Lightning</v>
      </c>
      <c r="D3368" s="156" t="str">
        <f>'Reported burning'!D3368</f>
        <v>ND</v>
      </c>
      <c r="E3368" s="156" t="str">
        <f>'Reported burning'!E3368</f>
        <v>ND</v>
      </c>
      <c r="F3368" s="156" t="str">
        <f>'Reported burning'!F3368</f>
        <v>ND</v>
      </c>
      <c r="G3368" s="156" t="str">
        <f>'Reported burning'!G3368</f>
        <v>Cropland</v>
      </c>
      <c r="H3368" s="156" t="str">
        <f>'Reported burning'!H3368</f>
        <v>Presence</v>
      </c>
      <c r="I3368" s="5"/>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04"/>
      <c r="AB3368" s="204"/>
    </row>
    <row r="3369" spans="1:28" ht="44" customHeight="1">
      <c r="A3369" s="156" t="str">
        <f>'Reported burning'!A3369</f>
        <v>374a</v>
      </c>
      <c r="B3369" s="156" t="str">
        <f>'Reported burning'!B3369</f>
        <v>374a.1</v>
      </c>
      <c r="C3369" s="156" t="str">
        <f>'Reported burning'!C3369</f>
        <v>Human, deliberate</v>
      </c>
      <c r="D3369" s="156" t="str">
        <f>'Reported burning'!D3369</f>
        <v>Forest clearance</v>
      </c>
      <c r="E3369" s="156" t="str">
        <f>'Reported burning'!E3369</f>
        <v>Cropping, Monoculture, Subsistence-oriented</v>
      </c>
      <c r="F3369" s="156" t="str">
        <f>'Reported burning'!F3369</f>
        <v>Forest</v>
      </c>
      <c r="G3369" s="156" t="str">
        <f>'Reported burning'!G3369</f>
        <v>Forest</v>
      </c>
      <c r="H3369" s="156" t="str">
        <f>'Reported burning'!H3369</f>
        <v>Presence</v>
      </c>
      <c r="I3369" s="5"/>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04"/>
      <c r="AB3369" s="204"/>
    </row>
    <row r="3370" spans="1:28" ht="44" customHeight="1">
      <c r="A3370" s="156" t="str">
        <f>'Reported burning'!A3370</f>
        <v>374a</v>
      </c>
      <c r="B3370" s="156" t="str">
        <f>'Reported burning'!B3370</f>
        <v>374a.2</v>
      </c>
      <c r="C3370" s="156" t="str">
        <f>'Reported burning'!C3370</f>
        <v>Human, deliberate</v>
      </c>
      <c r="D3370" s="156" t="str">
        <f>'Reported burning'!D3370</f>
        <v>Forest clearance</v>
      </c>
      <c r="E3370" s="156" t="str">
        <f>'Reported burning'!E3370</f>
        <v>Cattle, Extensive</v>
      </c>
      <c r="F3370" s="156" t="str">
        <f>'Reported burning'!F3370</f>
        <v>Forest</v>
      </c>
      <c r="G3370" s="156" t="str">
        <f>'Reported burning'!G3370</f>
        <v>Forest</v>
      </c>
      <c r="H3370" s="156" t="str">
        <f>'Reported burning'!H3370</f>
        <v>Presence</v>
      </c>
      <c r="I3370" s="5"/>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04"/>
      <c r="AB3370" s="204"/>
    </row>
    <row r="3371" spans="1:28" ht="41" customHeight="1">
      <c r="A3371" s="156" t="str">
        <f>'Reported burning'!A3371</f>
        <v>375a</v>
      </c>
      <c r="B3371" s="156" t="str">
        <f>'Reported burning'!B3371</f>
        <v>375a.1</v>
      </c>
      <c r="C3371" s="156" t="str">
        <f>'Reported burning'!C3371</f>
        <v>Human, deliberate</v>
      </c>
      <c r="D3371" s="156" t="str">
        <f>'Reported burning'!D3371</f>
        <v>Crop field preparation</v>
      </c>
      <c r="E3371" s="156" t="str">
        <f>'Reported burning'!E3371</f>
        <v>Cropping, Monoculture, Subsistence-oriented</v>
      </c>
      <c r="F3371" s="156" t="str">
        <f>'Reported burning'!F3371</f>
        <v>Cropland</v>
      </c>
      <c r="G3371" s="156" t="str">
        <f>'Reported burning'!G3371</f>
        <v>ND</v>
      </c>
      <c r="H3371" s="156" t="str">
        <f>'Reported burning'!H3371</f>
        <v>Presence</v>
      </c>
      <c r="I3371" s="5"/>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04"/>
      <c r="AB3371" s="204"/>
    </row>
    <row r="3372" spans="1:28" ht="41" customHeight="1">
      <c r="A3372" s="156" t="str">
        <f>'Reported burning'!A3372</f>
        <v>375a</v>
      </c>
      <c r="B3372" s="156" t="str">
        <f>'Reported burning'!B3372</f>
        <v>375a.2</v>
      </c>
      <c r="C3372" s="156" t="str">
        <f>'Reported burning'!C3372</f>
        <v>Human, deliberate</v>
      </c>
      <c r="D3372" s="156" t="str">
        <f>'Reported burning'!D3372</f>
        <v>Crop field preparation</v>
      </c>
      <c r="E3372" s="156" t="str">
        <f>'Reported burning'!E3372</f>
        <v>Cropping, Monoculture, Market-oriented</v>
      </c>
      <c r="F3372" s="156" t="str">
        <f>'Reported burning'!F3372</f>
        <v>Cropland</v>
      </c>
      <c r="G3372" s="156" t="str">
        <f>'Reported burning'!G3372</f>
        <v>ND</v>
      </c>
      <c r="H3372" s="156" t="str">
        <f>'Reported burning'!H3372</f>
        <v>Presence</v>
      </c>
      <c r="I3372" s="5"/>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04"/>
      <c r="AB3372" s="204"/>
    </row>
    <row r="3373" spans="1:28" ht="41" customHeight="1">
      <c r="A3373" s="156" t="str">
        <f>'Reported burning'!A3373</f>
        <v>375a</v>
      </c>
      <c r="B3373" s="156" t="str">
        <f>'Reported burning'!B3373</f>
        <v>375a.3</v>
      </c>
      <c r="C3373" s="156" t="str">
        <f>'Reported burning'!C3373</f>
        <v>Human, deliberate</v>
      </c>
      <c r="D3373" s="156" t="str">
        <f>'Reported burning'!D3373</f>
        <v>Crop field preparation</v>
      </c>
      <c r="E3373" s="156" t="str">
        <f>'Reported burning'!E3373</f>
        <v>Cropping, Swidden</v>
      </c>
      <c r="F3373" s="156" t="str">
        <f>'Reported burning'!F3373</f>
        <v>Secondary vegetation</v>
      </c>
      <c r="G3373" s="156" t="str">
        <f>'Reported burning'!G3373</f>
        <v>ND</v>
      </c>
      <c r="H3373" s="156" t="str">
        <f>'Reported burning'!H3373</f>
        <v>Presence</v>
      </c>
      <c r="I3373" s="5"/>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04"/>
      <c r="AB3373" s="204"/>
    </row>
    <row r="3374" spans="1:28" ht="41" customHeight="1">
      <c r="A3374" s="156" t="str">
        <f>'Reported burning'!A3374</f>
        <v>375a</v>
      </c>
      <c r="B3374" s="156" t="str">
        <f>'Reported burning'!B3374</f>
        <v>375a.4</v>
      </c>
      <c r="C3374" s="156" t="str">
        <f>'Reported burning'!C3374</f>
        <v>Human, deliberate</v>
      </c>
      <c r="D3374" s="156" t="str">
        <f>'Reported burning'!D3374</f>
        <v>Pasture renewal</v>
      </c>
      <c r="E3374" s="156" t="str">
        <f>'Reported burning'!E3374</f>
        <v>Cattle, Extensive</v>
      </c>
      <c r="F3374" s="156" t="str">
        <f>'Reported burning'!F3374</f>
        <v>Pasture</v>
      </c>
      <c r="G3374" s="156" t="str">
        <f>'Reported burning'!G3374</f>
        <v>ND</v>
      </c>
      <c r="H3374" s="156" t="str">
        <f>'Reported burning'!H3374</f>
        <v>Presence</v>
      </c>
      <c r="I3374" s="5"/>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04"/>
      <c r="AB3374" s="204"/>
    </row>
    <row r="3375" spans="1:28" ht="41" customHeight="1">
      <c r="A3375" s="156" t="str">
        <f>'Reported burning'!A3375</f>
        <v>376a</v>
      </c>
      <c r="B3375" s="156" t="str">
        <f>'Reported burning'!B3375</f>
        <v>376a.1</v>
      </c>
      <c r="C3375" s="156" t="str">
        <f>'Reported burning'!C3375</f>
        <v>Human, deliberate</v>
      </c>
      <c r="D3375" s="156" t="str">
        <f>'Reported burning'!D3375</f>
        <v>ND</v>
      </c>
      <c r="E3375" s="156" t="str">
        <f>'Reported burning'!E3375</f>
        <v>Cattle, Extensive</v>
      </c>
      <c r="F3375" s="156" t="str">
        <f>'Reported burning'!F3375</f>
        <v>Grassland</v>
      </c>
      <c r="G3375" s="156" t="str">
        <f>'Reported burning'!G3375</f>
        <v>ND</v>
      </c>
      <c r="H3375" s="156" t="str">
        <f>'Reported burning'!H3375</f>
        <v>Presence</v>
      </c>
      <c r="I3375" s="5"/>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04"/>
      <c r="AB3375" s="204"/>
    </row>
    <row r="3376" spans="1:28" ht="41" customHeight="1">
      <c r="A3376" s="156" t="str">
        <f>'Reported burning'!A3376</f>
        <v>376a</v>
      </c>
      <c r="B3376" s="156" t="str">
        <f>'Reported burning'!B3376</f>
        <v>376a.2</v>
      </c>
      <c r="C3376" s="156" t="str">
        <f>'Reported burning'!C3376</f>
        <v>Human, escaped</v>
      </c>
      <c r="D3376" s="156" t="str">
        <f>'Reported burning'!D3376</f>
        <v>ND</v>
      </c>
      <c r="E3376" s="156" t="str">
        <f>'Reported burning'!E3376</f>
        <v>Cattle, Extensive</v>
      </c>
      <c r="F3376" s="156" t="str">
        <f>'Reported burning'!F3376</f>
        <v>Grassland</v>
      </c>
      <c r="G3376" s="156" t="str">
        <f>'Reported burning'!G3376</f>
        <v>Secondary vegetation</v>
      </c>
      <c r="H3376" s="156" t="str">
        <f>'Reported burning'!H3376</f>
        <v>Presence</v>
      </c>
      <c r="I3376" s="5"/>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04"/>
      <c r="AB3376" s="204"/>
    </row>
    <row r="3377" spans="1:28" ht="42" customHeight="1">
      <c r="A3377" s="156" t="str">
        <f>'Reported burning'!A3377</f>
        <v>377a</v>
      </c>
      <c r="B3377" s="156" t="str">
        <f>'Reported burning'!B3377</f>
        <v>377a.1</v>
      </c>
      <c r="C3377" s="156" t="str">
        <f>'Reported burning'!C3377</f>
        <v>Human, deliberate</v>
      </c>
      <c r="D3377" s="156" t="str">
        <f>'Reported burning'!D3377</f>
        <v>Hunting</v>
      </c>
      <c r="E3377" s="156" t="str">
        <f>'Reported burning'!E3377</f>
        <v>Forestry, Traditional</v>
      </c>
      <c r="F3377" s="156" t="str">
        <f>'Reported burning'!F3377</f>
        <v>Shrubland (Mixed forest &amp; grassland)</v>
      </c>
      <c r="G3377" s="156" t="str">
        <f>'Reported burning'!G3377</f>
        <v>Shrubland (Mixed forest &amp; grassland)</v>
      </c>
      <c r="H3377" s="156" t="str">
        <f>'Reported burning'!H3377</f>
        <v>Presence</v>
      </c>
      <c r="I3377" s="5"/>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04"/>
      <c r="AB3377" s="204"/>
    </row>
    <row r="3378" spans="1:28" ht="43.5" customHeight="1">
      <c r="A3378" s="156" t="str">
        <f>'Reported burning'!A3378</f>
        <v>378a</v>
      </c>
      <c r="B3378" s="156" t="str">
        <f>'Reported burning'!B3378</f>
        <v>378a.1</v>
      </c>
      <c r="C3378" s="156" t="str">
        <f>'Reported burning'!C3378</f>
        <v>Human, deliberate</v>
      </c>
      <c r="D3378" s="156" t="str">
        <f>'Reported burning'!D3378</f>
        <v>Crop residue burning</v>
      </c>
      <c r="E3378" s="156" t="str">
        <f>'Reported burning'!E3378</f>
        <v>All</v>
      </c>
      <c r="F3378" s="156" t="str">
        <f>'Reported burning'!F3378</f>
        <v>Cropland</v>
      </c>
      <c r="G3378" s="156" t="str">
        <f>'Reported burning'!G3378</f>
        <v>Cropland</v>
      </c>
      <c r="H3378" s="156" t="str">
        <f>'Reported burning'!H3378</f>
        <v>Presence</v>
      </c>
      <c r="I3378" s="5"/>
      <c r="J3378" s="21" t="s">
        <v>2276</v>
      </c>
      <c r="K3378" s="21" t="s">
        <v>2276</v>
      </c>
      <c r="L3378" s="21" t="s">
        <v>2276</v>
      </c>
      <c r="M3378" s="21" t="s">
        <v>2276</v>
      </c>
      <c r="N3378" s="21" t="s">
        <v>2276</v>
      </c>
      <c r="O3378" s="21" t="s">
        <v>2276</v>
      </c>
      <c r="P3378" s="21" t="s">
        <v>2276</v>
      </c>
      <c r="Q3378" s="21" t="s">
        <v>2276</v>
      </c>
      <c r="R3378" s="21" t="s">
        <v>2276</v>
      </c>
      <c r="S3378" s="21" t="s">
        <v>2276</v>
      </c>
      <c r="T3378" s="21" t="s">
        <v>2276</v>
      </c>
      <c r="U3378" s="21" t="s">
        <v>2276</v>
      </c>
      <c r="V3378" s="21" t="s">
        <v>2276</v>
      </c>
      <c r="W3378" s="21" t="s">
        <v>2276</v>
      </c>
      <c r="X3378" s="204" t="s">
        <v>86</v>
      </c>
      <c r="Y3378" s="204" t="s">
        <v>86</v>
      </c>
      <c r="Z3378" s="21" t="s">
        <v>2276</v>
      </c>
      <c r="AA3378" s="21"/>
      <c r="AB3378" s="204"/>
    </row>
    <row r="3379" spans="1:28" ht="43.5" customHeight="1">
      <c r="A3379" s="156" t="str">
        <f>'Reported burning'!A3379</f>
        <v>378a</v>
      </c>
      <c r="B3379" s="156" t="str">
        <f>'Reported burning'!B3379</f>
        <v>378a.2</v>
      </c>
      <c r="C3379" s="156" t="str">
        <f>'Reported burning'!C3379</f>
        <v>Human, deliberate</v>
      </c>
      <c r="D3379" s="156" t="str">
        <f>'Reported burning'!D3379</f>
        <v>Crop residue burning</v>
      </c>
      <c r="E3379" s="156" t="str">
        <f>'Reported burning'!E3379</f>
        <v>All</v>
      </c>
      <c r="F3379" s="156" t="str">
        <f>'Reported burning'!F3379</f>
        <v>Cropland</v>
      </c>
      <c r="G3379" s="156" t="str">
        <f>'Reported burning'!G3379</f>
        <v>Cropland</v>
      </c>
      <c r="H3379" s="156" t="str">
        <f>'Reported burning'!H3379</f>
        <v>Presence</v>
      </c>
      <c r="I3379" s="5"/>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04" t="s">
        <v>34</v>
      </c>
      <c r="Y3379" s="204" t="s">
        <v>34</v>
      </c>
      <c r="Z3379" s="21" t="s">
        <v>2276</v>
      </c>
      <c r="AA3379" s="21"/>
      <c r="AB3379" s="204"/>
    </row>
    <row r="3380" spans="1:28" ht="43.5" customHeight="1">
      <c r="A3380" s="156" t="str">
        <f>'Reported burning'!A3380</f>
        <v>378a</v>
      </c>
      <c r="B3380" s="156" t="str">
        <f>'Reported burning'!B3380</f>
        <v>378a.3</v>
      </c>
      <c r="C3380" s="156" t="str">
        <f>'Reported burning'!C3380</f>
        <v>Human, deliberate</v>
      </c>
      <c r="D3380" s="156" t="str">
        <f>'Reported burning'!D3380</f>
        <v>Crop residue burning</v>
      </c>
      <c r="E3380" s="156" t="str">
        <f>'Reported burning'!E3380</f>
        <v>All</v>
      </c>
      <c r="F3380" s="156" t="str">
        <f>'Reported burning'!F3380</f>
        <v>Cropland</v>
      </c>
      <c r="G3380" s="156" t="str">
        <f>'Reported burning'!G3380</f>
        <v>Cropland</v>
      </c>
      <c r="H3380" s="156" t="str">
        <f>'Reported burning'!H3380</f>
        <v>Presence</v>
      </c>
      <c r="I3380" s="5"/>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04" t="s">
        <v>404</v>
      </c>
      <c r="Y3380" s="204" t="s">
        <v>404</v>
      </c>
      <c r="Z3380" s="21" t="s">
        <v>2276</v>
      </c>
      <c r="AA3380" s="21"/>
      <c r="AB3380" s="204"/>
    </row>
    <row r="3381" spans="1:28" ht="43.5" customHeight="1">
      <c r="A3381" s="156" t="str">
        <f>'Reported burning'!A3381</f>
        <v>378a</v>
      </c>
      <c r="B3381" s="156" t="str">
        <f>'Reported burning'!B3381</f>
        <v>378a.4</v>
      </c>
      <c r="C3381" s="156" t="str">
        <f>'Reported burning'!C3381</f>
        <v>Human, deliberate</v>
      </c>
      <c r="D3381" s="156" t="str">
        <f>'Reported burning'!D3381</f>
        <v>Crop residue burning</v>
      </c>
      <c r="E3381" s="156" t="str">
        <f>'Reported burning'!E3381</f>
        <v>All</v>
      </c>
      <c r="F3381" s="156" t="str">
        <f>'Reported burning'!F3381</f>
        <v>Cropland</v>
      </c>
      <c r="G3381" s="156" t="str">
        <f>'Reported burning'!G3381</f>
        <v>Cropland</v>
      </c>
      <c r="H3381" s="156" t="str">
        <f>'Reported burning'!H3381</f>
        <v>Presence</v>
      </c>
      <c r="I3381" s="5"/>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04" t="s">
        <v>405</v>
      </c>
      <c r="Y3381" s="204" t="s">
        <v>405</v>
      </c>
      <c r="Z3381" s="21" t="s">
        <v>2276</v>
      </c>
      <c r="AA3381" s="21"/>
      <c r="AB3381" s="204"/>
    </row>
    <row r="3382" spans="1:28" ht="43.5" customHeight="1">
      <c r="A3382" s="156" t="str">
        <f>'Reported burning'!A3382</f>
        <v>378a</v>
      </c>
      <c r="B3382" s="156" t="str">
        <f>'Reported burning'!B3382</f>
        <v>378a.5</v>
      </c>
      <c r="C3382" s="156" t="str">
        <f>'Reported burning'!C3382</f>
        <v>Human, deliberate</v>
      </c>
      <c r="D3382" s="156" t="str">
        <f>'Reported burning'!D3382</f>
        <v>Crop residue burning</v>
      </c>
      <c r="E3382" s="156" t="str">
        <f>'Reported burning'!E3382</f>
        <v>All</v>
      </c>
      <c r="F3382" s="156" t="str">
        <f>'Reported burning'!F3382</f>
        <v>Cropland</v>
      </c>
      <c r="G3382" s="156" t="str">
        <f>'Reported burning'!G3382</f>
        <v>Cropland</v>
      </c>
      <c r="H3382" s="156" t="str">
        <f>'Reported burning'!H3382</f>
        <v>Presence</v>
      </c>
      <c r="I3382" s="5"/>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04" t="s">
        <v>425</v>
      </c>
      <c r="Y3382" s="204" t="s">
        <v>425</v>
      </c>
      <c r="Z3382" s="21" t="s">
        <v>2276</v>
      </c>
      <c r="AA3382" s="21"/>
      <c r="AB3382" s="204"/>
    </row>
    <row r="3383" spans="1:28" ht="43.5" customHeight="1">
      <c r="A3383" s="156" t="str">
        <f>'Reported burning'!A3383</f>
        <v>378a</v>
      </c>
      <c r="B3383" s="156" t="str">
        <f>'Reported burning'!B3383</f>
        <v>378a.6</v>
      </c>
      <c r="C3383" s="156" t="str">
        <f>'Reported burning'!C3383</f>
        <v>Human, deliberate</v>
      </c>
      <c r="D3383" s="156" t="str">
        <f>'Reported burning'!D3383</f>
        <v>Crop residue burning</v>
      </c>
      <c r="E3383" s="156" t="str">
        <f>'Reported burning'!E3383</f>
        <v>All</v>
      </c>
      <c r="F3383" s="156" t="str">
        <f>'Reported burning'!F3383</f>
        <v>Cropland</v>
      </c>
      <c r="G3383" s="156" t="str">
        <f>'Reported burning'!G3383</f>
        <v>Cropland</v>
      </c>
      <c r="H3383" s="156" t="str">
        <f>'Reported burning'!H3383</f>
        <v>Presence</v>
      </c>
      <c r="I3383" s="5"/>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04" t="s">
        <v>68</v>
      </c>
      <c r="Y3383" s="204" t="s">
        <v>68</v>
      </c>
      <c r="Z3383" s="21" t="s">
        <v>2276</v>
      </c>
      <c r="AA3383" s="21"/>
      <c r="AB3383" s="204"/>
    </row>
    <row r="3384" spans="1:28" ht="43.5" customHeight="1">
      <c r="A3384" s="156" t="str">
        <f>'Reported burning'!A3384</f>
        <v>378a</v>
      </c>
      <c r="B3384" s="156" t="str">
        <f>'Reported burning'!B3384</f>
        <v>378a.7</v>
      </c>
      <c r="C3384" s="156" t="str">
        <f>'Reported burning'!C3384</f>
        <v>Human, deliberate</v>
      </c>
      <c r="D3384" s="156" t="str">
        <f>'Reported burning'!D3384</f>
        <v>Crop residue burning</v>
      </c>
      <c r="E3384" s="156" t="str">
        <f>'Reported burning'!E3384</f>
        <v>All</v>
      </c>
      <c r="F3384" s="156" t="str">
        <f>'Reported burning'!F3384</f>
        <v>Cropland</v>
      </c>
      <c r="G3384" s="156" t="str">
        <f>'Reported burning'!G3384</f>
        <v>Cropland</v>
      </c>
      <c r="H3384" s="156" t="str">
        <f>'Reported burning'!H3384</f>
        <v>Presence</v>
      </c>
      <c r="I3384" s="5"/>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04" t="s">
        <v>35</v>
      </c>
      <c r="Y3384" s="204" t="s">
        <v>35</v>
      </c>
      <c r="Z3384" s="21" t="s">
        <v>2276</v>
      </c>
      <c r="AA3384" s="21"/>
      <c r="AB3384" s="204"/>
    </row>
    <row r="3385" spans="1:28" ht="43.5" customHeight="1">
      <c r="A3385" s="156" t="str">
        <f>'Reported burning'!A3385</f>
        <v>378a</v>
      </c>
      <c r="B3385" s="156" t="str">
        <f>'Reported burning'!B3385</f>
        <v>378a.8</v>
      </c>
      <c r="C3385" s="156" t="str">
        <f>'Reported burning'!C3385</f>
        <v>Human, deliberate</v>
      </c>
      <c r="D3385" s="156" t="str">
        <f>'Reported burning'!D3385</f>
        <v>Crop residue burning</v>
      </c>
      <c r="E3385" s="156" t="str">
        <f>'Reported burning'!E3385</f>
        <v>All</v>
      </c>
      <c r="F3385" s="156" t="str">
        <f>'Reported burning'!F3385</f>
        <v>Cropland</v>
      </c>
      <c r="G3385" s="156" t="str">
        <f>'Reported burning'!G3385</f>
        <v>Cropland</v>
      </c>
      <c r="H3385" s="156" t="str">
        <f>'Reported burning'!H3385</f>
        <v>Presence</v>
      </c>
      <c r="I3385" s="5"/>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04" t="s">
        <v>127</v>
      </c>
      <c r="Y3385" s="204" t="s">
        <v>127</v>
      </c>
      <c r="Z3385" s="21" t="s">
        <v>2276</v>
      </c>
      <c r="AA3385" s="21"/>
      <c r="AB3385" s="204"/>
    </row>
    <row r="3386" spans="1:28" ht="43.5" customHeight="1">
      <c r="A3386" s="156" t="str">
        <f>'Reported burning'!A3386</f>
        <v>378a</v>
      </c>
      <c r="B3386" s="156" t="str">
        <f>'Reported burning'!B3386</f>
        <v>378a.9</v>
      </c>
      <c r="C3386" s="156" t="str">
        <f>'Reported burning'!C3386</f>
        <v>Human, deliberate</v>
      </c>
      <c r="D3386" s="156" t="str">
        <f>'Reported burning'!D3386</f>
        <v>Crop residue burning</v>
      </c>
      <c r="E3386" s="156" t="str">
        <f>'Reported burning'!E3386</f>
        <v>All</v>
      </c>
      <c r="F3386" s="156" t="str">
        <f>'Reported burning'!F3386</f>
        <v>Cropland</v>
      </c>
      <c r="G3386" s="156" t="str">
        <f>'Reported burning'!G3386</f>
        <v>Cropland</v>
      </c>
      <c r="H3386" s="156" t="str">
        <f>'Reported burning'!H3386</f>
        <v>Presence</v>
      </c>
      <c r="I3386" s="5"/>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04" t="s">
        <v>399</v>
      </c>
      <c r="Y3386" s="204" t="s">
        <v>399</v>
      </c>
      <c r="Z3386" s="21" t="s">
        <v>2276</v>
      </c>
      <c r="AA3386" s="21"/>
      <c r="AB3386" s="204"/>
    </row>
    <row r="3387" spans="1:28" ht="43.5" customHeight="1">
      <c r="A3387" s="156" t="str">
        <f>'Reported burning'!A3387</f>
        <v>378a</v>
      </c>
      <c r="B3387" s="156" t="str">
        <f>'Reported burning'!B3387</f>
        <v>378a.10</v>
      </c>
      <c r="C3387" s="156" t="str">
        <f>'Reported burning'!C3387</f>
        <v>Human, deliberate</v>
      </c>
      <c r="D3387" s="156" t="str">
        <f>'Reported burning'!D3387</f>
        <v>Crop residue burning</v>
      </c>
      <c r="E3387" s="156" t="str">
        <f>'Reported burning'!E3387</f>
        <v>All</v>
      </c>
      <c r="F3387" s="156" t="str">
        <f>'Reported burning'!F3387</f>
        <v>Cropland</v>
      </c>
      <c r="G3387" s="156" t="str">
        <f>'Reported burning'!G3387</f>
        <v>Cropland</v>
      </c>
      <c r="H3387" s="156" t="str">
        <f>'Reported burning'!H3387</f>
        <v>Presence</v>
      </c>
      <c r="I3387" s="5"/>
      <c r="J3387" s="21" t="s">
        <v>2276</v>
      </c>
      <c r="K3387" s="21" t="s">
        <v>2276</v>
      </c>
      <c r="L3387" s="21" t="s">
        <v>2276</v>
      </c>
      <c r="M3387" s="21" t="s">
        <v>2276</v>
      </c>
      <c r="N3387" s="21" t="s">
        <v>2276</v>
      </c>
      <c r="O3387" s="21" t="s">
        <v>2276</v>
      </c>
      <c r="P3387" s="21" t="s">
        <v>2276</v>
      </c>
      <c r="Q3387" s="21" t="s">
        <v>2276</v>
      </c>
      <c r="R3387" s="21" t="s">
        <v>2276</v>
      </c>
      <c r="S3387" s="21" t="s">
        <v>2276</v>
      </c>
      <c r="T3387" s="21" t="s">
        <v>2276</v>
      </c>
      <c r="U3387" s="21" t="s">
        <v>2276</v>
      </c>
      <c r="V3387" s="21" t="s">
        <v>2276</v>
      </c>
      <c r="W3387" s="21" t="s">
        <v>2276</v>
      </c>
      <c r="X3387" s="204" t="s">
        <v>188</v>
      </c>
      <c r="Y3387" s="204" t="s">
        <v>188</v>
      </c>
      <c r="Z3387" s="21" t="s">
        <v>2276</v>
      </c>
      <c r="AA3387" s="204"/>
      <c r="AB3387" s="204"/>
    </row>
    <row r="3388" spans="1:28" ht="43.5" customHeight="1">
      <c r="A3388" s="156" t="str">
        <f>'Reported burning'!A3388</f>
        <v>378a</v>
      </c>
      <c r="B3388" s="156" t="str">
        <f>'Reported burning'!B3388</f>
        <v>378a.11</v>
      </c>
      <c r="C3388" s="156" t="str">
        <f>'Reported burning'!C3388</f>
        <v>Human, deliberate</v>
      </c>
      <c r="D3388" s="156" t="str">
        <f>'Reported burning'!D3388</f>
        <v>Crop residue burning</v>
      </c>
      <c r="E3388" s="156" t="str">
        <f>'Reported burning'!E3388</f>
        <v>All</v>
      </c>
      <c r="F3388" s="156" t="str">
        <f>'Reported burning'!F3388</f>
        <v>Cropland</v>
      </c>
      <c r="G3388" s="156" t="str">
        <f>'Reported burning'!G3388</f>
        <v>Cropland</v>
      </c>
      <c r="H3388" s="156" t="str">
        <f>'Reported burning'!H3388</f>
        <v>Presence</v>
      </c>
      <c r="I3388" s="5"/>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04" t="s">
        <v>189</v>
      </c>
      <c r="Y3388" s="204" t="s">
        <v>189</v>
      </c>
      <c r="Z3388" s="21" t="s">
        <v>2276</v>
      </c>
      <c r="AA3388" s="204"/>
      <c r="AB3388" s="204"/>
    </row>
    <row r="3389" spans="1:28" ht="43.5" customHeight="1">
      <c r="A3389" s="156" t="str">
        <f>'Reported burning'!A3389</f>
        <v>378a</v>
      </c>
      <c r="B3389" s="156" t="str">
        <f>'Reported burning'!B3389</f>
        <v>378a.12</v>
      </c>
      <c r="C3389" s="156" t="str">
        <f>'Reported burning'!C3389</f>
        <v>Human, deliberate</v>
      </c>
      <c r="D3389" s="156" t="str">
        <f>'Reported burning'!D3389</f>
        <v>Crop residue burning</v>
      </c>
      <c r="E3389" s="156" t="str">
        <f>'Reported burning'!E3389</f>
        <v>All</v>
      </c>
      <c r="F3389" s="156" t="str">
        <f>'Reported burning'!F3389</f>
        <v>Cropland</v>
      </c>
      <c r="G3389" s="156" t="str">
        <f>'Reported burning'!G3389</f>
        <v>Cropland</v>
      </c>
      <c r="H3389" s="156" t="str">
        <f>'Reported burning'!H3389</f>
        <v>Presence</v>
      </c>
      <c r="I3389" s="5"/>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04" t="s">
        <v>38</v>
      </c>
      <c r="Y3389" s="204" t="s">
        <v>38</v>
      </c>
      <c r="Z3389" s="21" t="s">
        <v>2276</v>
      </c>
      <c r="AA3389" s="204"/>
      <c r="AB3389" s="204"/>
    </row>
    <row r="3390" spans="1:28" ht="43.5" customHeight="1">
      <c r="A3390" s="156" t="str">
        <f>'Reported burning'!A3390</f>
        <v>378b</v>
      </c>
      <c r="B3390" s="156" t="str">
        <f>'Reported burning'!B3390</f>
        <v>378b.1</v>
      </c>
      <c r="C3390" s="156" t="str">
        <f>'Reported burning'!C3390</f>
        <v>Human, deliberate</v>
      </c>
      <c r="D3390" s="156" t="str">
        <f>'Reported burning'!D3390</f>
        <v>Crop residue burning</v>
      </c>
      <c r="E3390" s="156" t="str">
        <f>'Reported burning'!E3390</f>
        <v>All</v>
      </c>
      <c r="F3390" s="156" t="str">
        <f>'Reported burning'!F3390</f>
        <v>Cropland</v>
      </c>
      <c r="G3390" s="156" t="str">
        <f>'Reported burning'!G3390</f>
        <v>Cropland</v>
      </c>
      <c r="H3390" s="156" t="str">
        <f>'Reported burning'!H3390</f>
        <v>Presence</v>
      </c>
      <c r="I3390" s="5"/>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04" t="s">
        <v>86</v>
      </c>
      <c r="Y3390" s="204" t="s">
        <v>86</v>
      </c>
      <c r="Z3390" s="21" t="s">
        <v>2276</v>
      </c>
      <c r="AA3390" s="21"/>
      <c r="AB3390" s="204"/>
    </row>
    <row r="3391" spans="1:28" ht="43.5" customHeight="1">
      <c r="A3391" s="156" t="str">
        <f>'Reported burning'!A3391</f>
        <v>378b</v>
      </c>
      <c r="B3391" s="156" t="str">
        <f>'Reported burning'!B3391</f>
        <v>378b.2</v>
      </c>
      <c r="C3391" s="156" t="str">
        <f>'Reported burning'!C3391</f>
        <v>Human, deliberate</v>
      </c>
      <c r="D3391" s="156" t="str">
        <f>'Reported burning'!D3391</f>
        <v>Crop residue burning</v>
      </c>
      <c r="E3391" s="156" t="str">
        <f>'Reported burning'!E3391</f>
        <v>All</v>
      </c>
      <c r="F3391" s="156" t="str">
        <f>'Reported burning'!F3391</f>
        <v>Cropland</v>
      </c>
      <c r="G3391" s="156" t="str">
        <f>'Reported burning'!G3391</f>
        <v>Cropland</v>
      </c>
      <c r="H3391" s="156" t="str">
        <f>'Reported burning'!H3391</f>
        <v>Presence</v>
      </c>
      <c r="I3391" s="5"/>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04" t="s">
        <v>34</v>
      </c>
      <c r="Y3391" s="204" t="s">
        <v>34</v>
      </c>
      <c r="Z3391" s="21" t="s">
        <v>2276</v>
      </c>
      <c r="AA3391" s="21"/>
      <c r="AB3391" s="204"/>
    </row>
    <row r="3392" spans="1:28" ht="43.5" customHeight="1">
      <c r="A3392" s="156" t="str">
        <f>'Reported burning'!A3392</f>
        <v>378b</v>
      </c>
      <c r="B3392" s="156" t="str">
        <f>'Reported burning'!B3392</f>
        <v>378b.3</v>
      </c>
      <c r="C3392" s="156" t="str">
        <f>'Reported burning'!C3392</f>
        <v>Human, deliberate</v>
      </c>
      <c r="D3392" s="156" t="str">
        <f>'Reported burning'!D3392</f>
        <v>Crop residue burning</v>
      </c>
      <c r="E3392" s="156" t="str">
        <f>'Reported burning'!E3392</f>
        <v>All</v>
      </c>
      <c r="F3392" s="156" t="str">
        <f>'Reported burning'!F3392</f>
        <v>Cropland</v>
      </c>
      <c r="G3392" s="156" t="str">
        <f>'Reported burning'!G3392</f>
        <v>Cropland</v>
      </c>
      <c r="H3392" s="156" t="str">
        <f>'Reported burning'!H3392</f>
        <v>Presence</v>
      </c>
      <c r="I3392" s="5"/>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04" t="s">
        <v>404</v>
      </c>
      <c r="Y3392" s="204" t="s">
        <v>404</v>
      </c>
      <c r="Z3392" s="21" t="s">
        <v>2276</v>
      </c>
      <c r="AA3392" s="21"/>
      <c r="AB3392" s="204"/>
    </row>
    <row r="3393" spans="1:28" ht="43.5" customHeight="1">
      <c r="A3393" s="156" t="str">
        <f>'Reported burning'!A3393</f>
        <v>378b</v>
      </c>
      <c r="B3393" s="156" t="str">
        <f>'Reported burning'!B3393</f>
        <v>378b.4</v>
      </c>
      <c r="C3393" s="156" t="str">
        <f>'Reported burning'!C3393</f>
        <v>Human, deliberate</v>
      </c>
      <c r="D3393" s="156" t="str">
        <f>'Reported burning'!D3393</f>
        <v>Crop residue burning</v>
      </c>
      <c r="E3393" s="156" t="str">
        <f>'Reported burning'!E3393</f>
        <v>All</v>
      </c>
      <c r="F3393" s="156" t="str">
        <f>'Reported burning'!F3393</f>
        <v>Cropland</v>
      </c>
      <c r="G3393" s="156" t="str">
        <f>'Reported burning'!G3393</f>
        <v>Cropland</v>
      </c>
      <c r="H3393" s="156" t="str">
        <f>'Reported burning'!H3393</f>
        <v>Absence</v>
      </c>
      <c r="I3393" s="5"/>
      <c r="J3393" s="21">
        <v>0</v>
      </c>
      <c r="K3393" s="21">
        <v>0</v>
      </c>
      <c r="L3393" s="21">
        <v>0</v>
      </c>
      <c r="M3393" s="21">
        <v>0</v>
      </c>
      <c r="N3393" s="21">
        <v>0</v>
      </c>
      <c r="O3393" s="21">
        <v>0</v>
      </c>
      <c r="P3393" s="21">
        <v>0</v>
      </c>
      <c r="Q3393" s="21">
        <v>0</v>
      </c>
      <c r="R3393" s="21">
        <v>0</v>
      </c>
      <c r="S3393" s="21">
        <v>0</v>
      </c>
      <c r="T3393" s="21">
        <v>0</v>
      </c>
      <c r="U3393" s="21">
        <v>0</v>
      </c>
      <c r="V3393" s="21">
        <v>0</v>
      </c>
      <c r="W3393" s="21" t="s">
        <v>2276</v>
      </c>
      <c r="X3393" s="204" t="s">
        <v>405</v>
      </c>
      <c r="Y3393" s="204" t="s">
        <v>405</v>
      </c>
      <c r="Z3393" s="21" t="s">
        <v>2276</v>
      </c>
      <c r="AA3393" s="21"/>
      <c r="AB3393" s="204"/>
    </row>
    <row r="3394" spans="1:28" ht="43.5" customHeight="1">
      <c r="A3394" s="156" t="str">
        <f>'Reported burning'!A3394</f>
        <v>378b</v>
      </c>
      <c r="B3394" s="156" t="str">
        <f>'Reported burning'!B3394</f>
        <v>378b.5</v>
      </c>
      <c r="C3394" s="156" t="str">
        <f>'Reported burning'!C3394</f>
        <v>Human, deliberate</v>
      </c>
      <c r="D3394" s="156" t="str">
        <f>'Reported burning'!D3394</f>
        <v>Crop residue burning</v>
      </c>
      <c r="E3394" s="156" t="str">
        <f>'Reported burning'!E3394</f>
        <v>All</v>
      </c>
      <c r="F3394" s="156" t="str">
        <f>'Reported burning'!F3394</f>
        <v>Cropland</v>
      </c>
      <c r="G3394" s="156" t="str">
        <f>'Reported burning'!G3394</f>
        <v>Cropland</v>
      </c>
      <c r="H3394" s="156" t="str">
        <f>'Reported burning'!H3394</f>
        <v>Absence</v>
      </c>
      <c r="I3394" s="5"/>
      <c r="J3394" s="21">
        <v>0</v>
      </c>
      <c r="K3394" s="21">
        <v>0</v>
      </c>
      <c r="L3394" s="21">
        <v>0</v>
      </c>
      <c r="M3394" s="21">
        <v>0</v>
      </c>
      <c r="N3394" s="21">
        <v>0</v>
      </c>
      <c r="O3394" s="21">
        <v>0</v>
      </c>
      <c r="P3394" s="21">
        <v>0</v>
      </c>
      <c r="Q3394" s="21">
        <v>0</v>
      </c>
      <c r="R3394" s="21">
        <v>0</v>
      </c>
      <c r="S3394" s="21">
        <v>0</v>
      </c>
      <c r="T3394" s="21">
        <v>0</v>
      </c>
      <c r="U3394" s="21">
        <v>0</v>
      </c>
      <c r="V3394" s="21">
        <v>0</v>
      </c>
      <c r="W3394" s="21" t="s">
        <v>2276</v>
      </c>
      <c r="X3394" s="204" t="s">
        <v>425</v>
      </c>
      <c r="Y3394" s="204" t="s">
        <v>425</v>
      </c>
      <c r="Z3394" s="21" t="s">
        <v>2276</v>
      </c>
      <c r="AA3394" s="21"/>
      <c r="AB3394" s="204"/>
    </row>
    <row r="3395" spans="1:28" ht="43.5" customHeight="1">
      <c r="A3395" s="156" t="str">
        <f>'Reported burning'!A3395</f>
        <v>378b</v>
      </c>
      <c r="B3395" s="156" t="str">
        <f>'Reported burning'!B3395</f>
        <v>378b.6</v>
      </c>
      <c r="C3395" s="156" t="str">
        <f>'Reported burning'!C3395</f>
        <v>Human, deliberate</v>
      </c>
      <c r="D3395" s="156" t="str">
        <f>'Reported burning'!D3395</f>
        <v>Crop residue burning</v>
      </c>
      <c r="E3395" s="156" t="str">
        <f>'Reported burning'!E3395</f>
        <v>All</v>
      </c>
      <c r="F3395" s="156" t="str">
        <f>'Reported burning'!F3395</f>
        <v>Cropland</v>
      </c>
      <c r="G3395" s="156" t="str">
        <f>'Reported burning'!G3395</f>
        <v>Cropland</v>
      </c>
      <c r="H3395" s="156" t="str">
        <f>'Reported burning'!H3395</f>
        <v>Presence</v>
      </c>
      <c r="I3395" s="5"/>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04" t="s">
        <v>68</v>
      </c>
      <c r="Y3395" s="204" t="s">
        <v>68</v>
      </c>
      <c r="Z3395" s="21" t="s">
        <v>2276</v>
      </c>
      <c r="AA3395" s="21"/>
      <c r="AB3395" s="204"/>
    </row>
    <row r="3396" spans="1:28" ht="43.5" customHeight="1">
      <c r="A3396" s="156" t="str">
        <f>'Reported burning'!A3396</f>
        <v>378b</v>
      </c>
      <c r="B3396" s="156" t="str">
        <f>'Reported burning'!B3396</f>
        <v>378b.7</v>
      </c>
      <c r="C3396" s="156" t="str">
        <f>'Reported burning'!C3396</f>
        <v>Human, deliberate</v>
      </c>
      <c r="D3396" s="156" t="str">
        <f>'Reported burning'!D3396</f>
        <v>Crop residue burning</v>
      </c>
      <c r="E3396" s="156" t="str">
        <f>'Reported burning'!E3396</f>
        <v>All</v>
      </c>
      <c r="F3396" s="156" t="str">
        <f>'Reported burning'!F3396</f>
        <v>Cropland</v>
      </c>
      <c r="G3396" s="156" t="str">
        <f>'Reported burning'!G3396</f>
        <v>Cropland</v>
      </c>
      <c r="H3396" s="156" t="str">
        <f>'Reported burning'!H3396</f>
        <v>Presence</v>
      </c>
      <c r="I3396" s="5"/>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04" t="s">
        <v>35</v>
      </c>
      <c r="Y3396" s="204" t="s">
        <v>35</v>
      </c>
      <c r="Z3396" s="21" t="s">
        <v>2276</v>
      </c>
      <c r="AA3396" s="21"/>
      <c r="AB3396" s="204"/>
    </row>
    <row r="3397" spans="1:28" ht="43.5" customHeight="1">
      <c r="A3397" s="156" t="str">
        <f>'Reported burning'!A3397</f>
        <v>378b</v>
      </c>
      <c r="B3397" s="156" t="str">
        <f>'Reported burning'!B3397</f>
        <v>378b.8</v>
      </c>
      <c r="C3397" s="156" t="str">
        <f>'Reported burning'!C3397</f>
        <v>Human, deliberate</v>
      </c>
      <c r="D3397" s="156" t="str">
        <f>'Reported burning'!D3397</f>
        <v>Crop residue burning</v>
      </c>
      <c r="E3397" s="156" t="str">
        <f>'Reported burning'!E3397</f>
        <v>All</v>
      </c>
      <c r="F3397" s="156" t="str">
        <f>'Reported burning'!F3397</f>
        <v>Cropland</v>
      </c>
      <c r="G3397" s="156" t="str">
        <f>'Reported burning'!G3397</f>
        <v>Cropland</v>
      </c>
      <c r="H3397" s="156" t="str">
        <f>'Reported burning'!H3397</f>
        <v>Presence</v>
      </c>
      <c r="I3397" s="5"/>
      <c r="J3397" s="21" t="s">
        <v>2276</v>
      </c>
      <c r="K3397" s="21" t="s">
        <v>2276</v>
      </c>
      <c r="L3397" s="21" t="s">
        <v>2276</v>
      </c>
      <c r="M3397" s="21" t="s">
        <v>2276</v>
      </c>
      <c r="N3397" s="21" t="s">
        <v>2276</v>
      </c>
      <c r="O3397" s="21" t="s">
        <v>2276</v>
      </c>
      <c r="P3397" s="21" t="s">
        <v>2276</v>
      </c>
      <c r="Q3397" s="21" t="s">
        <v>2276</v>
      </c>
      <c r="R3397" s="21" t="s">
        <v>2276</v>
      </c>
      <c r="S3397" s="21" t="s">
        <v>2276</v>
      </c>
      <c r="T3397" s="21" t="s">
        <v>2276</v>
      </c>
      <c r="U3397" s="21" t="s">
        <v>2276</v>
      </c>
      <c r="V3397" s="21" t="s">
        <v>2276</v>
      </c>
      <c r="W3397" s="21" t="s">
        <v>2276</v>
      </c>
      <c r="X3397" s="204" t="s">
        <v>127</v>
      </c>
      <c r="Y3397" s="204" t="s">
        <v>127</v>
      </c>
      <c r="Z3397" s="21" t="s">
        <v>2276</v>
      </c>
      <c r="AA3397" s="21"/>
      <c r="AB3397" s="204"/>
    </row>
    <row r="3398" spans="1:28" ht="43.5" customHeight="1">
      <c r="A3398" s="156" t="str">
        <f>'Reported burning'!A3398</f>
        <v>378b</v>
      </c>
      <c r="B3398" s="156" t="str">
        <f>'Reported burning'!B3398</f>
        <v>378b.9</v>
      </c>
      <c r="C3398" s="156" t="str">
        <f>'Reported burning'!C3398</f>
        <v>Human, deliberate</v>
      </c>
      <c r="D3398" s="156" t="str">
        <f>'Reported burning'!D3398</f>
        <v>Crop residue burning</v>
      </c>
      <c r="E3398" s="156" t="str">
        <f>'Reported burning'!E3398</f>
        <v>All</v>
      </c>
      <c r="F3398" s="156" t="str">
        <f>'Reported burning'!F3398</f>
        <v>Cropland</v>
      </c>
      <c r="G3398" s="156" t="str">
        <f>'Reported burning'!G3398</f>
        <v>Cropland</v>
      </c>
      <c r="H3398" s="156" t="str">
        <f>'Reported burning'!H3398</f>
        <v>Presence</v>
      </c>
      <c r="I3398" s="5"/>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04" t="s">
        <v>399</v>
      </c>
      <c r="Y3398" s="204" t="s">
        <v>399</v>
      </c>
      <c r="Z3398" s="21" t="s">
        <v>2276</v>
      </c>
      <c r="AA3398" s="21"/>
      <c r="AB3398" s="204"/>
    </row>
    <row r="3399" spans="1:28" ht="43.5" customHeight="1">
      <c r="A3399" s="156" t="str">
        <f>'Reported burning'!A3399</f>
        <v>378b</v>
      </c>
      <c r="B3399" s="156" t="str">
        <f>'Reported burning'!B3399</f>
        <v>378b.10</v>
      </c>
      <c r="C3399" s="156" t="str">
        <f>'Reported burning'!C3399</f>
        <v>Human, deliberate</v>
      </c>
      <c r="D3399" s="156" t="str">
        <f>'Reported burning'!D3399</f>
        <v>Crop residue burning</v>
      </c>
      <c r="E3399" s="156" t="str">
        <f>'Reported burning'!E3399</f>
        <v>All</v>
      </c>
      <c r="F3399" s="156" t="str">
        <f>'Reported burning'!F3399</f>
        <v>Cropland</v>
      </c>
      <c r="G3399" s="156" t="str">
        <f>'Reported burning'!G3399</f>
        <v>Cropland</v>
      </c>
      <c r="H3399" s="156" t="str">
        <f>'Reported burning'!H3399</f>
        <v>Presence</v>
      </c>
      <c r="I3399" s="5"/>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04" t="s">
        <v>188</v>
      </c>
      <c r="Y3399" s="204" t="s">
        <v>188</v>
      </c>
      <c r="Z3399" s="21" t="s">
        <v>2276</v>
      </c>
      <c r="AA3399" s="204"/>
      <c r="AB3399" s="204"/>
    </row>
    <row r="3400" spans="1:28" ht="43.5" customHeight="1">
      <c r="A3400" s="156" t="str">
        <f>'Reported burning'!A3400</f>
        <v>378b</v>
      </c>
      <c r="B3400" s="156" t="str">
        <f>'Reported burning'!B3400</f>
        <v>378b.11</v>
      </c>
      <c r="C3400" s="156" t="str">
        <f>'Reported burning'!C3400</f>
        <v>Human, deliberate</v>
      </c>
      <c r="D3400" s="156" t="str">
        <f>'Reported burning'!D3400</f>
        <v>Crop residue burning</v>
      </c>
      <c r="E3400" s="156" t="str">
        <f>'Reported burning'!E3400</f>
        <v>All</v>
      </c>
      <c r="F3400" s="156" t="str">
        <f>'Reported burning'!F3400</f>
        <v>Cropland</v>
      </c>
      <c r="G3400" s="156" t="str">
        <f>'Reported burning'!G3400</f>
        <v>Cropland</v>
      </c>
      <c r="H3400" s="156" t="str">
        <f>'Reported burning'!H3400</f>
        <v>Presence</v>
      </c>
      <c r="I3400" s="5"/>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04" t="s">
        <v>189</v>
      </c>
      <c r="Y3400" s="204" t="s">
        <v>189</v>
      </c>
      <c r="Z3400" s="21" t="s">
        <v>2276</v>
      </c>
      <c r="AA3400" s="204"/>
      <c r="AB3400" s="204"/>
    </row>
    <row r="3401" spans="1:28" ht="43.5" customHeight="1">
      <c r="A3401" s="156" t="str">
        <f>'Reported burning'!A3401</f>
        <v>378b</v>
      </c>
      <c r="B3401" s="156" t="str">
        <f>'Reported burning'!B3401</f>
        <v>378b.12</v>
      </c>
      <c r="C3401" s="156" t="str">
        <f>'Reported burning'!C3401</f>
        <v>Human, deliberate</v>
      </c>
      <c r="D3401" s="156" t="str">
        <f>'Reported burning'!D3401</f>
        <v>Crop residue burning</v>
      </c>
      <c r="E3401" s="156" t="str">
        <f>'Reported burning'!E3401</f>
        <v>All</v>
      </c>
      <c r="F3401" s="156" t="str">
        <f>'Reported burning'!F3401</f>
        <v>Cropland</v>
      </c>
      <c r="G3401" s="156" t="str">
        <f>'Reported burning'!G3401</f>
        <v>Cropland</v>
      </c>
      <c r="H3401" s="156" t="str">
        <f>'Reported burning'!H3401</f>
        <v>Presence</v>
      </c>
      <c r="I3401" s="5"/>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04" t="s">
        <v>38</v>
      </c>
      <c r="Y3401" s="204" t="s">
        <v>38</v>
      </c>
      <c r="Z3401" s="21" t="s">
        <v>2276</v>
      </c>
      <c r="AA3401" s="204"/>
      <c r="AB3401" s="204"/>
    </row>
    <row r="3402" spans="1:28" ht="43.5" customHeight="1">
      <c r="A3402" s="156" t="str">
        <f>'Reported burning'!A3402</f>
        <v>378c</v>
      </c>
      <c r="B3402" s="156" t="str">
        <f>'Reported burning'!B3402</f>
        <v>378c.1</v>
      </c>
      <c r="C3402" s="156" t="str">
        <f>'Reported burning'!C3402</f>
        <v>Human, deliberate</v>
      </c>
      <c r="D3402" s="156" t="str">
        <f>'Reported burning'!D3402</f>
        <v>Crop residue burning</v>
      </c>
      <c r="E3402" s="156" t="str">
        <f>'Reported burning'!E3402</f>
        <v>All</v>
      </c>
      <c r="F3402" s="156" t="str">
        <f>'Reported burning'!F3402</f>
        <v>Cropland</v>
      </c>
      <c r="G3402" s="156" t="str">
        <f>'Reported burning'!G3402</f>
        <v>Cropland</v>
      </c>
      <c r="H3402" s="156" t="str">
        <f>'Reported burning'!H3402</f>
        <v>Presence</v>
      </c>
      <c r="I3402" s="5"/>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04" t="s">
        <v>86</v>
      </c>
      <c r="Y3402" s="204" t="s">
        <v>86</v>
      </c>
      <c r="Z3402" s="21" t="s">
        <v>2276</v>
      </c>
      <c r="AA3402" s="204"/>
      <c r="AB3402" s="204"/>
    </row>
    <row r="3403" spans="1:28" ht="43.5" customHeight="1">
      <c r="A3403" s="156" t="str">
        <f>'Reported burning'!A3403</f>
        <v>378c</v>
      </c>
      <c r="B3403" s="156" t="str">
        <f>'Reported burning'!B3403</f>
        <v>378c.2</v>
      </c>
      <c r="C3403" s="156" t="str">
        <f>'Reported burning'!C3403</f>
        <v>Human, deliberate</v>
      </c>
      <c r="D3403" s="156" t="str">
        <f>'Reported burning'!D3403</f>
        <v>Crop residue burning</v>
      </c>
      <c r="E3403" s="156" t="str">
        <f>'Reported burning'!E3403</f>
        <v>All</v>
      </c>
      <c r="F3403" s="156" t="str">
        <f>'Reported burning'!F3403</f>
        <v>Cropland</v>
      </c>
      <c r="G3403" s="156" t="str">
        <f>'Reported burning'!G3403</f>
        <v>Cropland</v>
      </c>
      <c r="H3403" s="156" t="str">
        <f>'Reported burning'!H3403</f>
        <v>Presence</v>
      </c>
      <c r="I3403" s="5"/>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04" t="s">
        <v>34</v>
      </c>
      <c r="Y3403" s="204" t="s">
        <v>34</v>
      </c>
      <c r="Z3403" s="21" t="s">
        <v>2276</v>
      </c>
      <c r="AA3403" s="204"/>
      <c r="AB3403" s="204"/>
    </row>
    <row r="3404" spans="1:28" ht="43.5" customHeight="1">
      <c r="A3404" s="156" t="str">
        <f>'Reported burning'!A3404</f>
        <v>378c</v>
      </c>
      <c r="B3404" s="156" t="str">
        <f>'Reported burning'!B3404</f>
        <v>378c.3</v>
      </c>
      <c r="C3404" s="156" t="str">
        <f>'Reported burning'!C3404</f>
        <v>Human, deliberate</v>
      </c>
      <c r="D3404" s="156" t="str">
        <f>'Reported burning'!D3404</f>
        <v>Crop residue burning</v>
      </c>
      <c r="E3404" s="156" t="str">
        <f>'Reported burning'!E3404</f>
        <v>All</v>
      </c>
      <c r="F3404" s="156" t="str">
        <f>'Reported burning'!F3404</f>
        <v>Cropland</v>
      </c>
      <c r="G3404" s="156" t="str">
        <f>'Reported burning'!G3404</f>
        <v>Cropland</v>
      </c>
      <c r="H3404" s="156" t="str">
        <f>'Reported burning'!H3404</f>
        <v>Presence</v>
      </c>
      <c r="I3404" s="5"/>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04" t="s">
        <v>404</v>
      </c>
      <c r="Y3404" s="204" t="s">
        <v>404</v>
      </c>
      <c r="Z3404" s="21" t="s">
        <v>2276</v>
      </c>
      <c r="AA3404" s="204"/>
      <c r="AB3404" s="204"/>
    </row>
    <row r="3405" spans="1:28" ht="43.5" customHeight="1">
      <c r="A3405" s="156" t="str">
        <f>'Reported burning'!A3405</f>
        <v>378c</v>
      </c>
      <c r="B3405" s="156" t="str">
        <f>'Reported burning'!B3405</f>
        <v>378c.4</v>
      </c>
      <c r="C3405" s="156" t="str">
        <f>'Reported burning'!C3405</f>
        <v>Human, deliberate</v>
      </c>
      <c r="D3405" s="156" t="str">
        <f>'Reported burning'!D3405</f>
        <v>Crop residue burning</v>
      </c>
      <c r="E3405" s="156" t="str">
        <f>'Reported burning'!E3405</f>
        <v>All</v>
      </c>
      <c r="F3405" s="156" t="str">
        <f>'Reported burning'!F3405</f>
        <v>Cropland</v>
      </c>
      <c r="G3405" s="156" t="str">
        <f>'Reported burning'!G3405</f>
        <v>Cropland</v>
      </c>
      <c r="H3405" s="156" t="str">
        <f>'Reported burning'!H3405</f>
        <v>Absence</v>
      </c>
      <c r="I3405" s="5"/>
      <c r="J3405" s="21">
        <v>0</v>
      </c>
      <c r="K3405" s="21">
        <v>0</v>
      </c>
      <c r="L3405" s="21">
        <v>0</v>
      </c>
      <c r="M3405" s="21">
        <v>0</v>
      </c>
      <c r="N3405" s="21">
        <v>0</v>
      </c>
      <c r="O3405" s="21">
        <v>0</v>
      </c>
      <c r="P3405" s="21">
        <v>0</v>
      </c>
      <c r="Q3405" s="21">
        <v>0</v>
      </c>
      <c r="R3405" s="21">
        <v>0</v>
      </c>
      <c r="S3405" s="21">
        <v>0</v>
      </c>
      <c r="T3405" s="21">
        <v>0</v>
      </c>
      <c r="U3405" s="21">
        <v>0</v>
      </c>
      <c r="V3405" s="21">
        <v>0</v>
      </c>
      <c r="W3405" s="21" t="s">
        <v>2276</v>
      </c>
      <c r="X3405" s="204" t="s">
        <v>405</v>
      </c>
      <c r="Y3405" s="204" t="s">
        <v>405</v>
      </c>
      <c r="Z3405" s="21" t="s">
        <v>2276</v>
      </c>
      <c r="AA3405" s="204"/>
      <c r="AB3405" s="204"/>
    </row>
    <row r="3406" spans="1:28" ht="43.5" customHeight="1">
      <c r="A3406" s="156" t="str">
        <f>'Reported burning'!A3406</f>
        <v>378c</v>
      </c>
      <c r="B3406" s="156" t="str">
        <f>'Reported burning'!B3406</f>
        <v>378c.5</v>
      </c>
      <c r="C3406" s="156" t="str">
        <f>'Reported burning'!C3406</f>
        <v>Human, deliberate</v>
      </c>
      <c r="D3406" s="156" t="str">
        <f>'Reported burning'!D3406</f>
        <v>Crop residue burning</v>
      </c>
      <c r="E3406" s="156" t="str">
        <f>'Reported burning'!E3406</f>
        <v>All</v>
      </c>
      <c r="F3406" s="156" t="str">
        <f>'Reported burning'!F3406</f>
        <v>Cropland</v>
      </c>
      <c r="G3406" s="156" t="str">
        <f>'Reported burning'!G3406</f>
        <v>Cropland</v>
      </c>
      <c r="H3406" s="156" t="str">
        <f>'Reported burning'!H3406</f>
        <v>Absence</v>
      </c>
      <c r="I3406" s="5"/>
      <c r="J3406" s="21">
        <v>0</v>
      </c>
      <c r="K3406" s="21">
        <v>0</v>
      </c>
      <c r="L3406" s="21">
        <v>0</v>
      </c>
      <c r="M3406" s="21">
        <v>0</v>
      </c>
      <c r="N3406" s="21">
        <v>0</v>
      </c>
      <c r="O3406" s="21">
        <v>0</v>
      </c>
      <c r="P3406" s="21">
        <v>0</v>
      </c>
      <c r="Q3406" s="21">
        <v>0</v>
      </c>
      <c r="R3406" s="21">
        <v>0</v>
      </c>
      <c r="S3406" s="21">
        <v>0</v>
      </c>
      <c r="T3406" s="21">
        <v>0</v>
      </c>
      <c r="U3406" s="21">
        <v>0</v>
      </c>
      <c r="V3406" s="21">
        <v>0</v>
      </c>
      <c r="W3406" s="21" t="s">
        <v>2276</v>
      </c>
      <c r="X3406" s="204" t="s">
        <v>425</v>
      </c>
      <c r="Y3406" s="204" t="s">
        <v>425</v>
      </c>
      <c r="Z3406" s="21" t="s">
        <v>2276</v>
      </c>
      <c r="AA3406" s="204"/>
      <c r="AB3406" s="204"/>
    </row>
    <row r="3407" spans="1:28" ht="43.5" customHeight="1">
      <c r="A3407" s="156" t="str">
        <f>'Reported burning'!A3407</f>
        <v>378c</v>
      </c>
      <c r="B3407" s="156" t="str">
        <f>'Reported burning'!B3407</f>
        <v>378c.6</v>
      </c>
      <c r="C3407" s="156" t="str">
        <f>'Reported burning'!C3407</f>
        <v>Human, deliberate</v>
      </c>
      <c r="D3407" s="156" t="str">
        <f>'Reported burning'!D3407</f>
        <v>Crop residue burning</v>
      </c>
      <c r="E3407" s="156" t="str">
        <f>'Reported burning'!E3407</f>
        <v>All</v>
      </c>
      <c r="F3407" s="156" t="str">
        <f>'Reported burning'!F3407</f>
        <v>Cropland</v>
      </c>
      <c r="G3407" s="156" t="str">
        <f>'Reported burning'!G3407</f>
        <v>Cropland</v>
      </c>
      <c r="H3407" s="156" t="str">
        <f>'Reported burning'!H3407</f>
        <v>Absence</v>
      </c>
      <c r="I3407" s="5"/>
      <c r="J3407" s="21">
        <v>0</v>
      </c>
      <c r="K3407" s="21">
        <v>0</v>
      </c>
      <c r="L3407" s="21">
        <v>0</v>
      </c>
      <c r="M3407" s="21">
        <v>0</v>
      </c>
      <c r="N3407" s="21">
        <v>0</v>
      </c>
      <c r="O3407" s="21">
        <v>0</v>
      </c>
      <c r="P3407" s="21">
        <v>0</v>
      </c>
      <c r="Q3407" s="21">
        <v>0</v>
      </c>
      <c r="R3407" s="21">
        <v>0</v>
      </c>
      <c r="S3407" s="21">
        <v>0</v>
      </c>
      <c r="T3407" s="21">
        <v>0</v>
      </c>
      <c r="U3407" s="21">
        <v>0</v>
      </c>
      <c r="V3407" s="21">
        <v>0</v>
      </c>
      <c r="W3407" s="21" t="s">
        <v>2276</v>
      </c>
      <c r="X3407" s="204" t="s">
        <v>68</v>
      </c>
      <c r="Y3407" s="204" t="s">
        <v>68</v>
      </c>
      <c r="Z3407" s="21" t="s">
        <v>2276</v>
      </c>
      <c r="AA3407" s="204"/>
      <c r="AB3407" s="204"/>
    </row>
    <row r="3408" spans="1:28" ht="43.5" customHeight="1">
      <c r="A3408" s="156" t="str">
        <f>'Reported burning'!A3408</f>
        <v>378c</v>
      </c>
      <c r="B3408" s="156" t="str">
        <f>'Reported burning'!B3408</f>
        <v>378c.7</v>
      </c>
      <c r="C3408" s="156" t="str">
        <f>'Reported burning'!C3408</f>
        <v>Human, deliberate</v>
      </c>
      <c r="D3408" s="156" t="str">
        <f>'Reported burning'!D3408</f>
        <v>Crop residue burning</v>
      </c>
      <c r="E3408" s="156" t="str">
        <f>'Reported burning'!E3408</f>
        <v>All</v>
      </c>
      <c r="F3408" s="156" t="str">
        <f>'Reported burning'!F3408</f>
        <v>Cropland</v>
      </c>
      <c r="G3408" s="156" t="str">
        <f>'Reported burning'!G3408</f>
        <v>Cropland</v>
      </c>
      <c r="H3408" s="156" t="str">
        <f>'Reported burning'!H3408</f>
        <v>Presence</v>
      </c>
      <c r="I3408" s="5"/>
      <c r="J3408" s="21" t="s">
        <v>2276</v>
      </c>
      <c r="K3408" s="21" t="s">
        <v>2276</v>
      </c>
      <c r="L3408" s="21" t="s">
        <v>2276</v>
      </c>
      <c r="M3408" s="21" t="s">
        <v>2276</v>
      </c>
      <c r="N3408" s="21" t="s">
        <v>2276</v>
      </c>
      <c r="O3408" s="21" t="s">
        <v>2276</v>
      </c>
      <c r="P3408" s="21" t="s">
        <v>2276</v>
      </c>
      <c r="Q3408" s="21" t="s">
        <v>2276</v>
      </c>
      <c r="R3408" s="21" t="s">
        <v>2276</v>
      </c>
      <c r="S3408" s="21" t="s">
        <v>2276</v>
      </c>
      <c r="T3408" s="21" t="s">
        <v>2276</v>
      </c>
      <c r="U3408" s="21" t="s">
        <v>2276</v>
      </c>
      <c r="V3408" s="21" t="s">
        <v>2276</v>
      </c>
      <c r="W3408" s="21" t="s">
        <v>2276</v>
      </c>
      <c r="X3408" s="204" t="s">
        <v>35</v>
      </c>
      <c r="Y3408" s="204" t="s">
        <v>35</v>
      </c>
      <c r="Z3408" s="21" t="s">
        <v>2276</v>
      </c>
      <c r="AA3408" s="204"/>
      <c r="AB3408" s="204"/>
    </row>
    <row r="3409" spans="1:28" ht="43.5" customHeight="1">
      <c r="A3409" s="156" t="str">
        <f>'Reported burning'!A3409</f>
        <v>378c</v>
      </c>
      <c r="B3409" s="156" t="str">
        <f>'Reported burning'!B3409</f>
        <v>378c.8</v>
      </c>
      <c r="C3409" s="156" t="str">
        <f>'Reported burning'!C3409</f>
        <v>Human, deliberate</v>
      </c>
      <c r="D3409" s="156" t="str">
        <f>'Reported burning'!D3409</f>
        <v>Crop residue burning</v>
      </c>
      <c r="E3409" s="156" t="str">
        <f>'Reported burning'!E3409</f>
        <v>All</v>
      </c>
      <c r="F3409" s="156" t="str">
        <f>'Reported burning'!F3409</f>
        <v>Cropland</v>
      </c>
      <c r="G3409" s="156" t="str">
        <f>'Reported burning'!G3409</f>
        <v>Cropland</v>
      </c>
      <c r="H3409" s="156" t="str">
        <f>'Reported burning'!H3409</f>
        <v>Presence</v>
      </c>
      <c r="I3409" s="5"/>
      <c r="J3409" s="21" t="s">
        <v>2276</v>
      </c>
      <c r="K3409" s="21" t="s">
        <v>2276</v>
      </c>
      <c r="L3409" s="21" t="s">
        <v>2276</v>
      </c>
      <c r="M3409" s="21" t="s">
        <v>2276</v>
      </c>
      <c r="N3409" s="21" t="s">
        <v>2276</v>
      </c>
      <c r="O3409" s="21" t="s">
        <v>2276</v>
      </c>
      <c r="P3409" s="21" t="s">
        <v>2276</v>
      </c>
      <c r="Q3409" s="21" t="s">
        <v>2276</v>
      </c>
      <c r="R3409" s="21" t="s">
        <v>2276</v>
      </c>
      <c r="S3409" s="21" t="s">
        <v>2276</v>
      </c>
      <c r="T3409" s="21" t="s">
        <v>2276</v>
      </c>
      <c r="U3409" s="21" t="s">
        <v>2276</v>
      </c>
      <c r="V3409" s="21" t="s">
        <v>2276</v>
      </c>
      <c r="W3409" s="21" t="s">
        <v>2276</v>
      </c>
      <c r="X3409" s="204" t="s">
        <v>127</v>
      </c>
      <c r="Y3409" s="204" t="s">
        <v>127</v>
      </c>
      <c r="Z3409" s="21" t="s">
        <v>2276</v>
      </c>
      <c r="AA3409" s="204"/>
      <c r="AB3409" s="204"/>
    </row>
    <row r="3410" spans="1:28" ht="43.5" customHeight="1">
      <c r="A3410" s="156" t="str">
        <f>'Reported burning'!A3410</f>
        <v>378c</v>
      </c>
      <c r="B3410" s="156" t="str">
        <f>'Reported burning'!B3410</f>
        <v>378c.9</v>
      </c>
      <c r="C3410" s="156" t="str">
        <f>'Reported burning'!C3410</f>
        <v>Human, deliberate</v>
      </c>
      <c r="D3410" s="156" t="str">
        <f>'Reported burning'!D3410</f>
        <v>Crop residue burning</v>
      </c>
      <c r="E3410" s="156" t="str">
        <f>'Reported burning'!E3410</f>
        <v>All</v>
      </c>
      <c r="F3410" s="156" t="str">
        <f>'Reported burning'!F3410</f>
        <v>Cropland</v>
      </c>
      <c r="G3410" s="156" t="str">
        <f>'Reported burning'!G3410</f>
        <v>Cropland</v>
      </c>
      <c r="H3410" s="156" t="str">
        <f>'Reported burning'!H3410</f>
        <v>Presence</v>
      </c>
      <c r="I3410" s="5"/>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04" t="s">
        <v>399</v>
      </c>
      <c r="Y3410" s="204" t="s">
        <v>399</v>
      </c>
      <c r="Z3410" s="21" t="s">
        <v>2276</v>
      </c>
      <c r="AA3410" s="204"/>
      <c r="AB3410" s="204"/>
    </row>
    <row r="3411" spans="1:28" ht="43.5" customHeight="1">
      <c r="A3411" s="156" t="str">
        <f>'Reported burning'!A3411</f>
        <v>378c</v>
      </c>
      <c r="B3411" s="156" t="str">
        <f>'Reported burning'!B3411</f>
        <v>378c.10</v>
      </c>
      <c r="C3411" s="156" t="str">
        <f>'Reported burning'!C3411</f>
        <v>Human, deliberate</v>
      </c>
      <c r="D3411" s="156" t="str">
        <f>'Reported burning'!D3411</f>
        <v>Crop residue burning</v>
      </c>
      <c r="E3411" s="156" t="str">
        <f>'Reported burning'!E3411</f>
        <v>All</v>
      </c>
      <c r="F3411" s="156" t="str">
        <f>'Reported burning'!F3411</f>
        <v>Cropland</v>
      </c>
      <c r="G3411" s="156" t="str">
        <f>'Reported burning'!G3411</f>
        <v>Cropland</v>
      </c>
      <c r="H3411" s="156" t="str">
        <f>'Reported burning'!H3411</f>
        <v>Presence</v>
      </c>
      <c r="I3411" s="5"/>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04" t="s">
        <v>188</v>
      </c>
      <c r="Y3411" s="204" t="s">
        <v>188</v>
      </c>
      <c r="Z3411" s="21" t="s">
        <v>2276</v>
      </c>
      <c r="AA3411" s="204"/>
      <c r="AB3411" s="204"/>
    </row>
    <row r="3412" spans="1:28" ht="43.5" customHeight="1">
      <c r="A3412" s="156" t="str">
        <f>'Reported burning'!A3412</f>
        <v>378c</v>
      </c>
      <c r="B3412" s="156" t="str">
        <f>'Reported burning'!B3412</f>
        <v>378c.11</v>
      </c>
      <c r="C3412" s="156" t="str">
        <f>'Reported burning'!C3412</f>
        <v>Human, deliberate</v>
      </c>
      <c r="D3412" s="156" t="str">
        <f>'Reported burning'!D3412</f>
        <v>Crop residue burning</v>
      </c>
      <c r="E3412" s="156" t="str">
        <f>'Reported burning'!E3412</f>
        <v>All</v>
      </c>
      <c r="F3412" s="156" t="str">
        <f>'Reported burning'!F3412</f>
        <v>Cropland</v>
      </c>
      <c r="G3412" s="156" t="str">
        <f>'Reported burning'!G3412</f>
        <v>Cropland</v>
      </c>
      <c r="H3412" s="156" t="str">
        <f>'Reported burning'!H3412</f>
        <v>Presence</v>
      </c>
      <c r="I3412" s="5"/>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04" t="s">
        <v>189</v>
      </c>
      <c r="Y3412" s="204" t="s">
        <v>189</v>
      </c>
      <c r="Z3412" s="21" t="s">
        <v>2276</v>
      </c>
      <c r="AA3412" s="204"/>
      <c r="AB3412" s="204"/>
    </row>
    <row r="3413" spans="1:28" ht="43.5" customHeight="1">
      <c r="A3413" s="156" t="str">
        <f>'Reported burning'!A3413</f>
        <v>378c</v>
      </c>
      <c r="B3413" s="156" t="str">
        <f>'Reported burning'!B3413</f>
        <v>378c.12</v>
      </c>
      <c r="C3413" s="156" t="str">
        <f>'Reported burning'!C3413</f>
        <v>Human, deliberate</v>
      </c>
      <c r="D3413" s="156" t="str">
        <f>'Reported burning'!D3413</f>
        <v>Crop residue burning</v>
      </c>
      <c r="E3413" s="156" t="str">
        <f>'Reported burning'!E3413</f>
        <v>All</v>
      </c>
      <c r="F3413" s="156" t="str">
        <f>'Reported burning'!F3413</f>
        <v>Cropland</v>
      </c>
      <c r="G3413" s="156" t="str">
        <f>'Reported burning'!G3413</f>
        <v>Cropland</v>
      </c>
      <c r="H3413" s="156" t="str">
        <f>'Reported burning'!H3413</f>
        <v>Presence</v>
      </c>
      <c r="I3413" s="5"/>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04" t="s">
        <v>38</v>
      </c>
      <c r="Y3413" s="204" t="s">
        <v>38</v>
      </c>
      <c r="Z3413" s="21" t="s">
        <v>2276</v>
      </c>
      <c r="AA3413" s="204"/>
      <c r="AB3413" s="204"/>
    </row>
    <row r="3414" spans="1:28" ht="43.5" customHeight="1">
      <c r="A3414" s="156" t="str">
        <f>'Reported burning'!A3414</f>
        <v>378d</v>
      </c>
      <c r="B3414" s="156" t="str">
        <f>'Reported burning'!B3414</f>
        <v>378d.1</v>
      </c>
      <c r="C3414" s="156" t="str">
        <f>'Reported burning'!C3414</f>
        <v>Human, deliberate</v>
      </c>
      <c r="D3414" s="156" t="str">
        <f>'Reported burning'!D3414</f>
        <v>Crop residue burning</v>
      </c>
      <c r="E3414" s="156" t="str">
        <f>'Reported burning'!E3414</f>
        <v>All</v>
      </c>
      <c r="F3414" s="156" t="str">
        <f>'Reported burning'!F3414</f>
        <v>Cropland</v>
      </c>
      <c r="G3414" s="156" t="str">
        <f>'Reported burning'!G3414</f>
        <v>Cropland</v>
      </c>
      <c r="H3414" s="156" t="str">
        <f>'Reported burning'!H3414</f>
        <v>Presence</v>
      </c>
      <c r="I3414" s="5"/>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04" t="s">
        <v>86</v>
      </c>
      <c r="Y3414" s="204" t="s">
        <v>86</v>
      </c>
      <c r="Z3414" s="21" t="s">
        <v>2276</v>
      </c>
      <c r="AA3414" s="204"/>
      <c r="AB3414" s="204"/>
    </row>
    <row r="3415" spans="1:28" ht="43.5" customHeight="1">
      <c r="A3415" s="156" t="str">
        <f>'Reported burning'!A3415</f>
        <v>378d</v>
      </c>
      <c r="B3415" s="156" t="str">
        <f>'Reported burning'!B3415</f>
        <v>378d.2</v>
      </c>
      <c r="C3415" s="156" t="str">
        <f>'Reported burning'!C3415</f>
        <v>Human, deliberate</v>
      </c>
      <c r="D3415" s="156" t="str">
        <f>'Reported burning'!D3415</f>
        <v>Crop residue burning</v>
      </c>
      <c r="E3415" s="156" t="str">
        <f>'Reported burning'!E3415</f>
        <v>All</v>
      </c>
      <c r="F3415" s="156" t="str">
        <f>'Reported burning'!F3415</f>
        <v>Cropland</v>
      </c>
      <c r="G3415" s="156" t="str">
        <f>'Reported burning'!G3415</f>
        <v>Cropland</v>
      </c>
      <c r="H3415" s="156" t="str">
        <f>'Reported burning'!H3415</f>
        <v>Presence</v>
      </c>
      <c r="I3415" s="5"/>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04" t="s">
        <v>34</v>
      </c>
      <c r="Y3415" s="204" t="s">
        <v>34</v>
      </c>
      <c r="Z3415" s="21" t="s">
        <v>2276</v>
      </c>
      <c r="AA3415" s="204"/>
      <c r="AB3415" s="204"/>
    </row>
    <row r="3416" spans="1:28" ht="43.5" customHeight="1">
      <c r="A3416" s="156" t="str">
        <f>'Reported burning'!A3416</f>
        <v>378d</v>
      </c>
      <c r="B3416" s="156" t="str">
        <f>'Reported burning'!B3416</f>
        <v>378d.3</v>
      </c>
      <c r="C3416" s="156" t="str">
        <f>'Reported burning'!C3416</f>
        <v>Human, deliberate</v>
      </c>
      <c r="D3416" s="156" t="str">
        <f>'Reported burning'!D3416</f>
        <v>Crop residue burning</v>
      </c>
      <c r="E3416" s="156" t="str">
        <f>'Reported burning'!E3416</f>
        <v>All</v>
      </c>
      <c r="F3416" s="156" t="str">
        <f>'Reported burning'!F3416</f>
        <v>Cropland</v>
      </c>
      <c r="G3416" s="156" t="str">
        <f>'Reported burning'!G3416</f>
        <v>Cropland</v>
      </c>
      <c r="H3416" s="156" t="str">
        <f>'Reported burning'!H3416</f>
        <v>Presence</v>
      </c>
      <c r="I3416" s="5"/>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04" t="s">
        <v>404</v>
      </c>
      <c r="Y3416" s="204" t="s">
        <v>404</v>
      </c>
      <c r="Z3416" s="21" t="s">
        <v>2276</v>
      </c>
      <c r="AA3416" s="204"/>
      <c r="AB3416" s="204"/>
    </row>
    <row r="3417" spans="1:28" ht="43.5" customHeight="1">
      <c r="A3417" s="156" t="str">
        <f>'Reported burning'!A3417</f>
        <v>378d</v>
      </c>
      <c r="B3417" s="156" t="str">
        <f>'Reported burning'!B3417</f>
        <v>378d.4</v>
      </c>
      <c r="C3417" s="156" t="str">
        <f>'Reported burning'!C3417</f>
        <v>Human, deliberate</v>
      </c>
      <c r="D3417" s="156" t="str">
        <f>'Reported burning'!D3417</f>
        <v>Crop residue burning</v>
      </c>
      <c r="E3417" s="156" t="str">
        <f>'Reported burning'!E3417</f>
        <v>All</v>
      </c>
      <c r="F3417" s="156" t="str">
        <f>'Reported burning'!F3417</f>
        <v>Cropland</v>
      </c>
      <c r="G3417" s="156" t="str">
        <f>'Reported burning'!G3417</f>
        <v>Cropland</v>
      </c>
      <c r="H3417" s="156" t="str">
        <f>'Reported burning'!H3417</f>
        <v>Absence</v>
      </c>
      <c r="I3417" s="5"/>
      <c r="J3417" s="21">
        <v>0</v>
      </c>
      <c r="K3417" s="21">
        <v>0</v>
      </c>
      <c r="L3417" s="21">
        <v>0</v>
      </c>
      <c r="M3417" s="21">
        <v>0</v>
      </c>
      <c r="N3417" s="21">
        <v>0</v>
      </c>
      <c r="O3417" s="21">
        <v>0</v>
      </c>
      <c r="P3417" s="21">
        <v>0</v>
      </c>
      <c r="Q3417" s="21">
        <v>0</v>
      </c>
      <c r="R3417" s="21">
        <v>0</v>
      </c>
      <c r="S3417" s="21">
        <v>0</v>
      </c>
      <c r="T3417" s="21">
        <v>0</v>
      </c>
      <c r="U3417" s="21">
        <v>0</v>
      </c>
      <c r="V3417" s="21">
        <v>0</v>
      </c>
      <c r="W3417" s="21" t="s">
        <v>2276</v>
      </c>
      <c r="X3417" s="204" t="s">
        <v>405</v>
      </c>
      <c r="Y3417" s="204" t="s">
        <v>405</v>
      </c>
      <c r="Z3417" s="21" t="s">
        <v>2276</v>
      </c>
      <c r="AA3417" s="204"/>
      <c r="AB3417" s="204"/>
    </row>
    <row r="3418" spans="1:28" ht="43.5" customHeight="1">
      <c r="A3418" s="156" t="str">
        <f>'Reported burning'!A3418</f>
        <v>378d</v>
      </c>
      <c r="B3418" s="156" t="str">
        <f>'Reported burning'!B3418</f>
        <v>378d.5</v>
      </c>
      <c r="C3418" s="156" t="str">
        <f>'Reported burning'!C3418</f>
        <v>Human, deliberate</v>
      </c>
      <c r="D3418" s="156" t="str">
        <f>'Reported burning'!D3418</f>
        <v>Crop residue burning</v>
      </c>
      <c r="E3418" s="156" t="str">
        <f>'Reported burning'!E3418</f>
        <v>All</v>
      </c>
      <c r="F3418" s="156" t="str">
        <f>'Reported burning'!F3418</f>
        <v>Cropland</v>
      </c>
      <c r="G3418" s="156" t="str">
        <f>'Reported burning'!G3418</f>
        <v>Cropland</v>
      </c>
      <c r="H3418" s="156" t="str">
        <f>'Reported burning'!H3418</f>
        <v>Absence</v>
      </c>
      <c r="I3418" s="5"/>
      <c r="J3418" s="21">
        <v>0</v>
      </c>
      <c r="K3418" s="21">
        <v>0</v>
      </c>
      <c r="L3418" s="21">
        <v>0</v>
      </c>
      <c r="M3418" s="21">
        <v>0</v>
      </c>
      <c r="N3418" s="21">
        <v>0</v>
      </c>
      <c r="O3418" s="21">
        <v>0</v>
      </c>
      <c r="P3418" s="21">
        <v>0</v>
      </c>
      <c r="Q3418" s="21">
        <v>0</v>
      </c>
      <c r="R3418" s="21">
        <v>0</v>
      </c>
      <c r="S3418" s="21">
        <v>0</v>
      </c>
      <c r="T3418" s="21">
        <v>0</v>
      </c>
      <c r="U3418" s="21">
        <v>0</v>
      </c>
      <c r="V3418" s="21">
        <v>0</v>
      </c>
      <c r="W3418" s="21" t="s">
        <v>2276</v>
      </c>
      <c r="X3418" s="204" t="s">
        <v>425</v>
      </c>
      <c r="Y3418" s="204" t="s">
        <v>425</v>
      </c>
      <c r="Z3418" s="21" t="s">
        <v>2276</v>
      </c>
      <c r="AA3418" s="204"/>
      <c r="AB3418" s="204"/>
    </row>
    <row r="3419" spans="1:28" ht="43.5" customHeight="1">
      <c r="A3419" s="156" t="str">
        <f>'Reported burning'!A3419</f>
        <v>378d</v>
      </c>
      <c r="B3419" s="156" t="str">
        <f>'Reported burning'!B3419</f>
        <v>378d.6</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Presence</v>
      </c>
      <c r="I3419" s="5"/>
      <c r="J3419" s="21" t="s">
        <v>2276</v>
      </c>
      <c r="K3419" s="21" t="s">
        <v>2276</v>
      </c>
      <c r="L3419" s="21" t="s">
        <v>2276</v>
      </c>
      <c r="M3419" s="21" t="s">
        <v>2276</v>
      </c>
      <c r="N3419" s="21" t="s">
        <v>2276</v>
      </c>
      <c r="O3419" s="21" t="s">
        <v>2276</v>
      </c>
      <c r="P3419" s="21" t="s">
        <v>2276</v>
      </c>
      <c r="Q3419" s="21" t="s">
        <v>2276</v>
      </c>
      <c r="R3419" s="21" t="s">
        <v>2276</v>
      </c>
      <c r="S3419" s="21" t="s">
        <v>2276</v>
      </c>
      <c r="T3419" s="21" t="s">
        <v>2276</v>
      </c>
      <c r="U3419" s="21" t="s">
        <v>2276</v>
      </c>
      <c r="V3419" s="21" t="s">
        <v>2276</v>
      </c>
      <c r="W3419" s="21" t="s">
        <v>2276</v>
      </c>
      <c r="X3419" s="204" t="s">
        <v>68</v>
      </c>
      <c r="Y3419" s="204" t="s">
        <v>68</v>
      </c>
      <c r="Z3419" s="21" t="s">
        <v>2276</v>
      </c>
      <c r="AA3419" s="204"/>
      <c r="AB3419" s="204"/>
    </row>
    <row r="3420" spans="1:28" ht="43.5" customHeight="1">
      <c r="A3420" s="156" t="str">
        <f>'Reported burning'!A3420</f>
        <v>378d</v>
      </c>
      <c r="B3420" s="156" t="str">
        <f>'Reported burning'!B3420</f>
        <v>378d.7</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Presence</v>
      </c>
      <c r="I3420" s="5"/>
      <c r="J3420" s="21" t="s">
        <v>2276</v>
      </c>
      <c r="K3420" s="21" t="s">
        <v>2276</v>
      </c>
      <c r="L3420" s="21" t="s">
        <v>2276</v>
      </c>
      <c r="M3420" s="21" t="s">
        <v>2276</v>
      </c>
      <c r="N3420" s="21" t="s">
        <v>2276</v>
      </c>
      <c r="O3420" s="21" t="s">
        <v>2276</v>
      </c>
      <c r="P3420" s="21" t="s">
        <v>2276</v>
      </c>
      <c r="Q3420" s="21" t="s">
        <v>2276</v>
      </c>
      <c r="R3420" s="21" t="s">
        <v>2276</v>
      </c>
      <c r="S3420" s="21" t="s">
        <v>2276</v>
      </c>
      <c r="T3420" s="21" t="s">
        <v>2276</v>
      </c>
      <c r="U3420" s="21" t="s">
        <v>2276</v>
      </c>
      <c r="V3420" s="21" t="s">
        <v>2276</v>
      </c>
      <c r="W3420" s="21" t="s">
        <v>2276</v>
      </c>
      <c r="X3420" s="204" t="s">
        <v>35</v>
      </c>
      <c r="Y3420" s="204" t="s">
        <v>35</v>
      </c>
      <c r="Z3420" s="21" t="s">
        <v>2276</v>
      </c>
      <c r="AA3420" s="204"/>
      <c r="AB3420" s="204"/>
    </row>
    <row r="3421" spans="1:28" ht="43.5" customHeight="1">
      <c r="A3421" s="156" t="str">
        <f>'Reported burning'!A3421</f>
        <v>378d</v>
      </c>
      <c r="B3421" s="156" t="str">
        <f>'Reported burning'!B3421</f>
        <v>378d.8</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2276</v>
      </c>
      <c r="K3421" s="21" t="s">
        <v>2276</v>
      </c>
      <c r="L3421" s="21" t="s">
        <v>2276</v>
      </c>
      <c r="M3421" s="21" t="s">
        <v>2276</v>
      </c>
      <c r="N3421" s="21" t="s">
        <v>2276</v>
      </c>
      <c r="O3421" s="21" t="s">
        <v>2276</v>
      </c>
      <c r="P3421" s="21" t="s">
        <v>2276</v>
      </c>
      <c r="Q3421" s="21" t="s">
        <v>2276</v>
      </c>
      <c r="R3421" s="21" t="s">
        <v>2276</v>
      </c>
      <c r="S3421" s="21" t="s">
        <v>2276</v>
      </c>
      <c r="T3421" s="21" t="s">
        <v>2276</v>
      </c>
      <c r="U3421" s="21" t="s">
        <v>2276</v>
      </c>
      <c r="V3421" s="21" t="s">
        <v>2276</v>
      </c>
      <c r="W3421" s="21" t="s">
        <v>2276</v>
      </c>
      <c r="X3421" s="204" t="s">
        <v>127</v>
      </c>
      <c r="Y3421" s="204" t="s">
        <v>127</v>
      </c>
      <c r="Z3421" s="21" t="s">
        <v>2276</v>
      </c>
      <c r="AA3421" s="204"/>
      <c r="AB3421" s="204"/>
    </row>
    <row r="3422" spans="1:28" ht="43.5" customHeight="1">
      <c r="A3422" s="156" t="str">
        <f>'Reported burning'!A3422</f>
        <v>378d</v>
      </c>
      <c r="B3422" s="156" t="str">
        <f>'Reported burning'!B3422</f>
        <v>378d.9</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2276</v>
      </c>
      <c r="K3422" s="21" t="s">
        <v>2276</v>
      </c>
      <c r="L3422" s="21" t="s">
        <v>2276</v>
      </c>
      <c r="M3422" s="21" t="s">
        <v>2276</v>
      </c>
      <c r="N3422" s="21" t="s">
        <v>2276</v>
      </c>
      <c r="O3422" s="21" t="s">
        <v>2276</v>
      </c>
      <c r="P3422" s="21" t="s">
        <v>2276</v>
      </c>
      <c r="Q3422" s="21" t="s">
        <v>2276</v>
      </c>
      <c r="R3422" s="21" t="s">
        <v>2276</v>
      </c>
      <c r="S3422" s="21" t="s">
        <v>2276</v>
      </c>
      <c r="T3422" s="21" t="s">
        <v>2276</v>
      </c>
      <c r="U3422" s="21" t="s">
        <v>2276</v>
      </c>
      <c r="V3422" s="21" t="s">
        <v>2276</v>
      </c>
      <c r="W3422" s="21" t="s">
        <v>2276</v>
      </c>
      <c r="X3422" s="204" t="s">
        <v>399</v>
      </c>
      <c r="Y3422" s="204" t="s">
        <v>399</v>
      </c>
      <c r="Z3422" s="21" t="s">
        <v>2276</v>
      </c>
      <c r="AA3422" s="204"/>
      <c r="AB3422" s="204"/>
    </row>
    <row r="3423" spans="1:28" ht="43.5" customHeight="1">
      <c r="A3423" s="156" t="str">
        <f>'Reported burning'!A3423</f>
        <v>378d</v>
      </c>
      <c r="B3423" s="156" t="str">
        <f>'Reported burning'!B3423</f>
        <v>378d.10</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2276</v>
      </c>
      <c r="K3423" s="21" t="s">
        <v>2276</v>
      </c>
      <c r="L3423" s="21" t="s">
        <v>2276</v>
      </c>
      <c r="M3423" s="21" t="s">
        <v>2276</v>
      </c>
      <c r="N3423" s="21" t="s">
        <v>2276</v>
      </c>
      <c r="O3423" s="21" t="s">
        <v>2276</v>
      </c>
      <c r="P3423" s="21" t="s">
        <v>2276</v>
      </c>
      <c r="Q3423" s="21" t="s">
        <v>2276</v>
      </c>
      <c r="R3423" s="21" t="s">
        <v>2276</v>
      </c>
      <c r="S3423" s="21" t="s">
        <v>2276</v>
      </c>
      <c r="T3423" s="21" t="s">
        <v>2276</v>
      </c>
      <c r="U3423" s="21" t="s">
        <v>2276</v>
      </c>
      <c r="V3423" s="21" t="s">
        <v>2276</v>
      </c>
      <c r="W3423" s="21" t="s">
        <v>2276</v>
      </c>
      <c r="X3423" s="204" t="s">
        <v>188</v>
      </c>
      <c r="Y3423" s="204" t="s">
        <v>188</v>
      </c>
      <c r="Z3423" s="21" t="s">
        <v>2276</v>
      </c>
      <c r="AA3423" s="204"/>
      <c r="AB3423" s="204"/>
    </row>
    <row r="3424" spans="1:28" ht="43.5" customHeight="1">
      <c r="A3424" s="156" t="str">
        <f>'Reported burning'!A3424</f>
        <v>378d</v>
      </c>
      <c r="B3424" s="156" t="str">
        <f>'Reported burning'!B3424</f>
        <v>378d.11</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2276</v>
      </c>
      <c r="K3424" s="21" t="s">
        <v>2276</v>
      </c>
      <c r="L3424" s="21" t="s">
        <v>2276</v>
      </c>
      <c r="M3424" s="21" t="s">
        <v>2276</v>
      </c>
      <c r="N3424" s="21" t="s">
        <v>2276</v>
      </c>
      <c r="O3424" s="21" t="s">
        <v>2276</v>
      </c>
      <c r="P3424" s="21" t="s">
        <v>2276</v>
      </c>
      <c r="Q3424" s="21" t="s">
        <v>2276</v>
      </c>
      <c r="R3424" s="21" t="s">
        <v>2276</v>
      </c>
      <c r="S3424" s="21" t="s">
        <v>2276</v>
      </c>
      <c r="T3424" s="21" t="s">
        <v>2276</v>
      </c>
      <c r="U3424" s="21" t="s">
        <v>2276</v>
      </c>
      <c r="V3424" s="21" t="s">
        <v>2276</v>
      </c>
      <c r="W3424" s="21" t="s">
        <v>2276</v>
      </c>
      <c r="X3424" s="204" t="s">
        <v>189</v>
      </c>
      <c r="Y3424" s="204" t="s">
        <v>189</v>
      </c>
      <c r="Z3424" s="21" t="s">
        <v>2276</v>
      </c>
      <c r="AA3424" s="204"/>
      <c r="AB3424" s="204"/>
    </row>
    <row r="3425" spans="1:28" ht="43.5" customHeight="1">
      <c r="A3425" s="156" t="str">
        <f>'Reported burning'!A3425</f>
        <v>378d</v>
      </c>
      <c r="B3425" s="156" t="str">
        <f>'Reported burning'!B3425</f>
        <v>378d.12</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2276</v>
      </c>
      <c r="K3425" s="21" t="s">
        <v>2276</v>
      </c>
      <c r="L3425" s="21" t="s">
        <v>2276</v>
      </c>
      <c r="M3425" s="21" t="s">
        <v>2276</v>
      </c>
      <c r="N3425" s="21" t="s">
        <v>2276</v>
      </c>
      <c r="O3425" s="21" t="s">
        <v>2276</v>
      </c>
      <c r="P3425" s="21" t="s">
        <v>2276</v>
      </c>
      <c r="Q3425" s="21" t="s">
        <v>2276</v>
      </c>
      <c r="R3425" s="21" t="s">
        <v>2276</v>
      </c>
      <c r="S3425" s="21" t="s">
        <v>2276</v>
      </c>
      <c r="T3425" s="21" t="s">
        <v>2276</v>
      </c>
      <c r="U3425" s="21" t="s">
        <v>2276</v>
      </c>
      <c r="V3425" s="21" t="s">
        <v>2276</v>
      </c>
      <c r="W3425" s="21" t="s">
        <v>2276</v>
      </c>
      <c r="X3425" s="204" t="s">
        <v>38</v>
      </c>
      <c r="Y3425" s="204" t="s">
        <v>38</v>
      </c>
      <c r="Z3425" s="21" t="s">
        <v>2276</v>
      </c>
      <c r="AA3425" s="204"/>
      <c r="AB3425" s="204"/>
    </row>
    <row r="3426" spans="1:28" ht="43.5" customHeight="1">
      <c r="A3426" s="156" t="str">
        <f>'Reported burning'!A3426</f>
        <v>378e</v>
      </c>
      <c r="B3426" s="156" t="str">
        <f>'Reported burning'!B3426</f>
        <v>378e.1</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2276</v>
      </c>
      <c r="K3426" s="21" t="s">
        <v>2276</v>
      </c>
      <c r="L3426" s="21" t="s">
        <v>2276</v>
      </c>
      <c r="M3426" s="21" t="s">
        <v>2276</v>
      </c>
      <c r="N3426" s="21" t="s">
        <v>2276</v>
      </c>
      <c r="O3426" s="21" t="s">
        <v>2276</v>
      </c>
      <c r="P3426" s="21" t="s">
        <v>2276</v>
      </c>
      <c r="Q3426" s="21" t="s">
        <v>2276</v>
      </c>
      <c r="R3426" s="21" t="s">
        <v>2276</v>
      </c>
      <c r="S3426" s="21" t="s">
        <v>2276</v>
      </c>
      <c r="T3426" s="21" t="s">
        <v>2276</v>
      </c>
      <c r="U3426" s="21" t="s">
        <v>2276</v>
      </c>
      <c r="V3426" s="21" t="s">
        <v>2276</v>
      </c>
      <c r="W3426" s="21" t="s">
        <v>2276</v>
      </c>
      <c r="X3426" s="204" t="s">
        <v>86</v>
      </c>
      <c r="Y3426" s="204" t="s">
        <v>86</v>
      </c>
      <c r="Z3426" s="21" t="s">
        <v>2276</v>
      </c>
      <c r="AA3426" s="21"/>
      <c r="AB3426" s="204"/>
    </row>
    <row r="3427" spans="1:28" ht="43.5" customHeight="1">
      <c r="A3427" s="156" t="str">
        <f>'Reported burning'!A3427</f>
        <v>378e</v>
      </c>
      <c r="B3427" s="156" t="str">
        <f>'Reported burning'!B3427</f>
        <v>378e.2</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2276</v>
      </c>
      <c r="K3427" s="21" t="s">
        <v>2276</v>
      </c>
      <c r="L3427" s="21" t="s">
        <v>2276</v>
      </c>
      <c r="M3427" s="21" t="s">
        <v>2276</v>
      </c>
      <c r="N3427" s="21" t="s">
        <v>2276</v>
      </c>
      <c r="O3427" s="21" t="s">
        <v>2276</v>
      </c>
      <c r="P3427" s="21" t="s">
        <v>2276</v>
      </c>
      <c r="Q3427" s="21" t="s">
        <v>2276</v>
      </c>
      <c r="R3427" s="21" t="s">
        <v>2276</v>
      </c>
      <c r="S3427" s="21" t="s">
        <v>2276</v>
      </c>
      <c r="T3427" s="21" t="s">
        <v>2276</v>
      </c>
      <c r="U3427" s="21" t="s">
        <v>2276</v>
      </c>
      <c r="V3427" s="21" t="s">
        <v>2276</v>
      </c>
      <c r="W3427" s="21" t="s">
        <v>2276</v>
      </c>
      <c r="X3427" s="204" t="s">
        <v>34</v>
      </c>
      <c r="Y3427" s="204" t="s">
        <v>34</v>
      </c>
      <c r="Z3427" s="21" t="s">
        <v>2276</v>
      </c>
      <c r="AA3427" s="21"/>
      <c r="AB3427" s="204"/>
    </row>
    <row r="3428" spans="1:28" ht="43.5" customHeight="1">
      <c r="A3428" s="156" t="str">
        <f>'Reported burning'!A3428</f>
        <v>378e</v>
      </c>
      <c r="B3428" s="156" t="str">
        <f>'Reported burning'!B3428</f>
        <v>378e.3</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2276</v>
      </c>
      <c r="K3428" s="21" t="s">
        <v>2276</v>
      </c>
      <c r="L3428" s="21" t="s">
        <v>2276</v>
      </c>
      <c r="M3428" s="21" t="s">
        <v>2276</v>
      </c>
      <c r="N3428" s="21" t="s">
        <v>2276</v>
      </c>
      <c r="O3428" s="21" t="s">
        <v>2276</v>
      </c>
      <c r="P3428" s="21" t="s">
        <v>2276</v>
      </c>
      <c r="Q3428" s="21" t="s">
        <v>2276</v>
      </c>
      <c r="R3428" s="21" t="s">
        <v>2276</v>
      </c>
      <c r="S3428" s="21" t="s">
        <v>2276</v>
      </c>
      <c r="T3428" s="21" t="s">
        <v>2276</v>
      </c>
      <c r="U3428" s="21" t="s">
        <v>2276</v>
      </c>
      <c r="V3428" s="21" t="s">
        <v>2276</v>
      </c>
      <c r="W3428" s="21" t="s">
        <v>2276</v>
      </c>
      <c r="X3428" s="204" t="s">
        <v>404</v>
      </c>
      <c r="Y3428" s="204" t="s">
        <v>404</v>
      </c>
      <c r="Z3428" s="21" t="s">
        <v>2276</v>
      </c>
      <c r="AA3428" s="21"/>
      <c r="AB3428" s="204"/>
    </row>
    <row r="3429" spans="1:28" ht="43.5" customHeight="1">
      <c r="A3429" s="156" t="str">
        <f>'Reported burning'!A3429</f>
        <v>378e</v>
      </c>
      <c r="B3429" s="156" t="str">
        <f>'Reported burning'!B3429</f>
        <v>378e.4</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2276</v>
      </c>
      <c r="K3429" s="21" t="s">
        <v>2276</v>
      </c>
      <c r="L3429" s="21" t="s">
        <v>2276</v>
      </c>
      <c r="M3429" s="21" t="s">
        <v>2276</v>
      </c>
      <c r="N3429" s="21" t="s">
        <v>2276</v>
      </c>
      <c r="O3429" s="21" t="s">
        <v>2276</v>
      </c>
      <c r="P3429" s="21" t="s">
        <v>2276</v>
      </c>
      <c r="Q3429" s="21" t="s">
        <v>2276</v>
      </c>
      <c r="R3429" s="21" t="s">
        <v>2276</v>
      </c>
      <c r="S3429" s="21" t="s">
        <v>2276</v>
      </c>
      <c r="T3429" s="21" t="s">
        <v>2276</v>
      </c>
      <c r="U3429" s="21" t="s">
        <v>2276</v>
      </c>
      <c r="V3429" s="21" t="s">
        <v>2276</v>
      </c>
      <c r="W3429" s="21" t="s">
        <v>2276</v>
      </c>
      <c r="X3429" s="204" t="s">
        <v>405</v>
      </c>
      <c r="Y3429" s="204" t="s">
        <v>405</v>
      </c>
      <c r="Z3429" s="21" t="s">
        <v>2276</v>
      </c>
      <c r="AA3429" s="21"/>
      <c r="AB3429" s="204"/>
    </row>
    <row r="3430" spans="1:28" ht="43.5" customHeight="1">
      <c r="A3430" s="156" t="str">
        <f>'Reported burning'!A3430</f>
        <v>378e</v>
      </c>
      <c r="B3430" s="156" t="str">
        <f>'Reported burning'!B3430</f>
        <v>378e.5</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Presence</v>
      </c>
      <c r="I3430" s="5"/>
      <c r="J3430" s="21" t="s">
        <v>2276</v>
      </c>
      <c r="K3430" s="21" t="s">
        <v>2276</v>
      </c>
      <c r="L3430" s="21" t="s">
        <v>2276</v>
      </c>
      <c r="M3430" s="21" t="s">
        <v>2276</v>
      </c>
      <c r="N3430" s="21" t="s">
        <v>2276</v>
      </c>
      <c r="O3430" s="21" t="s">
        <v>2276</v>
      </c>
      <c r="P3430" s="21" t="s">
        <v>2276</v>
      </c>
      <c r="Q3430" s="21" t="s">
        <v>2276</v>
      </c>
      <c r="R3430" s="21" t="s">
        <v>2276</v>
      </c>
      <c r="S3430" s="21" t="s">
        <v>2276</v>
      </c>
      <c r="T3430" s="21" t="s">
        <v>2276</v>
      </c>
      <c r="U3430" s="21" t="s">
        <v>2276</v>
      </c>
      <c r="V3430" s="21" t="s">
        <v>2276</v>
      </c>
      <c r="W3430" s="21" t="s">
        <v>2276</v>
      </c>
      <c r="X3430" s="204" t="s">
        <v>425</v>
      </c>
      <c r="Y3430" s="204" t="s">
        <v>425</v>
      </c>
      <c r="Z3430" s="21" t="s">
        <v>2276</v>
      </c>
      <c r="AA3430" s="21"/>
      <c r="AB3430" s="204"/>
    </row>
    <row r="3431" spans="1:28" ht="43.5" customHeight="1">
      <c r="A3431" s="156" t="str">
        <f>'Reported burning'!A3431</f>
        <v>378e</v>
      </c>
      <c r="B3431" s="156" t="str">
        <f>'Reported burning'!B3431</f>
        <v>378e.6</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Presence</v>
      </c>
      <c r="I3431" s="5"/>
      <c r="J3431" s="21" t="s">
        <v>2276</v>
      </c>
      <c r="K3431" s="21" t="s">
        <v>2276</v>
      </c>
      <c r="L3431" s="21" t="s">
        <v>2276</v>
      </c>
      <c r="M3431" s="21" t="s">
        <v>2276</v>
      </c>
      <c r="N3431" s="21" t="s">
        <v>2276</v>
      </c>
      <c r="O3431" s="21" t="s">
        <v>2276</v>
      </c>
      <c r="P3431" s="21" t="s">
        <v>2276</v>
      </c>
      <c r="Q3431" s="21" t="s">
        <v>2276</v>
      </c>
      <c r="R3431" s="21" t="s">
        <v>2276</v>
      </c>
      <c r="S3431" s="21" t="s">
        <v>2276</v>
      </c>
      <c r="T3431" s="21" t="s">
        <v>2276</v>
      </c>
      <c r="U3431" s="21" t="s">
        <v>2276</v>
      </c>
      <c r="V3431" s="21" t="s">
        <v>2276</v>
      </c>
      <c r="W3431" s="21" t="s">
        <v>2276</v>
      </c>
      <c r="X3431" s="204" t="s">
        <v>68</v>
      </c>
      <c r="Y3431" s="204" t="s">
        <v>68</v>
      </c>
      <c r="Z3431" s="21" t="s">
        <v>2276</v>
      </c>
      <c r="AA3431" s="21"/>
      <c r="AB3431" s="204"/>
    </row>
    <row r="3432" spans="1:28" ht="43.5" customHeight="1">
      <c r="A3432" s="156" t="str">
        <f>'Reported burning'!A3432</f>
        <v>378e</v>
      </c>
      <c r="B3432" s="156" t="str">
        <f>'Reported burning'!B3432</f>
        <v>378e.7</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2276</v>
      </c>
      <c r="K3432" s="21" t="s">
        <v>2276</v>
      </c>
      <c r="L3432" s="21" t="s">
        <v>2276</v>
      </c>
      <c r="M3432" s="21" t="s">
        <v>2276</v>
      </c>
      <c r="N3432" s="21" t="s">
        <v>2276</v>
      </c>
      <c r="O3432" s="21" t="s">
        <v>2276</v>
      </c>
      <c r="P3432" s="21" t="s">
        <v>2276</v>
      </c>
      <c r="Q3432" s="21" t="s">
        <v>2276</v>
      </c>
      <c r="R3432" s="21" t="s">
        <v>2276</v>
      </c>
      <c r="S3432" s="21" t="s">
        <v>2276</v>
      </c>
      <c r="T3432" s="21" t="s">
        <v>2276</v>
      </c>
      <c r="U3432" s="21" t="s">
        <v>2276</v>
      </c>
      <c r="V3432" s="21" t="s">
        <v>2276</v>
      </c>
      <c r="W3432" s="21" t="s">
        <v>2276</v>
      </c>
      <c r="X3432" s="204" t="s">
        <v>35</v>
      </c>
      <c r="Y3432" s="204" t="s">
        <v>35</v>
      </c>
      <c r="Z3432" s="21" t="s">
        <v>2276</v>
      </c>
      <c r="AA3432" s="21"/>
      <c r="AB3432" s="204"/>
    </row>
    <row r="3433" spans="1:28" ht="43.5" customHeight="1">
      <c r="A3433" s="156" t="str">
        <f>'Reported burning'!A3433</f>
        <v>378e</v>
      </c>
      <c r="B3433" s="156" t="str">
        <f>'Reported burning'!B3433</f>
        <v>378e.8</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2276</v>
      </c>
      <c r="K3433" s="21" t="s">
        <v>2276</v>
      </c>
      <c r="L3433" s="21" t="s">
        <v>2276</v>
      </c>
      <c r="M3433" s="21" t="s">
        <v>2276</v>
      </c>
      <c r="N3433" s="21" t="s">
        <v>2276</v>
      </c>
      <c r="O3433" s="21" t="s">
        <v>2276</v>
      </c>
      <c r="P3433" s="21" t="s">
        <v>2276</v>
      </c>
      <c r="Q3433" s="21" t="s">
        <v>2276</v>
      </c>
      <c r="R3433" s="21" t="s">
        <v>2276</v>
      </c>
      <c r="S3433" s="21" t="s">
        <v>2276</v>
      </c>
      <c r="T3433" s="21" t="s">
        <v>2276</v>
      </c>
      <c r="U3433" s="21" t="s">
        <v>2276</v>
      </c>
      <c r="V3433" s="21" t="s">
        <v>2276</v>
      </c>
      <c r="W3433" s="21" t="s">
        <v>2276</v>
      </c>
      <c r="X3433" s="204" t="s">
        <v>127</v>
      </c>
      <c r="Y3433" s="204" t="s">
        <v>127</v>
      </c>
      <c r="Z3433" s="21" t="s">
        <v>2276</v>
      </c>
      <c r="AA3433" s="21"/>
      <c r="AB3433" s="204"/>
    </row>
    <row r="3434" spans="1:28" ht="43.5" customHeight="1">
      <c r="A3434" s="156" t="str">
        <f>'Reported burning'!A3434</f>
        <v>378e</v>
      </c>
      <c r="B3434" s="156" t="str">
        <f>'Reported burning'!B3434</f>
        <v>378e.9</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Presence</v>
      </c>
      <c r="I3434" s="5"/>
      <c r="J3434" s="21" t="s">
        <v>2276</v>
      </c>
      <c r="K3434" s="21" t="s">
        <v>2276</v>
      </c>
      <c r="L3434" s="21" t="s">
        <v>2276</v>
      </c>
      <c r="M3434" s="21" t="s">
        <v>2276</v>
      </c>
      <c r="N3434" s="21" t="s">
        <v>2276</v>
      </c>
      <c r="O3434" s="21" t="s">
        <v>2276</v>
      </c>
      <c r="P3434" s="21" t="s">
        <v>2276</v>
      </c>
      <c r="Q3434" s="21" t="s">
        <v>2276</v>
      </c>
      <c r="R3434" s="21" t="s">
        <v>2276</v>
      </c>
      <c r="S3434" s="21" t="s">
        <v>2276</v>
      </c>
      <c r="T3434" s="21" t="s">
        <v>2276</v>
      </c>
      <c r="U3434" s="21" t="s">
        <v>2276</v>
      </c>
      <c r="V3434" s="21" t="s">
        <v>2276</v>
      </c>
      <c r="W3434" s="21" t="s">
        <v>2276</v>
      </c>
      <c r="X3434" s="204" t="s">
        <v>399</v>
      </c>
      <c r="Y3434" s="204" t="s">
        <v>399</v>
      </c>
      <c r="Z3434" s="21" t="s">
        <v>2276</v>
      </c>
      <c r="AA3434" s="21"/>
      <c r="AB3434" s="204"/>
    </row>
    <row r="3435" spans="1:28" ht="43.5" customHeight="1">
      <c r="A3435" s="156" t="str">
        <f>'Reported burning'!A3435</f>
        <v>378e</v>
      </c>
      <c r="B3435" s="156" t="str">
        <f>'Reported burning'!B3435</f>
        <v>378e.10</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Presence</v>
      </c>
      <c r="I3435" s="5"/>
      <c r="J3435" s="21" t="s">
        <v>2276</v>
      </c>
      <c r="K3435" s="21" t="s">
        <v>2276</v>
      </c>
      <c r="L3435" s="21" t="s">
        <v>2276</v>
      </c>
      <c r="M3435" s="21" t="s">
        <v>2276</v>
      </c>
      <c r="N3435" s="21" t="s">
        <v>2276</v>
      </c>
      <c r="O3435" s="21" t="s">
        <v>2276</v>
      </c>
      <c r="P3435" s="21" t="s">
        <v>2276</v>
      </c>
      <c r="Q3435" s="21" t="s">
        <v>2276</v>
      </c>
      <c r="R3435" s="21" t="s">
        <v>2276</v>
      </c>
      <c r="S3435" s="21" t="s">
        <v>2276</v>
      </c>
      <c r="T3435" s="21" t="s">
        <v>2276</v>
      </c>
      <c r="U3435" s="21" t="s">
        <v>2276</v>
      </c>
      <c r="V3435" s="21" t="s">
        <v>2276</v>
      </c>
      <c r="W3435" s="21" t="s">
        <v>2276</v>
      </c>
      <c r="X3435" s="204" t="s">
        <v>188</v>
      </c>
      <c r="Y3435" s="204" t="s">
        <v>188</v>
      </c>
      <c r="Z3435" s="21" t="s">
        <v>2276</v>
      </c>
      <c r="AA3435" s="204"/>
      <c r="AB3435" s="204"/>
    </row>
    <row r="3436" spans="1:28" ht="43.5" customHeight="1">
      <c r="A3436" s="156" t="str">
        <f>'Reported burning'!A3436</f>
        <v>378e</v>
      </c>
      <c r="B3436" s="156" t="str">
        <f>'Reported burning'!B3436</f>
        <v>378e.11</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2276</v>
      </c>
      <c r="K3436" s="21" t="s">
        <v>2276</v>
      </c>
      <c r="L3436" s="21" t="s">
        <v>2276</v>
      </c>
      <c r="M3436" s="21" t="s">
        <v>2276</v>
      </c>
      <c r="N3436" s="21" t="s">
        <v>2276</v>
      </c>
      <c r="O3436" s="21" t="s">
        <v>2276</v>
      </c>
      <c r="P3436" s="21" t="s">
        <v>2276</v>
      </c>
      <c r="Q3436" s="21" t="s">
        <v>2276</v>
      </c>
      <c r="R3436" s="21" t="s">
        <v>2276</v>
      </c>
      <c r="S3436" s="21" t="s">
        <v>2276</v>
      </c>
      <c r="T3436" s="21" t="s">
        <v>2276</v>
      </c>
      <c r="U3436" s="21" t="s">
        <v>2276</v>
      </c>
      <c r="V3436" s="21" t="s">
        <v>2276</v>
      </c>
      <c r="W3436" s="21" t="s">
        <v>2276</v>
      </c>
      <c r="X3436" s="204" t="s">
        <v>189</v>
      </c>
      <c r="Y3436" s="204" t="s">
        <v>189</v>
      </c>
      <c r="Z3436" s="21" t="s">
        <v>2276</v>
      </c>
      <c r="AA3436" s="204"/>
      <c r="AB3436" s="204"/>
    </row>
    <row r="3437" spans="1:28" ht="43.5" customHeight="1">
      <c r="A3437" s="156" t="str">
        <f>'Reported burning'!A3437</f>
        <v>378e</v>
      </c>
      <c r="B3437" s="156" t="str">
        <f>'Reported burning'!B3437</f>
        <v>378e.12</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2276</v>
      </c>
      <c r="K3437" s="21" t="s">
        <v>2276</v>
      </c>
      <c r="L3437" s="21" t="s">
        <v>2276</v>
      </c>
      <c r="M3437" s="21" t="s">
        <v>2276</v>
      </c>
      <c r="N3437" s="21" t="s">
        <v>2276</v>
      </c>
      <c r="O3437" s="21" t="s">
        <v>2276</v>
      </c>
      <c r="P3437" s="21" t="s">
        <v>2276</v>
      </c>
      <c r="Q3437" s="21" t="s">
        <v>2276</v>
      </c>
      <c r="R3437" s="21" t="s">
        <v>2276</v>
      </c>
      <c r="S3437" s="21" t="s">
        <v>2276</v>
      </c>
      <c r="T3437" s="21" t="s">
        <v>2276</v>
      </c>
      <c r="U3437" s="21" t="s">
        <v>2276</v>
      </c>
      <c r="V3437" s="21" t="s">
        <v>2276</v>
      </c>
      <c r="W3437" s="21" t="s">
        <v>2276</v>
      </c>
      <c r="X3437" s="204" t="s">
        <v>38</v>
      </c>
      <c r="Y3437" s="204" t="s">
        <v>38</v>
      </c>
      <c r="Z3437" s="21" t="s">
        <v>2276</v>
      </c>
      <c r="AA3437" s="204"/>
      <c r="AB3437" s="204"/>
    </row>
    <row r="3438" spans="1:28" ht="43.5" customHeight="1">
      <c r="A3438" s="156" t="str">
        <f>'Reported burning'!A3438</f>
        <v>378f</v>
      </c>
      <c r="B3438" s="156" t="str">
        <f>'Reported burning'!B3438</f>
        <v>378f.1</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2276</v>
      </c>
      <c r="K3438" s="21" t="s">
        <v>2276</v>
      </c>
      <c r="L3438" s="21" t="s">
        <v>2276</v>
      </c>
      <c r="M3438" s="21" t="s">
        <v>2276</v>
      </c>
      <c r="N3438" s="21" t="s">
        <v>2276</v>
      </c>
      <c r="O3438" s="21" t="s">
        <v>2276</v>
      </c>
      <c r="P3438" s="21" t="s">
        <v>2276</v>
      </c>
      <c r="Q3438" s="21" t="s">
        <v>2276</v>
      </c>
      <c r="R3438" s="21" t="s">
        <v>2276</v>
      </c>
      <c r="S3438" s="21" t="s">
        <v>2276</v>
      </c>
      <c r="T3438" s="21" t="s">
        <v>2276</v>
      </c>
      <c r="U3438" s="21" t="s">
        <v>2276</v>
      </c>
      <c r="V3438" s="21" t="s">
        <v>2276</v>
      </c>
      <c r="W3438" s="21" t="s">
        <v>2276</v>
      </c>
      <c r="X3438" s="204" t="s">
        <v>86</v>
      </c>
      <c r="Y3438" s="204" t="s">
        <v>86</v>
      </c>
      <c r="Z3438" s="21" t="s">
        <v>2276</v>
      </c>
      <c r="AA3438" s="21"/>
      <c r="AB3438" s="204"/>
    </row>
    <row r="3439" spans="1:28" ht="43.5" customHeight="1">
      <c r="A3439" s="156" t="str">
        <f>'Reported burning'!A3439</f>
        <v>378f</v>
      </c>
      <c r="B3439" s="156" t="str">
        <f>'Reported burning'!B3439</f>
        <v>378f.2</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2276</v>
      </c>
      <c r="K3439" s="21" t="s">
        <v>2276</v>
      </c>
      <c r="L3439" s="21" t="s">
        <v>2276</v>
      </c>
      <c r="M3439" s="21" t="s">
        <v>2276</v>
      </c>
      <c r="N3439" s="21" t="s">
        <v>2276</v>
      </c>
      <c r="O3439" s="21" t="s">
        <v>2276</v>
      </c>
      <c r="P3439" s="21" t="s">
        <v>2276</v>
      </c>
      <c r="Q3439" s="21" t="s">
        <v>2276</v>
      </c>
      <c r="R3439" s="21" t="s">
        <v>2276</v>
      </c>
      <c r="S3439" s="21" t="s">
        <v>2276</v>
      </c>
      <c r="T3439" s="21" t="s">
        <v>2276</v>
      </c>
      <c r="U3439" s="21" t="s">
        <v>2276</v>
      </c>
      <c r="V3439" s="21" t="s">
        <v>2276</v>
      </c>
      <c r="W3439" s="21" t="s">
        <v>2276</v>
      </c>
      <c r="X3439" s="204" t="s">
        <v>34</v>
      </c>
      <c r="Y3439" s="204" t="s">
        <v>34</v>
      </c>
      <c r="Z3439" s="21" t="s">
        <v>2276</v>
      </c>
      <c r="AA3439" s="21"/>
      <c r="AB3439" s="204"/>
    </row>
    <row r="3440" spans="1:28" ht="43.5" customHeight="1">
      <c r="A3440" s="156" t="str">
        <f>'Reported burning'!A3440</f>
        <v>378f</v>
      </c>
      <c r="B3440" s="156" t="str">
        <f>'Reported burning'!B3440</f>
        <v>378f.3</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2276</v>
      </c>
      <c r="K3440" s="21" t="s">
        <v>2276</v>
      </c>
      <c r="L3440" s="21" t="s">
        <v>2276</v>
      </c>
      <c r="M3440" s="21" t="s">
        <v>2276</v>
      </c>
      <c r="N3440" s="21" t="s">
        <v>2276</v>
      </c>
      <c r="O3440" s="21" t="s">
        <v>2276</v>
      </c>
      <c r="P3440" s="21" t="s">
        <v>2276</v>
      </c>
      <c r="Q3440" s="21" t="s">
        <v>2276</v>
      </c>
      <c r="R3440" s="21" t="s">
        <v>2276</v>
      </c>
      <c r="S3440" s="21" t="s">
        <v>2276</v>
      </c>
      <c r="T3440" s="21" t="s">
        <v>2276</v>
      </c>
      <c r="U3440" s="21" t="s">
        <v>2276</v>
      </c>
      <c r="V3440" s="21" t="s">
        <v>2276</v>
      </c>
      <c r="W3440" s="21" t="s">
        <v>2276</v>
      </c>
      <c r="X3440" s="204" t="s">
        <v>404</v>
      </c>
      <c r="Y3440" s="204" t="s">
        <v>404</v>
      </c>
      <c r="Z3440" s="21" t="s">
        <v>2276</v>
      </c>
      <c r="AA3440" s="21"/>
      <c r="AB3440" s="204"/>
    </row>
    <row r="3441" spans="1:28" ht="43.5" customHeight="1">
      <c r="A3441" s="156" t="str">
        <f>'Reported burning'!A3441</f>
        <v>378f</v>
      </c>
      <c r="B3441" s="156" t="str">
        <f>'Reported burning'!B3441</f>
        <v>378f.4</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2276</v>
      </c>
      <c r="K3441" s="21" t="s">
        <v>2276</v>
      </c>
      <c r="L3441" s="21" t="s">
        <v>2276</v>
      </c>
      <c r="M3441" s="21" t="s">
        <v>2276</v>
      </c>
      <c r="N3441" s="21" t="s">
        <v>2276</v>
      </c>
      <c r="O3441" s="21" t="s">
        <v>2276</v>
      </c>
      <c r="P3441" s="21" t="s">
        <v>2276</v>
      </c>
      <c r="Q3441" s="21" t="s">
        <v>2276</v>
      </c>
      <c r="R3441" s="21" t="s">
        <v>2276</v>
      </c>
      <c r="S3441" s="21" t="s">
        <v>2276</v>
      </c>
      <c r="T3441" s="21" t="s">
        <v>2276</v>
      </c>
      <c r="U3441" s="21" t="s">
        <v>2276</v>
      </c>
      <c r="V3441" s="21" t="s">
        <v>2276</v>
      </c>
      <c r="W3441" s="21" t="s">
        <v>2276</v>
      </c>
      <c r="X3441" s="204" t="s">
        <v>405</v>
      </c>
      <c r="Y3441" s="204" t="s">
        <v>405</v>
      </c>
      <c r="Z3441" s="21" t="s">
        <v>2276</v>
      </c>
      <c r="AA3441" s="21"/>
      <c r="AB3441" s="204"/>
    </row>
    <row r="3442" spans="1:28" ht="43.5" customHeight="1">
      <c r="A3442" s="156" t="str">
        <f>'Reported burning'!A3442</f>
        <v>378f</v>
      </c>
      <c r="B3442" s="156" t="str">
        <f>'Reported burning'!B3442</f>
        <v>378f.5</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2276</v>
      </c>
      <c r="K3442" s="21" t="s">
        <v>2276</v>
      </c>
      <c r="L3442" s="21" t="s">
        <v>2276</v>
      </c>
      <c r="M3442" s="21" t="s">
        <v>2276</v>
      </c>
      <c r="N3442" s="21" t="s">
        <v>2276</v>
      </c>
      <c r="O3442" s="21" t="s">
        <v>2276</v>
      </c>
      <c r="P3442" s="21" t="s">
        <v>2276</v>
      </c>
      <c r="Q3442" s="21" t="s">
        <v>2276</v>
      </c>
      <c r="R3442" s="21" t="s">
        <v>2276</v>
      </c>
      <c r="S3442" s="21" t="s">
        <v>2276</v>
      </c>
      <c r="T3442" s="21" t="s">
        <v>2276</v>
      </c>
      <c r="U3442" s="21" t="s">
        <v>2276</v>
      </c>
      <c r="V3442" s="21" t="s">
        <v>2276</v>
      </c>
      <c r="W3442" s="21" t="s">
        <v>2276</v>
      </c>
      <c r="X3442" s="204" t="s">
        <v>425</v>
      </c>
      <c r="Y3442" s="204" t="s">
        <v>425</v>
      </c>
      <c r="Z3442" s="21" t="s">
        <v>2276</v>
      </c>
      <c r="AA3442" s="21"/>
      <c r="AB3442" s="204"/>
    </row>
    <row r="3443" spans="1:28" ht="43.5" customHeight="1">
      <c r="A3443" s="156" t="str">
        <f>'Reported burning'!A3443</f>
        <v>378f</v>
      </c>
      <c r="B3443" s="156" t="str">
        <f>'Reported burning'!B3443</f>
        <v>378f.6</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2276</v>
      </c>
      <c r="K3443" s="21" t="s">
        <v>2276</v>
      </c>
      <c r="L3443" s="21" t="s">
        <v>2276</v>
      </c>
      <c r="M3443" s="21" t="s">
        <v>2276</v>
      </c>
      <c r="N3443" s="21" t="s">
        <v>2276</v>
      </c>
      <c r="O3443" s="21" t="s">
        <v>2276</v>
      </c>
      <c r="P3443" s="21" t="s">
        <v>2276</v>
      </c>
      <c r="Q3443" s="21" t="s">
        <v>2276</v>
      </c>
      <c r="R3443" s="21" t="s">
        <v>2276</v>
      </c>
      <c r="S3443" s="21" t="s">
        <v>2276</v>
      </c>
      <c r="T3443" s="21" t="s">
        <v>2276</v>
      </c>
      <c r="U3443" s="21" t="s">
        <v>2276</v>
      </c>
      <c r="V3443" s="21" t="s">
        <v>2276</v>
      </c>
      <c r="W3443" s="21" t="s">
        <v>2276</v>
      </c>
      <c r="X3443" s="204" t="s">
        <v>68</v>
      </c>
      <c r="Y3443" s="204" t="s">
        <v>68</v>
      </c>
      <c r="Z3443" s="21" t="s">
        <v>2276</v>
      </c>
      <c r="AA3443" s="21"/>
      <c r="AB3443" s="204"/>
    </row>
    <row r="3444" spans="1:28" ht="43.5" customHeight="1">
      <c r="A3444" s="156" t="str">
        <f>'Reported burning'!A3444</f>
        <v>378f</v>
      </c>
      <c r="B3444" s="156" t="str">
        <f>'Reported burning'!B3444</f>
        <v>378f.7</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2276</v>
      </c>
      <c r="K3444" s="21" t="s">
        <v>2276</v>
      </c>
      <c r="L3444" s="21" t="s">
        <v>2276</v>
      </c>
      <c r="M3444" s="21" t="s">
        <v>2276</v>
      </c>
      <c r="N3444" s="21" t="s">
        <v>2276</v>
      </c>
      <c r="O3444" s="21" t="s">
        <v>2276</v>
      </c>
      <c r="P3444" s="21" t="s">
        <v>2276</v>
      </c>
      <c r="Q3444" s="21" t="s">
        <v>2276</v>
      </c>
      <c r="R3444" s="21" t="s">
        <v>2276</v>
      </c>
      <c r="S3444" s="21" t="s">
        <v>2276</v>
      </c>
      <c r="T3444" s="21" t="s">
        <v>2276</v>
      </c>
      <c r="U3444" s="21" t="s">
        <v>2276</v>
      </c>
      <c r="V3444" s="21" t="s">
        <v>2276</v>
      </c>
      <c r="W3444" s="21" t="s">
        <v>2276</v>
      </c>
      <c r="X3444" s="204" t="s">
        <v>35</v>
      </c>
      <c r="Y3444" s="204" t="s">
        <v>35</v>
      </c>
      <c r="Z3444" s="21" t="s">
        <v>2276</v>
      </c>
      <c r="AA3444" s="21"/>
      <c r="AB3444" s="204"/>
    </row>
    <row r="3445" spans="1:28" ht="43.5" customHeight="1">
      <c r="A3445" s="156" t="str">
        <f>'Reported burning'!A3445</f>
        <v>378f</v>
      </c>
      <c r="B3445" s="156" t="str">
        <f>'Reported burning'!B3445</f>
        <v>378f.8</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2276</v>
      </c>
      <c r="K3445" s="21" t="s">
        <v>2276</v>
      </c>
      <c r="L3445" s="21" t="s">
        <v>2276</v>
      </c>
      <c r="M3445" s="21" t="s">
        <v>2276</v>
      </c>
      <c r="N3445" s="21" t="s">
        <v>2276</v>
      </c>
      <c r="O3445" s="21" t="s">
        <v>2276</v>
      </c>
      <c r="P3445" s="21" t="s">
        <v>2276</v>
      </c>
      <c r="Q3445" s="21" t="s">
        <v>2276</v>
      </c>
      <c r="R3445" s="21" t="s">
        <v>2276</v>
      </c>
      <c r="S3445" s="21" t="s">
        <v>2276</v>
      </c>
      <c r="T3445" s="21" t="s">
        <v>2276</v>
      </c>
      <c r="U3445" s="21" t="s">
        <v>2276</v>
      </c>
      <c r="V3445" s="21" t="s">
        <v>2276</v>
      </c>
      <c r="W3445" s="21" t="s">
        <v>2276</v>
      </c>
      <c r="X3445" s="204" t="s">
        <v>127</v>
      </c>
      <c r="Y3445" s="204" t="s">
        <v>127</v>
      </c>
      <c r="Z3445" s="21" t="s">
        <v>2276</v>
      </c>
      <c r="AA3445" s="21"/>
      <c r="AB3445" s="204"/>
    </row>
    <row r="3446" spans="1:28" ht="43.5" customHeight="1">
      <c r="A3446" s="156" t="str">
        <f>'Reported burning'!A3446</f>
        <v>378f</v>
      </c>
      <c r="B3446" s="156" t="str">
        <f>'Reported burning'!B3446</f>
        <v>378f.9</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Presence</v>
      </c>
      <c r="I3446" s="5"/>
      <c r="J3446" s="21" t="s">
        <v>2276</v>
      </c>
      <c r="K3446" s="21" t="s">
        <v>2276</v>
      </c>
      <c r="L3446" s="21" t="s">
        <v>2276</v>
      </c>
      <c r="M3446" s="21" t="s">
        <v>2276</v>
      </c>
      <c r="N3446" s="21" t="s">
        <v>2276</v>
      </c>
      <c r="O3446" s="21" t="s">
        <v>2276</v>
      </c>
      <c r="P3446" s="21" t="s">
        <v>2276</v>
      </c>
      <c r="Q3446" s="21" t="s">
        <v>2276</v>
      </c>
      <c r="R3446" s="21" t="s">
        <v>2276</v>
      </c>
      <c r="S3446" s="21" t="s">
        <v>2276</v>
      </c>
      <c r="T3446" s="21" t="s">
        <v>2276</v>
      </c>
      <c r="U3446" s="21" t="s">
        <v>2276</v>
      </c>
      <c r="V3446" s="21" t="s">
        <v>2276</v>
      </c>
      <c r="W3446" s="21" t="s">
        <v>2276</v>
      </c>
      <c r="X3446" s="204" t="s">
        <v>399</v>
      </c>
      <c r="Y3446" s="204" t="s">
        <v>399</v>
      </c>
      <c r="Z3446" s="21" t="s">
        <v>2276</v>
      </c>
      <c r="AA3446" s="21"/>
      <c r="AB3446" s="204"/>
    </row>
    <row r="3447" spans="1:28" ht="43.5" customHeight="1">
      <c r="A3447" s="156" t="str">
        <f>'Reported burning'!A3447</f>
        <v>378f</v>
      </c>
      <c r="B3447" s="156" t="str">
        <f>'Reported burning'!B3447</f>
        <v>378f.10</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Presence</v>
      </c>
      <c r="I3447" s="5"/>
      <c r="J3447" s="21" t="s">
        <v>2276</v>
      </c>
      <c r="K3447" s="21" t="s">
        <v>2276</v>
      </c>
      <c r="L3447" s="21" t="s">
        <v>2276</v>
      </c>
      <c r="M3447" s="21" t="s">
        <v>2276</v>
      </c>
      <c r="N3447" s="21" t="s">
        <v>2276</v>
      </c>
      <c r="O3447" s="21" t="s">
        <v>2276</v>
      </c>
      <c r="P3447" s="21" t="s">
        <v>2276</v>
      </c>
      <c r="Q3447" s="21" t="s">
        <v>2276</v>
      </c>
      <c r="R3447" s="21" t="s">
        <v>2276</v>
      </c>
      <c r="S3447" s="21" t="s">
        <v>2276</v>
      </c>
      <c r="T3447" s="21" t="s">
        <v>2276</v>
      </c>
      <c r="U3447" s="21" t="s">
        <v>2276</v>
      </c>
      <c r="V3447" s="21" t="s">
        <v>2276</v>
      </c>
      <c r="W3447" s="21" t="s">
        <v>2276</v>
      </c>
      <c r="X3447" s="204" t="s">
        <v>188</v>
      </c>
      <c r="Y3447" s="204" t="s">
        <v>188</v>
      </c>
      <c r="Z3447" s="21" t="s">
        <v>2276</v>
      </c>
      <c r="AA3447" s="204"/>
      <c r="AB3447" s="204"/>
    </row>
    <row r="3448" spans="1:28" ht="43.5" customHeight="1">
      <c r="A3448" s="156" t="str">
        <f>'Reported burning'!A3448</f>
        <v>378f</v>
      </c>
      <c r="B3448" s="156" t="str">
        <f>'Reported burning'!B3448</f>
        <v>378f.11</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Presence</v>
      </c>
      <c r="I3448" s="5"/>
      <c r="J3448" s="21" t="s">
        <v>2276</v>
      </c>
      <c r="K3448" s="21" t="s">
        <v>2276</v>
      </c>
      <c r="L3448" s="21" t="s">
        <v>2276</v>
      </c>
      <c r="M3448" s="21" t="s">
        <v>2276</v>
      </c>
      <c r="N3448" s="21" t="s">
        <v>2276</v>
      </c>
      <c r="O3448" s="21" t="s">
        <v>2276</v>
      </c>
      <c r="P3448" s="21" t="s">
        <v>2276</v>
      </c>
      <c r="Q3448" s="21" t="s">
        <v>2276</v>
      </c>
      <c r="R3448" s="21" t="s">
        <v>2276</v>
      </c>
      <c r="S3448" s="21" t="s">
        <v>2276</v>
      </c>
      <c r="T3448" s="21" t="s">
        <v>2276</v>
      </c>
      <c r="U3448" s="21" t="s">
        <v>2276</v>
      </c>
      <c r="V3448" s="21" t="s">
        <v>2276</v>
      </c>
      <c r="W3448" s="21" t="s">
        <v>2276</v>
      </c>
      <c r="X3448" s="204" t="s">
        <v>189</v>
      </c>
      <c r="Y3448" s="204" t="s">
        <v>189</v>
      </c>
      <c r="Z3448" s="21" t="s">
        <v>2276</v>
      </c>
      <c r="AA3448" s="204"/>
      <c r="AB3448" s="204"/>
    </row>
    <row r="3449" spans="1:28" ht="43.5" customHeight="1">
      <c r="A3449" s="156" t="str">
        <f>'Reported burning'!A3449</f>
        <v>378f</v>
      </c>
      <c r="B3449" s="156" t="str">
        <f>'Reported burning'!B3449</f>
        <v>378f.12</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2276</v>
      </c>
      <c r="K3449" s="21" t="s">
        <v>2276</v>
      </c>
      <c r="L3449" s="21" t="s">
        <v>2276</v>
      </c>
      <c r="M3449" s="21" t="s">
        <v>2276</v>
      </c>
      <c r="N3449" s="21" t="s">
        <v>2276</v>
      </c>
      <c r="O3449" s="21" t="s">
        <v>2276</v>
      </c>
      <c r="P3449" s="21" t="s">
        <v>2276</v>
      </c>
      <c r="Q3449" s="21" t="s">
        <v>2276</v>
      </c>
      <c r="R3449" s="21" t="s">
        <v>2276</v>
      </c>
      <c r="S3449" s="21" t="s">
        <v>2276</v>
      </c>
      <c r="T3449" s="21" t="s">
        <v>2276</v>
      </c>
      <c r="U3449" s="21" t="s">
        <v>2276</v>
      </c>
      <c r="V3449" s="21" t="s">
        <v>2276</v>
      </c>
      <c r="W3449" s="21" t="s">
        <v>2276</v>
      </c>
      <c r="X3449" s="204" t="s">
        <v>38</v>
      </c>
      <c r="Y3449" s="204" t="s">
        <v>38</v>
      </c>
      <c r="Z3449" s="21" t="s">
        <v>2276</v>
      </c>
      <c r="AA3449" s="204"/>
      <c r="AB3449" s="204"/>
    </row>
    <row r="3450" spans="1:28" ht="43.5" customHeight="1">
      <c r="A3450" s="156" t="str">
        <f>'Reported burning'!A3450</f>
        <v>378g</v>
      </c>
      <c r="B3450" s="156" t="str">
        <f>'Reported burning'!B3450</f>
        <v>378g.1</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2276</v>
      </c>
      <c r="K3450" s="21" t="s">
        <v>2276</v>
      </c>
      <c r="L3450" s="21" t="s">
        <v>2276</v>
      </c>
      <c r="M3450" s="21" t="s">
        <v>2276</v>
      </c>
      <c r="N3450" s="21" t="s">
        <v>2276</v>
      </c>
      <c r="O3450" s="21" t="s">
        <v>2276</v>
      </c>
      <c r="P3450" s="21" t="s">
        <v>2276</v>
      </c>
      <c r="Q3450" s="21" t="s">
        <v>2276</v>
      </c>
      <c r="R3450" s="21" t="s">
        <v>2276</v>
      </c>
      <c r="S3450" s="21" t="s">
        <v>2276</v>
      </c>
      <c r="T3450" s="21" t="s">
        <v>2276</v>
      </c>
      <c r="U3450" s="21" t="s">
        <v>2276</v>
      </c>
      <c r="V3450" s="21" t="s">
        <v>2276</v>
      </c>
      <c r="W3450" s="21" t="s">
        <v>2276</v>
      </c>
      <c r="X3450" s="204" t="s">
        <v>86</v>
      </c>
      <c r="Y3450" s="204" t="s">
        <v>86</v>
      </c>
      <c r="Z3450" s="21" t="s">
        <v>2276</v>
      </c>
      <c r="AA3450" s="21"/>
      <c r="AB3450" s="204"/>
    </row>
    <row r="3451" spans="1:28" ht="43.5" customHeight="1">
      <c r="A3451" s="156" t="str">
        <f>'Reported burning'!A3451</f>
        <v>378g</v>
      </c>
      <c r="B3451" s="156" t="str">
        <f>'Reported burning'!B3451</f>
        <v>378g.2</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2276</v>
      </c>
      <c r="K3451" s="21" t="s">
        <v>2276</v>
      </c>
      <c r="L3451" s="21" t="s">
        <v>2276</v>
      </c>
      <c r="M3451" s="21" t="s">
        <v>2276</v>
      </c>
      <c r="N3451" s="21" t="s">
        <v>2276</v>
      </c>
      <c r="O3451" s="21" t="s">
        <v>2276</v>
      </c>
      <c r="P3451" s="21" t="s">
        <v>2276</v>
      </c>
      <c r="Q3451" s="21" t="s">
        <v>2276</v>
      </c>
      <c r="R3451" s="21" t="s">
        <v>2276</v>
      </c>
      <c r="S3451" s="21" t="s">
        <v>2276</v>
      </c>
      <c r="T3451" s="21" t="s">
        <v>2276</v>
      </c>
      <c r="U3451" s="21" t="s">
        <v>2276</v>
      </c>
      <c r="V3451" s="21" t="s">
        <v>2276</v>
      </c>
      <c r="W3451" s="21" t="s">
        <v>2276</v>
      </c>
      <c r="X3451" s="204" t="s">
        <v>34</v>
      </c>
      <c r="Y3451" s="204" t="s">
        <v>34</v>
      </c>
      <c r="Z3451" s="21" t="s">
        <v>2276</v>
      </c>
      <c r="AA3451" s="21"/>
      <c r="AB3451" s="204"/>
    </row>
    <row r="3452" spans="1:28" ht="43.5" customHeight="1">
      <c r="A3452" s="156" t="str">
        <f>'Reported burning'!A3452</f>
        <v>378g</v>
      </c>
      <c r="B3452" s="156" t="str">
        <f>'Reported burning'!B3452</f>
        <v>378g.3</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2276</v>
      </c>
      <c r="K3452" s="21" t="s">
        <v>2276</v>
      </c>
      <c r="L3452" s="21" t="s">
        <v>2276</v>
      </c>
      <c r="M3452" s="21" t="s">
        <v>2276</v>
      </c>
      <c r="N3452" s="21" t="s">
        <v>2276</v>
      </c>
      <c r="O3452" s="21" t="s">
        <v>2276</v>
      </c>
      <c r="P3452" s="21" t="s">
        <v>2276</v>
      </c>
      <c r="Q3452" s="21" t="s">
        <v>2276</v>
      </c>
      <c r="R3452" s="21" t="s">
        <v>2276</v>
      </c>
      <c r="S3452" s="21" t="s">
        <v>2276</v>
      </c>
      <c r="T3452" s="21" t="s">
        <v>2276</v>
      </c>
      <c r="U3452" s="21" t="s">
        <v>2276</v>
      </c>
      <c r="V3452" s="21" t="s">
        <v>2276</v>
      </c>
      <c r="W3452" s="21" t="s">
        <v>2276</v>
      </c>
      <c r="X3452" s="204" t="s">
        <v>404</v>
      </c>
      <c r="Y3452" s="204" t="s">
        <v>404</v>
      </c>
      <c r="Z3452" s="21" t="s">
        <v>2276</v>
      </c>
      <c r="AA3452" s="21"/>
      <c r="AB3452" s="204"/>
    </row>
    <row r="3453" spans="1:28" ht="43.5" customHeight="1">
      <c r="A3453" s="156" t="str">
        <f>'Reported burning'!A3453</f>
        <v>378g</v>
      </c>
      <c r="B3453" s="156" t="str">
        <f>'Reported burning'!B3453</f>
        <v>378g.4</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2276</v>
      </c>
      <c r="K3453" s="21" t="s">
        <v>2276</v>
      </c>
      <c r="L3453" s="21" t="s">
        <v>2276</v>
      </c>
      <c r="M3453" s="21" t="s">
        <v>2276</v>
      </c>
      <c r="N3453" s="21" t="s">
        <v>2276</v>
      </c>
      <c r="O3453" s="21" t="s">
        <v>2276</v>
      </c>
      <c r="P3453" s="21" t="s">
        <v>2276</v>
      </c>
      <c r="Q3453" s="21" t="s">
        <v>2276</v>
      </c>
      <c r="R3453" s="21" t="s">
        <v>2276</v>
      </c>
      <c r="S3453" s="21" t="s">
        <v>2276</v>
      </c>
      <c r="T3453" s="21" t="s">
        <v>2276</v>
      </c>
      <c r="U3453" s="21" t="s">
        <v>2276</v>
      </c>
      <c r="V3453" s="21" t="s">
        <v>2276</v>
      </c>
      <c r="W3453" s="21" t="s">
        <v>2276</v>
      </c>
      <c r="X3453" s="204" t="s">
        <v>405</v>
      </c>
      <c r="Y3453" s="204" t="s">
        <v>405</v>
      </c>
      <c r="Z3453" s="21" t="s">
        <v>2276</v>
      </c>
      <c r="AA3453" s="21"/>
      <c r="AB3453" s="204"/>
    </row>
    <row r="3454" spans="1:28" ht="43.5" customHeight="1">
      <c r="A3454" s="156" t="str">
        <f>'Reported burning'!A3454</f>
        <v>378g</v>
      </c>
      <c r="B3454" s="156" t="str">
        <f>'Reported burning'!B3454</f>
        <v>378g.5</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2276</v>
      </c>
      <c r="K3454" s="21" t="s">
        <v>2276</v>
      </c>
      <c r="L3454" s="21" t="s">
        <v>2276</v>
      </c>
      <c r="M3454" s="21" t="s">
        <v>2276</v>
      </c>
      <c r="N3454" s="21" t="s">
        <v>2276</v>
      </c>
      <c r="O3454" s="21" t="s">
        <v>2276</v>
      </c>
      <c r="P3454" s="21" t="s">
        <v>2276</v>
      </c>
      <c r="Q3454" s="21" t="s">
        <v>2276</v>
      </c>
      <c r="R3454" s="21" t="s">
        <v>2276</v>
      </c>
      <c r="S3454" s="21" t="s">
        <v>2276</v>
      </c>
      <c r="T3454" s="21" t="s">
        <v>2276</v>
      </c>
      <c r="U3454" s="21" t="s">
        <v>2276</v>
      </c>
      <c r="V3454" s="21" t="s">
        <v>2276</v>
      </c>
      <c r="W3454" s="21" t="s">
        <v>2276</v>
      </c>
      <c r="X3454" s="204" t="s">
        <v>425</v>
      </c>
      <c r="Y3454" s="204" t="s">
        <v>425</v>
      </c>
      <c r="Z3454" s="21" t="s">
        <v>2276</v>
      </c>
      <c r="AA3454" s="21"/>
      <c r="AB3454" s="204"/>
    </row>
    <row r="3455" spans="1:28" ht="43.5" customHeight="1">
      <c r="A3455" s="156" t="str">
        <f>'Reported burning'!A3455</f>
        <v>378g</v>
      </c>
      <c r="B3455" s="156" t="str">
        <f>'Reported burning'!B3455</f>
        <v>378g.6</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2276</v>
      </c>
      <c r="K3455" s="21" t="s">
        <v>2276</v>
      </c>
      <c r="L3455" s="21" t="s">
        <v>2276</v>
      </c>
      <c r="M3455" s="21" t="s">
        <v>2276</v>
      </c>
      <c r="N3455" s="21" t="s">
        <v>2276</v>
      </c>
      <c r="O3455" s="21" t="s">
        <v>2276</v>
      </c>
      <c r="P3455" s="21" t="s">
        <v>2276</v>
      </c>
      <c r="Q3455" s="21" t="s">
        <v>2276</v>
      </c>
      <c r="R3455" s="21" t="s">
        <v>2276</v>
      </c>
      <c r="S3455" s="21" t="s">
        <v>2276</v>
      </c>
      <c r="T3455" s="21" t="s">
        <v>2276</v>
      </c>
      <c r="U3455" s="21" t="s">
        <v>2276</v>
      </c>
      <c r="V3455" s="21" t="s">
        <v>2276</v>
      </c>
      <c r="W3455" s="21" t="s">
        <v>2276</v>
      </c>
      <c r="X3455" s="204" t="s">
        <v>68</v>
      </c>
      <c r="Y3455" s="204" t="s">
        <v>68</v>
      </c>
      <c r="Z3455" s="21" t="s">
        <v>2276</v>
      </c>
      <c r="AA3455" s="21"/>
      <c r="AB3455" s="204"/>
    </row>
    <row r="3456" spans="1:28" ht="43.5" customHeight="1">
      <c r="A3456" s="156" t="str">
        <f>'Reported burning'!A3456</f>
        <v>378g</v>
      </c>
      <c r="B3456" s="156" t="str">
        <f>'Reported burning'!B3456</f>
        <v>378g.7</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2276</v>
      </c>
      <c r="K3456" s="21" t="s">
        <v>2276</v>
      </c>
      <c r="L3456" s="21" t="s">
        <v>2276</v>
      </c>
      <c r="M3456" s="21" t="s">
        <v>2276</v>
      </c>
      <c r="N3456" s="21" t="s">
        <v>2276</v>
      </c>
      <c r="O3456" s="21" t="s">
        <v>2276</v>
      </c>
      <c r="P3456" s="21" t="s">
        <v>2276</v>
      </c>
      <c r="Q3456" s="21" t="s">
        <v>2276</v>
      </c>
      <c r="R3456" s="21" t="s">
        <v>2276</v>
      </c>
      <c r="S3456" s="21" t="s">
        <v>2276</v>
      </c>
      <c r="T3456" s="21" t="s">
        <v>2276</v>
      </c>
      <c r="U3456" s="21" t="s">
        <v>2276</v>
      </c>
      <c r="V3456" s="21" t="s">
        <v>2276</v>
      </c>
      <c r="W3456" s="21" t="s">
        <v>2276</v>
      </c>
      <c r="X3456" s="204" t="s">
        <v>35</v>
      </c>
      <c r="Y3456" s="204" t="s">
        <v>35</v>
      </c>
      <c r="Z3456" s="21" t="s">
        <v>2276</v>
      </c>
      <c r="AA3456" s="21"/>
      <c r="AB3456" s="204"/>
    </row>
    <row r="3457" spans="1:28" ht="43.5" customHeight="1">
      <c r="A3457" s="156" t="str">
        <f>'Reported burning'!A3457</f>
        <v>378g</v>
      </c>
      <c r="B3457" s="156" t="str">
        <f>'Reported burning'!B3457</f>
        <v>378g.8</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2276</v>
      </c>
      <c r="K3457" s="21" t="s">
        <v>2276</v>
      </c>
      <c r="L3457" s="21" t="s">
        <v>2276</v>
      </c>
      <c r="M3457" s="21" t="s">
        <v>2276</v>
      </c>
      <c r="N3457" s="21" t="s">
        <v>2276</v>
      </c>
      <c r="O3457" s="21" t="s">
        <v>2276</v>
      </c>
      <c r="P3457" s="21" t="s">
        <v>2276</v>
      </c>
      <c r="Q3457" s="21" t="s">
        <v>2276</v>
      </c>
      <c r="R3457" s="21" t="s">
        <v>2276</v>
      </c>
      <c r="S3457" s="21" t="s">
        <v>2276</v>
      </c>
      <c r="T3457" s="21" t="s">
        <v>2276</v>
      </c>
      <c r="U3457" s="21" t="s">
        <v>2276</v>
      </c>
      <c r="V3457" s="21" t="s">
        <v>2276</v>
      </c>
      <c r="W3457" s="21" t="s">
        <v>2276</v>
      </c>
      <c r="X3457" s="204" t="s">
        <v>127</v>
      </c>
      <c r="Y3457" s="204" t="s">
        <v>127</v>
      </c>
      <c r="Z3457" s="21" t="s">
        <v>2276</v>
      </c>
      <c r="AA3457" s="21"/>
      <c r="AB3457" s="204"/>
    </row>
    <row r="3458" spans="1:28" ht="43.5" customHeight="1">
      <c r="A3458" s="156" t="str">
        <f>'Reported burning'!A3458</f>
        <v>378g</v>
      </c>
      <c r="B3458" s="156" t="str">
        <f>'Reported burning'!B3458</f>
        <v>378g.9</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Presence</v>
      </c>
      <c r="I3458" s="5"/>
      <c r="J3458" s="21" t="s">
        <v>2276</v>
      </c>
      <c r="K3458" s="21" t="s">
        <v>2276</v>
      </c>
      <c r="L3458" s="21" t="s">
        <v>2276</v>
      </c>
      <c r="M3458" s="21" t="s">
        <v>2276</v>
      </c>
      <c r="N3458" s="21" t="s">
        <v>2276</v>
      </c>
      <c r="O3458" s="21" t="s">
        <v>2276</v>
      </c>
      <c r="P3458" s="21" t="s">
        <v>2276</v>
      </c>
      <c r="Q3458" s="21" t="s">
        <v>2276</v>
      </c>
      <c r="R3458" s="21" t="s">
        <v>2276</v>
      </c>
      <c r="S3458" s="21" t="s">
        <v>2276</v>
      </c>
      <c r="T3458" s="21" t="s">
        <v>2276</v>
      </c>
      <c r="U3458" s="21" t="s">
        <v>2276</v>
      </c>
      <c r="V3458" s="21" t="s">
        <v>2276</v>
      </c>
      <c r="W3458" s="21" t="s">
        <v>2276</v>
      </c>
      <c r="X3458" s="204" t="s">
        <v>399</v>
      </c>
      <c r="Y3458" s="204" t="s">
        <v>399</v>
      </c>
      <c r="Z3458" s="21" t="s">
        <v>2276</v>
      </c>
      <c r="AA3458" s="21"/>
      <c r="AB3458" s="204"/>
    </row>
    <row r="3459" spans="1:28" ht="43.5" customHeight="1">
      <c r="A3459" s="156" t="str">
        <f>'Reported burning'!A3459</f>
        <v>378g</v>
      </c>
      <c r="B3459" s="156" t="str">
        <f>'Reported burning'!B3459</f>
        <v>378g.10</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Presence</v>
      </c>
      <c r="I3459" s="5"/>
      <c r="J3459" s="21" t="s">
        <v>2276</v>
      </c>
      <c r="K3459" s="21" t="s">
        <v>2276</v>
      </c>
      <c r="L3459" s="21" t="s">
        <v>2276</v>
      </c>
      <c r="M3459" s="21" t="s">
        <v>2276</v>
      </c>
      <c r="N3459" s="21" t="s">
        <v>2276</v>
      </c>
      <c r="O3459" s="21" t="s">
        <v>2276</v>
      </c>
      <c r="P3459" s="21" t="s">
        <v>2276</v>
      </c>
      <c r="Q3459" s="21" t="s">
        <v>2276</v>
      </c>
      <c r="R3459" s="21" t="s">
        <v>2276</v>
      </c>
      <c r="S3459" s="21" t="s">
        <v>2276</v>
      </c>
      <c r="T3459" s="21" t="s">
        <v>2276</v>
      </c>
      <c r="U3459" s="21" t="s">
        <v>2276</v>
      </c>
      <c r="V3459" s="21" t="s">
        <v>2276</v>
      </c>
      <c r="W3459" s="21" t="s">
        <v>2276</v>
      </c>
      <c r="X3459" s="204" t="s">
        <v>188</v>
      </c>
      <c r="Y3459" s="204" t="s">
        <v>188</v>
      </c>
      <c r="Z3459" s="21" t="s">
        <v>2276</v>
      </c>
      <c r="AA3459" s="204"/>
      <c r="AB3459" s="204"/>
    </row>
    <row r="3460" spans="1:28" ht="43.5" customHeight="1">
      <c r="A3460" s="156" t="str">
        <f>'Reported burning'!A3460</f>
        <v>378g</v>
      </c>
      <c r="B3460" s="156" t="str">
        <f>'Reported burning'!B3460</f>
        <v>378g.11</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2276</v>
      </c>
      <c r="K3460" s="21" t="s">
        <v>2276</v>
      </c>
      <c r="L3460" s="21" t="s">
        <v>2276</v>
      </c>
      <c r="M3460" s="21" t="s">
        <v>2276</v>
      </c>
      <c r="N3460" s="21" t="s">
        <v>2276</v>
      </c>
      <c r="O3460" s="21" t="s">
        <v>2276</v>
      </c>
      <c r="P3460" s="21" t="s">
        <v>2276</v>
      </c>
      <c r="Q3460" s="21" t="s">
        <v>2276</v>
      </c>
      <c r="R3460" s="21" t="s">
        <v>2276</v>
      </c>
      <c r="S3460" s="21" t="s">
        <v>2276</v>
      </c>
      <c r="T3460" s="21" t="s">
        <v>2276</v>
      </c>
      <c r="U3460" s="21" t="s">
        <v>2276</v>
      </c>
      <c r="V3460" s="21" t="s">
        <v>2276</v>
      </c>
      <c r="W3460" s="21" t="s">
        <v>2276</v>
      </c>
      <c r="X3460" s="204" t="s">
        <v>189</v>
      </c>
      <c r="Y3460" s="204" t="s">
        <v>189</v>
      </c>
      <c r="Z3460" s="21" t="s">
        <v>2276</v>
      </c>
      <c r="AA3460" s="204"/>
      <c r="AB3460" s="204"/>
    </row>
    <row r="3461" spans="1:28" ht="43.5" customHeight="1">
      <c r="A3461" s="156" t="str">
        <f>'Reported burning'!A3461</f>
        <v>378g</v>
      </c>
      <c r="B3461" s="156" t="str">
        <f>'Reported burning'!B3461</f>
        <v>378g.12</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2276</v>
      </c>
      <c r="K3461" s="21" t="s">
        <v>2276</v>
      </c>
      <c r="L3461" s="21" t="s">
        <v>2276</v>
      </c>
      <c r="M3461" s="21" t="s">
        <v>2276</v>
      </c>
      <c r="N3461" s="21" t="s">
        <v>2276</v>
      </c>
      <c r="O3461" s="21" t="s">
        <v>2276</v>
      </c>
      <c r="P3461" s="21" t="s">
        <v>2276</v>
      </c>
      <c r="Q3461" s="21" t="s">
        <v>2276</v>
      </c>
      <c r="R3461" s="21" t="s">
        <v>2276</v>
      </c>
      <c r="S3461" s="21" t="s">
        <v>2276</v>
      </c>
      <c r="T3461" s="21" t="s">
        <v>2276</v>
      </c>
      <c r="U3461" s="21" t="s">
        <v>2276</v>
      </c>
      <c r="V3461" s="21" t="s">
        <v>2276</v>
      </c>
      <c r="W3461" s="21" t="s">
        <v>2276</v>
      </c>
      <c r="X3461" s="204" t="s">
        <v>38</v>
      </c>
      <c r="Y3461" s="204" t="s">
        <v>38</v>
      </c>
      <c r="Z3461" s="21" t="s">
        <v>2276</v>
      </c>
      <c r="AA3461" s="204"/>
      <c r="AB3461" s="204"/>
    </row>
    <row r="3462" spans="1:28" ht="43.5" customHeight="1">
      <c r="A3462" s="156" t="str">
        <f>'Reported burning'!A3462</f>
        <v>378h</v>
      </c>
      <c r="B3462" s="156" t="str">
        <f>'Reported burning'!B3462</f>
        <v>378h.1</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2276</v>
      </c>
      <c r="K3462" s="21" t="s">
        <v>2276</v>
      </c>
      <c r="L3462" s="21" t="s">
        <v>2276</v>
      </c>
      <c r="M3462" s="21" t="s">
        <v>2276</v>
      </c>
      <c r="N3462" s="21" t="s">
        <v>2276</v>
      </c>
      <c r="O3462" s="21" t="s">
        <v>2276</v>
      </c>
      <c r="P3462" s="21" t="s">
        <v>2276</v>
      </c>
      <c r="Q3462" s="21" t="s">
        <v>2276</v>
      </c>
      <c r="R3462" s="21" t="s">
        <v>2276</v>
      </c>
      <c r="S3462" s="21" t="s">
        <v>2276</v>
      </c>
      <c r="T3462" s="21" t="s">
        <v>2276</v>
      </c>
      <c r="U3462" s="21" t="s">
        <v>2276</v>
      </c>
      <c r="V3462" s="21" t="s">
        <v>2276</v>
      </c>
      <c r="W3462" s="21" t="s">
        <v>2276</v>
      </c>
      <c r="X3462" s="204" t="s">
        <v>86</v>
      </c>
      <c r="Y3462" s="204" t="s">
        <v>86</v>
      </c>
      <c r="Z3462" s="21" t="s">
        <v>2276</v>
      </c>
      <c r="AA3462" s="21"/>
      <c r="AB3462" s="204"/>
    </row>
    <row r="3463" spans="1:28" ht="43.5" customHeight="1">
      <c r="A3463" s="156" t="str">
        <f>'Reported burning'!A3463</f>
        <v>378h</v>
      </c>
      <c r="B3463" s="156" t="str">
        <f>'Reported burning'!B3463</f>
        <v>378h.2</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2276</v>
      </c>
      <c r="K3463" s="21" t="s">
        <v>2276</v>
      </c>
      <c r="L3463" s="21" t="s">
        <v>2276</v>
      </c>
      <c r="M3463" s="21" t="s">
        <v>2276</v>
      </c>
      <c r="N3463" s="21" t="s">
        <v>2276</v>
      </c>
      <c r="O3463" s="21" t="s">
        <v>2276</v>
      </c>
      <c r="P3463" s="21" t="s">
        <v>2276</v>
      </c>
      <c r="Q3463" s="21" t="s">
        <v>2276</v>
      </c>
      <c r="R3463" s="21" t="s">
        <v>2276</v>
      </c>
      <c r="S3463" s="21" t="s">
        <v>2276</v>
      </c>
      <c r="T3463" s="21" t="s">
        <v>2276</v>
      </c>
      <c r="U3463" s="21" t="s">
        <v>2276</v>
      </c>
      <c r="V3463" s="21" t="s">
        <v>2276</v>
      </c>
      <c r="W3463" s="21" t="s">
        <v>2276</v>
      </c>
      <c r="X3463" s="204" t="s">
        <v>34</v>
      </c>
      <c r="Y3463" s="204" t="s">
        <v>34</v>
      </c>
      <c r="Z3463" s="21" t="s">
        <v>2276</v>
      </c>
      <c r="AA3463" s="21"/>
      <c r="AB3463" s="204"/>
    </row>
    <row r="3464" spans="1:28" ht="43.5" customHeight="1">
      <c r="A3464" s="156" t="str">
        <f>'Reported burning'!A3464</f>
        <v>378h</v>
      </c>
      <c r="B3464" s="156" t="str">
        <f>'Reported burning'!B3464</f>
        <v>378h.3</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2276</v>
      </c>
      <c r="K3464" s="21" t="s">
        <v>2276</v>
      </c>
      <c r="L3464" s="21" t="s">
        <v>2276</v>
      </c>
      <c r="M3464" s="21" t="s">
        <v>2276</v>
      </c>
      <c r="N3464" s="21" t="s">
        <v>2276</v>
      </c>
      <c r="O3464" s="21" t="s">
        <v>2276</v>
      </c>
      <c r="P3464" s="21" t="s">
        <v>2276</v>
      </c>
      <c r="Q3464" s="21" t="s">
        <v>2276</v>
      </c>
      <c r="R3464" s="21" t="s">
        <v>2276</v>
      </c>
      <c r="S3464" s="21" t="s">
        <v>2276</v>
      </c>
      <c r="T3464" s="21" t="s">
        <v>2276</v>
      </c>
      <c r="U3464" s="21" t="s">
        <v>2276</v>
      </c>
      <c r="V3464" s="21" t="s">
        <v>2276</v>
      </c>
      <c r="W3464" s="21" t="s">
        <v>2276</v>
      </c>
      <c r="X3464" s="204" t="s">
        <v>404</v>
      </c>
      <c r="Y3464" s="204" t="s">
        <v>404</v>
      </c>
      <c r="Z3464" s="21" t="s">
        <v>2276</v>
      </c>
      <c r="AA3464" s="21"/>
      <c r="AB3464" s="204"/>
    </row>
    <row r="3465" spans="1:28" ht="43.5" customHeight="1">
      <c r="A3465" s="156" t="str">
        <f>'Reported burning'!A3465</f>
        <v>378h</v>
      </c>
      <c r="B3465" s="156" t="str">
        <f>'Reported burning'!B3465</f>
        <v>378h.4</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2276</v>
      </c>
      <c r="K3465" s="21" t="s">
        <v>2276</v>
      </c>
      <c r="L3465" s="21" t="s">
        <v>2276</v>
      </c>
      <c r="M3465" s="21" t="s">
        <v>2276</v>
      </c>
      <c r="N3465" s="21" t="s">
        <v>2276</v>
      </c>
      <c r="O3465" s="21" t="s">
        <v>2276</v>
      </c>
      <c r="P3465" s="21" t="s">
        <v>2276</v>
      </c>
      <c r="Q3465" s="21" t="s">
        <v>2276</v>
      </c>
      <c r="R3465" s="21" t="s">
        <v>2276</v>
      </c>
      <c r="S3465" s="21" t="s">
        <v>2276</v>
      </c>
      <c r="T3465" s="21" t="s">
        <v>2276</v>
      </c>
      <c r="U3465" s="21" t="s">
        <v>2276</v>
      </c>
      <c r="V3465" s="21" t="s">
        <v>2276</v>
      </c>
      <c r="W3465" s="21" t="s">
        <v>2276</v>
      </c>
      <c r="X3465" s="204" t="s">
        <v>405</v>
      </c>
      <c r="Y3465" s="204" t="s">
        <v>405</v>
      </c>
      <c r="Z3465" s="21" t="s">
        <v>2276</v>
      </c>
      <c r="AA3465" s="21"/>
      <c r="AB3465" s="204"/>
    </row>
    <row r="3466" spans="1:28" ht="43.5" customHeight="1">
      <c r="A3466" s="156" t="str">
        <f>'Reported burning'!A3466</f>
        <v>378h</v>
      </c>
      <c r="B3466" s="156" t="str">
        <f>'Reported burning'!B3466</f>
        <v>378h.5</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2276</v>
      </c>
      <c r="K3466" s="21" t="s">
        <v>2276</v>
      </c>
      <c r="L3466" s="21" t="s">
        <v>2276</v>
      </c>
      <c r="M3466" s="21" t="s">
        <v>2276</v>
      </c>
      <c r="N3466" s="21" t="s">
        <v>2276</v>
      </c>
      <c r="O3466" s="21" t="s">
        <v>2276</v>
      </c>
      <c r="P3466" s="21" t="s">
        <v>2276</v>
      </c>
      <c r="Q3466" s="21" t="s">
        <v>2276</v>
      </c>
      <c r="R3466" s="21" t="s">
        <v>2276</v>
      </c>
      <c r="S3466" s="21" t="s">
        <v>2276</v>
      </c>
      <c r="T3466" s="21" t="s">
        <v>2276</v>
      </c>
      <c r="U3466" s="21" t="s">
        <v>2276</v>
      </c>
      <c r="V3466" s="21" t="s">
        <v>2276</v>
      </c>
      <c r="W3466" s="21" t="s">
        <v>2276</v>
      </c>
      <c r="X3466" s="204" t="s">
        <v>425</v>
      </c>
      <c r="Y3466" s="204" t="s">
        <v>425</v>
      </c>
      <c r="Z3466" s="21" t="s">
        <v>2276</v>
      </c>
      <c r="AA3466" s="21"/>
      <c r="AB3466" s="204"/>
    </row>
    <row r="3467" spans="1:28" ht="43.5" customHeight="1">
      <c r="A3467" s="156" t="str">
        <f>'Reported burning'!A3467</f>
        <v>378h</v>
      </c>
      <c r="B3467" s="156" t="str">
        <f>'Reported burning'!B3467</f>
        <v>378h.6</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2276</v>
      </c>
      <c r="K3467" s="21" t="s">
        <v>2276</v>
      </c>
      <c r="L3467" s="21" t="s">
        <v>2276</v>
      </c>
      <c r="M3467" s="21" t="s">
        <v>2276</v>
      </c>
      <c r="N3467" s="21" t="s">
        <v>2276</v>
      </c>
      <c r="O3467" s="21" t="s">
        <v>2276</v>
      </c>
      <c r="P3467" s="21" t="s">
        <v>2276</v>
      </c>
      <c r="Q3467" s="21" t="s">
        <v>2276</v>
      </c>
      <c r="R3467" s="21" t="s">
        <v>2276</v>
      </c>
      <c r="S3467" s="21" t="s">
        <v>2276</v>
      </c>
      <c r="T3467" s="21" t="s">
        <v>2276</v>
      </c>
      <c r="U3467" s="21" t="s">
        <v>2276</v>
      </c>
      <c r="V3467" s="21" t="s">
        <v>2276</v>
      </c>
      <c r="W3467" s="21" t="s">
        <v>2276</v>
      </c>
      <c r="X3467" s="204" t="s">
        <v>68</v>
      </c>
      <c r="Y3467" s="204" t="s">
        <v>68</v>
      </c>
      <c r="Z3467" s="21" t="s">
        <v>2276</v>
      </c>
      <c r="AA3467" s="21"/>
      <c r="AB3467" s="204"/>
    </row>
    <row r="3468" spans="1:28" ht="43.5" customHeight="1">
      <c r="A3468" s="156" t="str">
        <f>'Reported burning'!A3468</f>
        <v>378h</v>
      </c>
      <c r="B3468" s="156" t="str">
        <f>'Reported burning'!B3468</f>
        <v>378h.7</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Absence</v>
      </c>
      <c r="I3468" s="5"/>
      <c r="J3468" s="21">
        <v>0</v>
      </c>
      <c r="K3468" s="21">
        <v>0</v>
      </c>
      <c r="L3468" s="21">
        <v>0</v>
      </c>
      <c r="M3468" s="21">
        <v>0</v>
      </c>
      <c r="N3468" s="21">
        <v>0</v>
      </c>
      <c r="O3468" s="21">
        <v>0</v>
      </c>
      <c r="P3468" s="21">
        <v>0</v>
      </c>
      <c r="Q3468" s="21">
        <v>0</v>
      </c>
      <c r="R3468" s="21">
        <v>0</v>
      </c>
      <c r="S3468" s="21">
        <v>0</v>
      </c>
      <c r="T3468" s="21">
        <v>0</v>
      </c>
      <c r="U3468" s="21">
        <v>0</v>
      </c>
      <c r="V3468" s="21">
        <v>0</v>
      </c>
      <c r="W3468" s="21" t="s">
        <v>2276</v>
      </c>
      <c r="X3468" s="204" t="s">
        <v>35</v>
      </c>
      <c r="Y3468" s="204" t="s">
        <v>35</v>
      </c>
      <c r="Z3468" s="21" t="s">
        <v>2276</v>
      </c>
      <c r="AA3468" s="21"/>
      <c r="AB3468" s="204"/>
    </row>
    <row r="3469" spans="1:28" ht="43.5" customHeight="1">
      <c r="A3469" s="156" t="str">
        <f>'Reported burning'!A3469</f>
        <v>378h</v>
      </c>
      <c r="B3469" s="156" t="str">
        <f>'Reported burning'!B3469</f>
        <v>378h.8</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Absence</v>
      </c>
      <c r="I3469" s="5"/>
      <c r="J3469" s="21">
        <v>0</v>
      </c>
      <c r="K3469" s="21">
        <v>0</v>
      </c>
      <c r="L3469" s="21">
        <v>0</v>
      </c>
      <c r="M3469" s="21">
        <v>0</v>
      </c>
      <c r="N3469" s="21">
        <v>0</v>
      </c>
      <c r="O3469" s="21">
        <v>0</v>
      </c>
      <c r="P3469" s="21">
        <v>0</v>
      </c>
      <c r="Q3469" s="21">
        <v>0</v>
      </c>
      <c r="R3469" s="21">
        <v>0</v>
      </c>
      <c r="S3469" s="21">
        <v>0</v>
      </c>
      <c r="T3469" s="21">
        <v>0</v>
      </c>
      <c r="U3469" s="21">
        <v>0</v>
      </c>
      <c r="V3469" s="21">
        <v>0</v>
      </c>
      <c r="W3469" s="21" t="s">
        <v>2276</v>
      </c>
      <c r="X3469" s="204" t="s">
        <v>127</v>
      </c>
      <c r="Y3469" s="204" t="s">
        <v>127</v>
      </c>
      <c r="Z3469" s="21" t="s">
        <v>2276</v>
      </c>
      <c r="AA3469" s="21"/>
      <c r="AB3469" s="204"/>
    </row>
    <row r="3470" spans="1:28" ht="43.5" customHeight="1">
      <c r="A3470" s="156" t="str">
        <f>'Reported burning'!A3470</f>
        <v>378h</v>
      </c>
      <c r="B3470" s="156" t="str">
        <f>'Reported burning'!B3470</f>
        <v>378h.9</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2276</v>
      </c>
      <c r="K3470" s="21" t="s">
        <v>2276</v>
      </c>
      <c r="L3470" s="21" t="s">
        <v>2276</v>
      </c>
      <c r="M3470" s="21" t="s">
        <v>2276</v>
      </c>
      <c r="N3470" s="21" t="s">
        <v>2276</v>
      </c>
      <c r="O3470" s="21" t="s">
        <v>2276</v>
      </c>
      <c r="P3470" s="21" t="s">
        <v>2276</v>
      </c>
      <c r="Q3470" s="21" t="s">
        <v>2276</v>
      </c>
      <c r="R3470" s="21" t="s">
        <v>2276</v>
      </c>
      <c r="S3470" s="21" t="s">
        <v>2276</v>
      </c>
      <c r="T3470" s="21" t="s">
        <v>2276</v>
      </c>
      <c r="U3470" s="21" t="s">
        <v>2276</v>
      </c>
      <c r="V3470" s="21" t="s">
        <v>2276</v>
      </c>
      <c r="W3470" s="21" t="s">
        <v>2276</v>
      </c>
      <c r="X3470" s="204" t="s">
        <v>399</v>
      </c>
      <c r="Y3470" s="204" t="s">
        <v>399</v>
      </c>
      <c r="Z3470" s="21" t="s">
        <v>2276</v>
      </c>
      <c r="AA3470" s="21"/>
      <c r="AB3470" s="204"/>
    </row>
    <row r="3471" spans="1:28" ht="43.5" customHeight="1">
      <c r="A3471" s="156" t="str">
        <f>'Reported burning'!A3471</f>
        <v>378h</v>
      </c>
      <c r="B3471" s="156" t="str">
        <f>'Reported burning'!B3471</f>
        <v>378h.10</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2276</v>
      </c>
      <c r="K3471" s="21" t="s">
        <v>2276</v>
      </c>
      <c r="L3471" s="21" t="s">
        <v>2276</v>
      </c>
      <c r="M3471" s="21" t="s">
        <v>2276</v>
      </c>
      <c r="N3471" s="21" t="s">
        <v>2276</v>
      </c>
      <c r="O3471" s="21" t="s">
        <v>2276</v>
      </c>
      <c r="P3471" s="21" t="s">
        <v>2276</v>
      </c>
      <c r="Q3471" s="21" t="s">
        <v>2276</v>
      </c>
      <c r="R3471" s="21" t="s">
        <v>2276</v>
      </c>
      <c r="S3471" s="21" t="s">
        <v>2276</v>
      </c>
      <c r="T3471" s="21" t="s">
        <v>2276</v>
      </c>
      <c r="U3471" s="21" t="s">
        <v>2276</v>
      </c>
      <c r="V3471" s="21" t="s">
        <v>2276</v>
      </c>
      <c r="W3471" s="21" t="s">
        <v>2276</v>
      </c>
      <c r="X3471" s="204" t="s">
        <v>188</v>
      </c>
      <c r="Y3471" s="204" t="s">
        <v>188</v>
      </c>
      <c r="Z3471" s="21" t="s">
        <v>2276</v>
      </c>
      <c r="AA3471" s="204"/>
      <c r="AB3471" s="204"/>
    </row>
    <row r="3472" spans="1:28" ht="43.5" customHeight="1">
      <c r="A3472" s="156" t="str">
        <f>'Reported burning'!A3472</f>
        <v>378h</v>
      </c>
      <c r="B3472" s="156" t="str">
        <f>'Reported burning'!B3472</f>
        <v>378h.11</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2276</v>
      </c>
      <c r="K3472" s="21" t="s">
        <v>2276</v>
      </c>
      <c r="L3472" s="21" t="s">
        <v>2276</v>
      </c>
      <c r="M3472" s="21" t="s">
        <v>2276</v>
      </c>
      <c r="N3472" s="21" t="s">
        <v>2276</v>
      </c>
      <c r="O3472" s="21" t="s">
        <v>2276</v>
      </c>
      <c r="P3472" s="21" t="s">
        <v>2276</v>
      </c>
      <c r="Q3472" s="21" t="s">
        <v>2276</v>
      </c>
      <c r="R3472" s="21" t="s">
        <v>2276</v>
      </c>
      <c r="S3472" s="21" t="s">
        <v>2276</v>
      </c>
      <c r="T3472" s="21" t="s">
        <v>2276</v>
      </c>
      <c r="U3472" s="21" t="s">
        <v>2276</v>
      </c>
      <c r="V3472" s="21" t="s">
        <v>2276</v>
      </c>
      <c r="W3472" s="21" t="s">
        <v>2276</v>
      </c>
      <c r="X3472" s="204" t="s">
        <v>189</v>
      </c>
      <c r="Y3472" s="204" t="s">
        <v>189</v>
      </c>
      <c r="Z3472" s="21" t="s">
        <v>2276</v>
      </c>
      <c r="AA3472" s="204"/>
      <c r="AB3472" s="204"/>
    </row>
    <row r="3473" spans="1:28" ht="43.5" customHeight="1">
      <c r="A3473" s="156" t="str">
        <f>'Reported burning'!A3473</f>
        <v>378h</v>
      </c>
      <c r="B3473" s="156" t="str">
        <f>'Reported burning'!B3473</f>
        <v>378h.12</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2276</v>
      </c>
      <c r="K3473" s="21" t="s">
        <v>2276</v>
      </c>
      <c r="L3473" s="21" t="s">
        <v>2276</v>
      </c>
      <c r="M3473" s="21" t="s">
        <v>2276</v>
      </c>
      <c r="N3473" s="21" t="s">
        <v>2276</v>
      </c>
      <c r="O3473" s="21" t="s">
        <v>2276</v>
      </c>
      <c r="P3473" s="21" t="s">
        <v>2276</v>
      </c>
      <c r="Q3473" s="21" t="s">
        <v>2276</v>
      </c>
      <c r="R3473" s="21" t="s">
        <v>2276</v>
      </c>
      <c r="S3473" s="21" t="s">
        <v>2276</v>
      </c>
      <c r="T3473" s="21" t="s">
        <v>2276</v>
      </c>
      <c r="U3473" s="21" t="s">
        <v>2276</v>
      </c>
      <c r="V3473" s="21" t="s">
        <v>2276</v>
      </c>
      <c r="W3473" s="21" t="s">
        <v>2276</v>
      </c>
      <c r="X3473" s="204" t="s">
        <v>38</v>
      </c>
      <c r="Y3473" s="204" t="s">
        <v>38</v>
      </c>
      <c r="Z3473" s="21" t="s">
        <v>2276</v>
      </c>
      <c r="AA3473" s="204"/>
      <c r="AB3473" s="204"/>
    </row>
    <row r="3474" spans="1:28" ht="43.5" customHeight="1">
      <c r="A3474" s="156" t="str">
        <f>'Reported burning'!A3474</f>
        <v>378i</v>
      </c>
      <c r="B3474" s="156" t="str">
        <f>'Reported burning'!B3474</f>
        <v>378i.1</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2276</v>
      </c>
      <c r="K3474" s="21" t="s">
        <v>2276</v>
      </c>
      <c r="L3474" s="21" t="s">
        <v>2276</v>
      </c>
      <c r="M3474" s="21" t="s">
        <v>2276</v>
      </c>
      <c r="N3474" s="21" t="s">
        <v>2276</v>
      </c>
      <c r="O3474" s="21" t="s">
        <v>2276</v>
      </c>
      <c r="P3474" s="21" t="s">
        <v>2276</v>
      </c>
      <c r="Q3474" s="21" t="s">
        <v>2276</v>
      </c>
      <c r="R3474" s="21" t="s">
        <v>2276</v>
      </c>
      <c r="S3474" s="21" t="s">
        <v>2276</v>
      </c>
      <c r="T3474" s="21" t="s">
        <v>2276</v>
      </c>
      <c r="U3474" s="21" t="s">
        <v>2276</v>
      </c>
      <c r="V3474" s="21" t="s">
        <v>2276</v>
      </c>
      <c r="W3474" s="21" t="s">
        <v>2276</v>
      </c>
      <c r="X3474" s="204" t="s">
        <v>86</v>
      </c>
      <c r="Y3474" s="204" t="s">
        <v>86</v>
      </c>
      <c r="Z3474" s="21" t="s">
        <v>2276</v>
      </c>
      <c r="AA3474" s="21"/>
      <c r="AB3474" s="204"/>
    </row>
    <row r="3475" spans="1:28" ht="43.5" customHeight="1">
      <c r="A3475" s="156" t="str">
        <f>'Reported burning'!A3475</f>
        <v>378i</v>
      </c>
      <c r="B3475" s="156" t="str">
        <f>'Reported burning'!B3475</f>
        <v>378i.2</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2276</v>
      </c>
      <c r="K3475" s="21" t="s">
        <v>2276</v>
      </c>
      <c r="L3475" s="21" t="s">
        <v>2276</v>
      </c>
      <c r="M3475" s="21" t="s">
        <v>2276</v>
      </c>
      <c r="N3475" s="21" t="s">
        <v>2276</v>
      </c>
      <c r="O3475" s="21" t="s">
        <v>2276</v>
      </c>
      <c r="P3475" s="21" t="s">
        <v>2276</v>
      </c>
      <c r="Q3475" s="21" t="s">
        <v>2276</v>
      </c>
      <c r="R3475" s="21" t="s">
        <v>2276</v>
      </c>
      <c r="S3475" s="21" t="s">
        <v>2276</v>
      </c>
      <c r="T3475" s="21" t="s">
        <v>2276</v>
      </c>
      <c r="U3475" s="21" t="s">
        <v>2276</v>
      </c>
      <c r="V3475" s="21" t="s">
        <v>2276</v>
      </c>
      <c r="W3475" s="21" t="s">
        <v>2276</v>
      </c>
      <c r="X3475" s="204" t="s">
        <v>34</v>
      </c>
      <c r="Y3475" s="204" t="s">
        <v>34</v>
      </c>
      <c r="Z3475" s="21" t="s">
        <v>2276</v>
      </c>
      <c r="AA3475" s="21"/>
      <c r="AB3475" s="204"/>
    </row>
    <row r="3476" spans="1:28" ht="43.5" customHeight="1">
      <c r="A3476" s="156" t="str">
        <f>'Reported burning'!A3476</f>
        <v>378i</v>
      </c>
      <c r="B3476" s="156" t="str">
        <f>'Reported burning'!B3476</f>
        <v>378i.3</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2276</v>
      </c>
      <c r="K3476" s="21" t="s">
        <v>2276</v>
      </c>
      <c r="L3476" s="21" t="s">
        <v>2276</v>
      </c>
      <c r="M3476" s="21" t="s">
        <v>2276</v>
      </c>
      <c r="N3476" s="21" t="s">
        <v>2276</v>
      </c>
      <c r="O3476" s="21" t="s">
        <v>2276</v>
      </c>
      <c r="P3476" s="21" t="s">
        <v>2276</v>
      </c>
      <c r="Q3476" s="21" t="s">
        <v>2276</v>
      </c>
      <c r="R3476" s="21" t="s">
        <v>2276</v>
      </c>
      <c r="S3476" s="21" t="s">
        <v>2276</v>
      </c>
      <c r="T3476" s="21" t="s">
        <v>2276</v>
      </c>
      <c r="U3476" s="21" t="s">
        <v>2276</v>
      </c>
      <c r="V3476" s="21" t="s">
        <v>2276</v>
      </c>
      <c r="W3476" s="21" t="s">
        <v>2276</v>
      </c>
      <c r="X3476" s="204" t="s">
        <v>404</v>
      </c>
      <c r="Y3476" s="204" t="s">
        <v>404</v>
      </c>
      <c r="Z3476" s="21" t="s">
        <v>2276</v>
      </c>
      <c r="AA3476" s="21"/>
      <c r="AB3476" s="204"/>
    </row>
    <row r="3477" spans="1:28" ht="43.5" customHeight="1">
      <c r="A3477" s="156" t="str">
        <f>'Reported burning'!A3477</f>
        <v>378i</v>
      </c>
      <c r="B3477" s="156" t="str">
        <f>'Reported burning'!B3477</f>
        <v>378i.4</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2276</v>
      </c>
      <c r="K3477" s="21" t="s">
        <v>2276</v>
      </c>
      <c r="L3477" s="21" t="s">
        <v>2276</v>
      </c>
      <c r="M3477" s="21" t="s">
        <v>2276</v>
      </c>
      <c r="N3477" s="21" t="s">
        <v>2276</v>
      </c>
      <c r="O3477" s="21" t="s">
        <v>2276</v>
      </c>
      <c r="P3477" s="21" t="s">
        <v>2276</v>
      </c>
      <c r="Q3477" s="21" t="s">
        <v>2276</v>
      </c>
      <c r="R3477" s="21" t="s">
        <v>2276</v>
      </c>
      <c r="S3477" s="21" t="s">
        <v>2276</v>
      </c>
      <c r="T3477" s="21" t="s">
        <v>2276</v>
      </c>
      <c r="U3477" s="21" t="s">
        <v>2276</v>
      </c>
      <c r="V3477" s="21" t="s">
        <v>2276</v>
      </c>
      <c r="W3477" s="21" t="s">
        <v>2276</v>
      </c>
      <c r="X3477" s="204" t="s">
        <v>405</v>
      </c>
      <c r="Y3477" s="204" t="s">
        <v>405</v>
      </c>
      <c r="Z3477" s="21" t="s">
        <v>2276</v>
      </c>
      <c r="AA3477" s="21"/>
      <c r="AB3477" s="204"/>
    </row>
    <row r="3478" spans="1:28" ht="43.5" customHeight="1">
      <c r="A3478" s="156" t="str">
        <f>'Reported burning'!A3478</f>
        <v>378i</v>
      </c>
      <c r="B3478" s="156" t="str">
        <f>'Reported burning'!B3478</f>
        <v>378i.5</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2276</v>
      </c>
      <c r="K3478" s="21" t="s">
        <v>2276</v>
      </c>
      <c r="L3478" s="21" t="s">
        <v>2276</v>
      </c>
      <c r="M3478" s="21" t="s">
        <v>2276</v>
      </c>
      <c r="N3478" s="21" t="s">
        <v>2276</v>
      </c>
      <c r="O3478" s="21" t="s">
        <v>2276</v>
      </c>
      <c r="P3478" s="21" t="s">
        <v>2276</v>
      </c>
      <c r="Q3478" s="21" t="s">
        <v>2276</v>
      </c>
      <c r="R3478" s="21" t="s">
        <v>2276</v>
      </c>
      <c r="S3478" s="21" t="s">
        <v>2276</v>
      </c>
      <c r="T3478" s="21" t="s">
        <v>2276</v>
      </c>
      <c r="U3478" s="21" t="s">
        <v>2276</v>
      </c>
      <c r="V3478" s="21" t="s">
        <v>2276</v>
      </c>
      <c r="W3478" s="21" t="s">
        <v>2276</v>
      </c>
      <c r="X3478" s="204" t="s">
        <v>425</v>
      </c>
      <c r="Y3478" s="204" t="s">
        <v>425</v>
      </c>
      <c r="Z3478" s="21" t="s">
        <v>2276</v>
      </c>
      <c r="AA3478" s="21"/>
      <c r="AB3478" s="204"/>
    </row>
    <row r="3479" spans="1:28" ht="43.5" customHeight="1">
      <c r="A3479" s="156" t="str">
        <f>'Reported burning'!A3479</f>
        <v>378i</v>
      </c>
      <c r="B3479" s="156" t="str">
        <f>'Reported burning'!B3479</f>
        <v>378i.6</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2276</v>
      </c>
      <c r="K3479" s="21" t="s">
        <v>2276</v>
      </c>
      <c r="L3479" s="21" t="s">
        <v>2276</v>
      </c>
      <c r="M3479" s="21" t="s">
        <v>2276</v>
      </c>
      <c r="N3479" s="21" t="s">
        <v>2276</v>
      </c>
      <c r="O3479" s="21" t="s">
        <v>2276</v>
      </c>
      <c r="P3479" s="21" t="s">
        <v>2276</v>
      </c>
      <c r="Q3479" s="21" t="s">
        <v>2276</v>
      </c>
      <c r="R3479" s="21" t="s">
        <v>2276</v>
      </c>
      <c r="S3479" s="21" t="s">
        <v>2276</v>
      </c>
      <c r="T3479" s="21" t="s">
        <v>2276</v>
      </c>
      <c r="U3479" s="21" t="s">
        <v>2276</v>
      </c>
      <c r="V3479" s="21" t="s">
        <v>2276</v>
      </c>
      <c r="W3479" s="21" t="s">
        <v>2276</v>
      </c>
      <c r="X3479" s="204" t="s">
        <v>68</v>
      </c>
      <c r="Y3479" s="204" t="s">
        <v>68</v>
      </c>
      <c r="Z3479" s="21" t="s">
        <v>2276</v>
      </c>
      <c r="AA3479" s="21"/>
      <c r="AB3479" s="204"/>
    </row>
    <row r="3480" spans="1:28" ht="43.5" customHeight="1">
      <c r="A3480" s="156" t="str">
        <f>'Reported burning'!A3480</f>
        <v>378i</v>
      </c>
      <c r="B3480" s="156" t="str">
        <f>'Reported burning'!B3480</f>
        <v>378i.7</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2276</v>
      </c>
      <c r="K3480" s="21" t="s">
        <v>2276</v>
      </c>
      <c r="L3480" s="21" t="s">
        <v>2276</v>
      </c>
      <c r="M3480" s="21" t="s">
        <v>2276</v>
      </c>
      <c r="N3480" s="21" t="s">
        <v>2276</v>
      </c>
      <c r="O3480" s="21" t="s">
        <v>2276</v>
      </c>
      <c r="P3480" s="21" t="s">
        <v>2276</v>
      </c>
      <c r="Q3480" s="21" t="s">
        <v>2276</v>
      </c>
      <c r="R3480" s="21" t="s">
        <v>2276</v>
      </c>
      <c r="S3480" s="21" t="s">
        <v>2276</v>
      </c>
      <c r="T3480" s="21" t="s">
        <v>2276</v>
      </c>
      <c r="U3480" s="21" t="s">
        <v>2276</v>
      </c>
      <c r="V3480" s="21" t="s">
        <v>2276</v>
      </c>
      <c r="W3480" s="21" t="s">
        <v>2276</v>
      </c>
      <c r="X3480" s="204" t="s">
        <v>35</v>
      </c>
      <c r="Y3480" s="204" t="s">
        <v>35</v>
      </c>
      <c r="Z3480" s="21" t="s">
        <v>2276</v>
      </c>
      <c r="AA3480" s="21"/>
      <c r="AB3480" s="204"/>
    </row>
    <row r="3481" spans="1:28" ht="43.5" customHeight="1">
      <c r="A3481" s="156" t="str">
        <f>'Reported burning'!A3481</f>
        <v>378i</v>
      </c>
      <c r="B3481" s="156" t="str">
        <f>'Reported burning'!B3481</f>
        <v>378i.8</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Presence</v>
      </c>
      <c r="I3481" s="5"/>
      <c r="J3481" s="21" t="s">
        <v>2276</v>
      </c>
      <c r="K3481" s="21" t="s">
        <v>2276</v>
      </c>
      <c r="L3481" s="21" t="s">
        <v>2276</v>
      </c>
      <c r="M3481" s="21" t="s">
        <v>2276</v>
      </c>
      <c r="N3481" s="21" t="s">
        <v>2276</v>
      </c>
      <c r="O3481" s="21" t="s">
        <v>2276</v>
      </c>
      <c r="P3481" s="21" t="s">
        <v>2276</v>
      </c>
      <c r="Q3481" s="21" t="s">
        <v>2276</v>
      </c>
      <c r="R3481" s="21" t="s">
        <v>2276</v>
      </c>
      <c r="S3481" s="21" t="s">
        <v>2276</v>
      </c>
      <c r="T3481" s="21" t="s">
        <v>2276</v>
      </c>
      <c r="U3481" s="21" t="s">
        <v>2276</v>
      </c>
      <c r="V3481" s="21" t="s">
        <v>2276</v>
      </c>
      <c r="W3481" s="21" t="s">
        <v>2276</v>
      </c>
      <c r="X3481" s="204" t="s">
        <v>127</v>
      </c>
      <c r="Y3481" s="204" t="s">
        <v>127</v>
      </c>
      <c r="Z3481" s="21" t="s">
        <v>2276</v>
      </c>
      <c r="AA3481" s="21"/>
      <c r="AB3481" s="204"/>
    </row>
    <row r="3482" spans="1:28" ht="43.5" customHeight="1">
      <c r="A3482" s="156" t="str">
        <f>'Reported burning'!A3482</f>
        <v>378i</v>
      </c>
      <c r="B3482" s="156" t="str">
        <f>'Reported burning'!B3482</f>
        <v>378i.9</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Presence</v>
      </c>
      <c r="I3482" s="5"/>
      <c r="J3482" s="21" t="s">
        <v>2276</v>
      </c>
      <c r="K3482" s="21" t="s">
        <v>2276</v>
      </c>
      <c r="L3482" s="21" t="s">
        <v>2276</v>
      </c>
      <c r="M3482" s="21" t="s">
        <v>2276</v>
      </c>
      <c r="N3482" s="21" t="s">
        <v>2276</v>
      </c>
      <c r="O3482" s="21" t="s">
        <v>2276</v>
      </c>
      <c r="P3482" s="21" t="s">
        <v>2276</v>
      </c>
      <c r="Q3482" s="21" t="s">
        <v>2276</v>
      </c>
      <c r="R3482" s="21" t="s">
        <v>2276</v>
      </c>
      <c r="S3482" s="21" t="s">
        <v>2276</v>
      </c>
      <c r="T3482" s="21" t="s">
        <v>2276</v>
      </c>
      <c r="U3482" s="21" t="s">
        <v>2276</v>
      </c>
      <c r="V3482" s="21" t="s">
        <v>2276</v>
      </c>
      <c r="W3482" s="21" t="s">
        <v>2276</v>
      </c>
      <c r="X3482" s="204" t="s">
        <v>399</v>
      </c>
      <c r="Y3482" s="204" t="s">
        <v>399</v>
      </c>
      <c r="Z3482" s="21" t="s">
        <v>2276</v>
      </c>
      <c r="AA3482" s="21"/>
      <c r="AB3482" s="204"/>
    </row>
    <row r="3483" spans="1:28" ht="43.5" customHeight="1">
      <c r="A3483" s="156" t="str">
        <f>'Reported burning'!A3483</f>
        <v>378i</v>
      </c>
      <c r="B3483" s="156" t="str">
        <f>'Reported burning'!B3483</f>
        <v>378i.10</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2276</v>
      </c>
      <c r="K3483" s="21" t="s">
        <v>2276</v>
      </c>
      <c r="L3483" s="21" t="s">
        <v>2276</v>
      </c>
      <c r="M3483" s="21" t="s">
        <v>2276</v>
      </c>
      <c r="N3483" s="21" t="s">
        <v>2276</v>
      </c>
      <c r="O3483" s="21" t="s">
        <v>2276</v>
      </c>
      <c r="P3483" s="21" t="s">
        <v>2276</v>
      </c>
      <c r="Q3483" s="21" t="s">
        <v>2276</v>
      </c>
      <c r="R3483" s="21" t="s">
        <v>2276</v>
      </c>
      <c r="S3483" s="21" t="s">
        <v>2276</v>
      </c>
      <c r="T3483" s="21" t="s">
        <v>2276</v>
      </c>
      <c r="U3483" s="21" t="s">
        <v>2276</v>
      </c>
      <c r="V3483" s="21" t="s">
        <v>2276</v>
      </c>
      <c r="W3483" s="21" t="s">
        <v>2276</v>
      </c>
      <c r="X3483" s="204" t="s">
        <v>188</v>
      </c>
      <c r="Y3483" s="204" t="s">
        <v>188</v>
      </c>
      <c r="Z3483" s="21" t="s">
        <v>2276</v>
      </c>
      <c r="AA3483" s="204"/>
      <c r="AB3483" s="204"/>
    </row>
    <row r="3484" spans="1:28" ht="43.5" customHeight="1">
      <c r="A3484" s="156" t="str">
        <f>'Reported burning'!A3484</f>
        <v>378i</v>
      </c>
      <c r="B3484" s="156" t="str">
        <f>'Reported burning'!B3484</f>
        <v>378i.11</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2276</v>
      </c>
      <c r="K3484" s="21" t="s">
        <v>2276</v>
      </c>
      <c r="L3484" s="21" t="s">
        <v>2276</v>
      </c>
      <c r="M3484" s="21" t="s">
        <v>2276</v>
      </c>
      <c r="N3484" s="21" t="s">
        <v>2276</v>
      </c>
      <c r="O3484" s="21" t="s">
        <v>2276</v>
      </c>
      <c r="P3484" s="21" t="s">
        <v>2276</v>
      </c>
      <c r="Q3484" s="21" t="s">
        <v>2276</v>
      </c>
      <c r="R3484" s="21" t="s">
        <v>2276</v>
      </c>
      <c r="S3484" s="21" t="s">
        <v>2276</v>
      </c>
      <c r="T3484" s="21" t="s">
        <v>2276</v>
      </c>
      <c r="U3484" s="21" t="s">
        <v>2276</v>
      </c>
      <c r="V3484" s="21" t="s">
        <v>2276</v>
      </c>
      <c r="W3484" s="21" t="s">
        <v>2276</v>
      </c>
      <c r="X3484" s="204" t="s">
        <v>189</v>
      </c>
      <c r="Y3484" s="204" t="s">
        <v>189</v>
      </c>
      <c r="Z3484" s="21" t="s">
        <v>2276</v>
      </c>
      <c r="AA3484" s="204"/>
      <c r="AB3484" s="204"/>
    </row>
    <row r="3485" spans="1:28" ht="43.5" customHeight="1">
      <c r="A3485" s="156" t="str">
        <f>'Reported burning'!A3485</f>
        <v>378i</v>
      </c>
      <c r="B3485" s="156" t="str">
        <f>'Reported burning'!B3485</f>
        <v>378i.12</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2276</v>
      </c>
      <c r="K3485" s="21" t="s">
        <v>2276</v>
      </c>
      <c r="L3485" s="21" t="s">
        <v>2276</v>
      </c>
      <c r="M3485" s="21" t="s">
        <v>2276</v>
      </c>
      <c r="N3485" s="21" t="s">
        <v>2276</v>
      </c>
      <c r="O3485" s="21" t="s">
        <v>2276</v>
      </c>
      <c r="P3485" s="21" t="s">
        <v>2276</v>
      </c>
      <c r="Q3485" s="21" t="s">
        <v>2276</v>
      </c>
      <c r="R3485" s="21" t="s">
        <v>2276</v>
      </c>
      <c r="S3485" s="21" t="s">
        <v>2276</v>
      </c>
      <c r="T3485" s="21" t="s">
        <v>2276</v>
      </c>
      <c r="U3485" s="21" t="s">
        <v>2276</v>
      </c>
      <c r="V3485" s="21" t="s">
        <v>2276</v>
      </c>
      <c r="W3485" s="21" t="s">
        <v>2276</v>
      </c>
      <c r="X3485" s="204" t="s">
        <v>38</v>
      </c>
      <c r="Y3485" s="204" t="s">
        <v>38</v>
      </c>
      <c r="Z3485" s="21" t="s">
        <v>2276</v>
      </c>
      <c r="AA3485" s="204"/>
      <c r="AB3485" s="204"/>
    </row>
    <row r="3486" spans="1:28" ht="53.5" customHeight="1">
      <c r="A3486" s="156" t="str">
        <f>'Reported burning'!A3486</f>
        <v>379a</v>
      </c>
      <c r="B3486" s="156" t="str">
        <f>'Reported burning'!B3486</f>
        <v>379a.1</v>
      </c>
      <c r="C3486" s="156" t="str">
        <f>'Reported burning'!C3486</f>
        <v>Human, accidental</v>
      </c>
      <c r="D3486" s="156" t="str">
        <f>'Reported burning'!D3486</f>
        <v>Accidental</v>
      </c>
      <c r="E3486" s="156" t="str">
        <f>'Reported burning'!E3486</f>
        <v>Urban planner</v>
      </c>
      <c r="F3486" s="156" t="str">
        <f>'Reported burning'!F3486</f>
        <v>ND</v>
      </c>
      <c r="G3486" s="156" t="str">
        <f>'Reported burning'!G3486</f>
        <v>Plantation forest</v>
      </c>
      <c r="H3486" s="156" t="str">
        <f>'Reported burning'!H3486</f>
        <v>Presence</v>
      </c>
      <c r="I3486" s="5"/>
      <c r="J3486" s="21" t="s">
        <v>2276</v>
      </c>
      <c r="K3486" s="21" t="s">
        <v>2276</v>
      </c>
      <c r="L3486" s="21" t="s">
        <v>2276</v>
      </c>
      <c r="M3486" s="21" t="s">
        <v>2276</v>
      </c>
      <c r="N3486" s="21" t="s">
        <v>2276</v>
      </c>
      <c r="O3486" s="21" t="s">
        <v>2276</v>
      </c>
      <c r="P3486" s="21" t="s">
        <v>2276</v>
      </c>
      <c r="Q3486" s="21" t="s">
        <v>2276</v>
      </c>
      <c r="R3486" s="21" t="s">
        <v>2276</v>
      </c>
      <c r="S3486" s="21" t="s">
        <v>2276</v>
      </c>
      <c r="T3486" s="21" t="s">
        <v>2276</v>
      </c>
      <c r="U3486" s="21" t="s">
        <v>2276</v>
      </c>
      <c r="V3486" s="21" t="s">
        <v>2276</v>
      </c>
      <c r="W3486" s="21" t="s">
        <v>2276</v>
      </c>
      <c r="X3486" s="178" t="s">
        <v>34</v>
      </c>
      <c r="Y3486" s="204" t="s">
        <v>34</v>
      </c>
      <c r="Z3486" s="21" t="s">
        <v>2276</v>
      </c>
      <c r="AA3486" s="204" t="s">
        <v>9125</v>
      </c>
      <c r="AB3486" s="204"/>
    </row>
    <row r="3487" spans="1:28" ht="53.5" customHeight="1">
      <c r="A3487" s="156" t="str">
        <f>'Reported burning'!A3487</f>
        <v>379a</v>
      </c>
      <c r="B3487" s="156" t="str">
        <f>'Reported burning'!B3487</f>
        <v>379a.2</v>
      </c>
      <c r="C3487" s="156" t="str">
        <f>'Reported burning'!C3487</f>
        <v>Unknown</v>
      </c>
      <c r="D3487" s="156" t="str">
        <f>'Reported burning'!D3487</f>
        <v>ND</v>
      </c>
      <c r="E3487" s="156" t="str">
        <f>'Reported burning'!E3487</f>
        <v>ND</v>
      </c>
      <c r="F3487" s="156" t="str">
        <f>'Reported burning'!F3487</f>
        <v>ND</v>
      </c>
      <c r="G3487" s="156" t="str">
        <f>'Reported burning'!G3487</f>
        <v>Plantation forest</v>
      </c>
      <c r="H3487" s="156" t="str">
        <f>'Reported burning'!H3487</f>
        <v>Presence</v>
      </c>
      <c r="I3487" s="5"/>
      <c r="J3487" s="21" t="s">
        <v>2276</v>
      </c>
      <c r="K3487" s="21" t="s">
        <v>2276</v>
      </c>
      <c r="L3487" s="21" t="s">
        <v>2276</v>
      </c>
      <c r="M3487" s="21" t="s">
        <v>2276</v>
      </c>
      <c r="N3487" s="21" t="s">
        <v>2276</v>
      </c>
      <c r="O3487" s="21" t="s">
        <v>2276</v>
      </c>
      <c r="P3487" s="21" t="s">
        <v>2276</v>
      </c>
      <c r="Q3487" s="21" t="s">
        <v>2276</v>
      </c>
      <c r="R3487" s="21" t="s">
        <v>2276</v>
      </c>
      <c r="S3487" s="21" t="s">
        <v>2276</v>
      </c>
      <c r="T3487" s="21" t="s">
        <v>2276</v>
      </c>
      <c r="U3487" s="21" t="s">
        <v>2276</v>
      </c>
      <c r="V3487" s="21" t="s">
        <v>2276</v>
      </c>
      <c r="W3487" s="21" t="s">
        <v>2276</v>
      </c>
      <c r="X3487" s="178" t="s">
        <v>68</v>
      </c>
      <c r="Y3487" s="204" t="s">
        <v>68</v>
      </c>
      <c r="Z3487" s="21" t="s">
        <v>2276</v>
      </c>
      <c r="AA3487" s="204"/>
      <c r="AB3487" s="204"/>
    </row>
    <row r="3488" spans="1:28" ht="53.5" customHeight="1">
      <c r="A3488" s="156" t="str">
        <f>'Reported burning'!A3488</f>
        <v>379b</v>
      </c>
      <c r="B3488" s="156" t="str">
        <f>'Reported burning'!B3488</f>
        <v>379b.1</v>
      </c>
      <c r="C3488" s="156" t="str">
        <f>'Reported burning'!C3488</f>
        <v>Unknown</v>
      </c>
      <c r="D3488" s="156" t="str">
        <f>'Reported burning'!D3488</f>
        <v>ND</v>
      </c>
      <c r="E3488" s="156" t="str">
        <f>'Reported burning'!E3488</f>
        <v>Forestry, Industrial</v>
      </c>
      <c r="F3488" s="156" t="str">
        <f>'Reported burning'!F3488</f>
        <v>ND</v>
      </c>
      <c r="G3488" s="156" t="str">
        <f>'Reported burning'!G3488</f>
        <v>Plantation forest</v>
      </c>
      <c r="H3488" s="156" t="str">
        <f>'Reported burning'!H3488</f>
        <v>Presence</v>
      </c>
      <c r="I3488" s="5"/>
      <c r="J3488" s="21" t="s">
        <v>2276</v>
      </c>
      <c r="K3488" s="21" t="s">
        <v>2276</v>
      </c>
      <c r="L3488" s="21" t="s">
        <v>2276</v>
      </c>
      <c r="M3488" s="21" t="s">
        <v>2276</v>
      </c>
      <c r="N3488" s="21" t="s">
        <v>2276</v>
      </c>
      <c r="O3488" s="21" t="s">
        <v>2276</v>
      </c>
      <c r="P3488" s="21" t="s">
        <v>2276</v>
      </c>
      <c r="Q3488" s="21" t="s">
        <v>2276</v>
      </c>
      <c r="R3488" s="21" t="s">
        <v>2276</v>
      </c>
      <c r="S3488" s="21" t="s">
        <v>2276</v>
      </c>
      <c r="T3488" s="21" t="s">
        <v>2276</v>
      </c>
      <c r="U3488" s="21" t="s">
        <v>2276</v>
      </c>
      <c r="V3488" s="21" t="s">
        <v>2276</v>
      </c>
      <c r="W3488" s="21" t="s">
        <v>2276</v>
      </c>
      <c r="X3488" s="178" t="s">
        <v>127</v>
      </c>
      <c r="Y3488" s="204" t="s">
        <v>188</v>
      </c>
      <c r="Z3488" s="21" t="s">
        <v>2276</v>
      </c>
      <c r="AA3488" s="204"/>
      <c r="AB3488" s="4" t="s">
        <v>9128</v>
      </c>
    </row>
    <row r="3489" spans="1:28" ht="53.5" customHeight="1">
      <c r="A3489" s="156" t="str">
        <f>'Reported burning'!A3489</f>
        <v>379b</v>
      </c>
      <c r="B3489" s="156" t="str">
        <f>'Reported burning'!B3489</f>
        <v>379b.2</v>
      </c>
      <c r="C3489" s="156" t="str">
        <f>'Reported burning'!C3489</f>
        <v>Unknown</v>
      </c>
      <c r="D3489" s="156" t="str">
        <f>'Reported burning'!D3489</f>
        <v>ND</v>
      </c>
      <c r="E3489" s="156" t="str">
        <f>'Reported burning'!E3489</f>
        <v>ND</v>
      </c>
      <c r="F3489" s="156" t="str">
        <f>'Reported burning'!F3489</f>
        <v>ND</v>
      </c>
      <c r="G3489" s="156" t="str">
        <f>'Reported burning'!G3489</f>
        <v>Plantation forest</v>
      </c>
      <c r="H3489" s="156" t="str">
        <f>'Reported burning'!H3489</f>
        <v>Presence</v>
      </c>
      <c r="I3489" s="5"/>
      <c r="J3489" s="21" t="s">
        <v>2276</v>
      </c>
      <c r="K3489" s="21" t="s">
        <v>2276</v>
      </c>
      <c r="L3489" s="21" t="s">
        <v>2276</v>
      </c>
      <c r="M3489" s="21" t="s">
        <v>2276</v>
      </c>
      <c r="N3489" s="21" t="s">
        <v>2276</v>
      </c>
      <c r="O3489" s="21" t="s">
        <v>2276</v>
      </c>
      <c r="P3489" s="21" t="s">
        <v>2276</v>
      </c>
      <c r="Q3489" s="21" t="s">
        <v>2276</v>
      </c>
      <c r="R3489" s="21" t="s">
        <v>2276</v>
      </c>
      <c r="S3489" s="21" t="s">
        <v>2276</v>
      </c>
      <c r="T3489" s="21" t="s">
        <v>2276</v>
      </c>
      <c r="U3489" s="21" t="s">
        <v>2276</v>
      </c>
      <c r="V3489" s="21" t="s">
        <v>2276</v>
      </c>
      <c r="W3489" s="21" t="s">
        <v>2276</v>
      </c>
      <c r="X3489" s="178" t="s">
        <v>127</v>
      </c>
      <c r="Y3489" s="204" t="s">
        <v>188</v>
      </c>
      <c r="Z3489" s="21" t="s">
        <v>2276</v>
      </c>
      <c r="AA3489" s="204"/>
      <c r="AB3489" s="4" t="s">
        <v>9128</v>
      </c>
    </row>
    <row r="3490" spans="1:28" ht="51.5" customHeight="1">
      <c r="A3490" s="156" t="str">
        <f>'Reported burning'!A3490</f>
        <v>380a</v>
      </c>
      <c r="B3490" s="156" t="str">
        <f>'Reported burning'!B3490</f>
        <v>380a.1</v>
      </c>
      <c r="C3490" s="156" t="str">
        <f>'Reported burning'!C3490</f>
        <v>All</v>
      </c>
      <c r="D3490" s="156" t="str">
        <f>'Reported burning'!D3490</f>
        <v>ND</v>
      </c>
      <c r="E3490" s="156" t="str">
        <f>'Reported burning'!E3490</f>
        <v>ND</v>
      </c>
      <c r="F3490" s="156" t="str">
        <f>'Reported burning'!F3490</f>
        <v>ND</v>
      </c>
      <c r="G3490" s="156" t="str">
        <f>'Reported burning'!G3490</f>
        <v>Shrubland (Mixed forest &amp; grassland)</v>
      </c>
      <c r="H3490" s="156" t="str">
        <f>'Reported burning'!H3490</f>
        <v>Presence</v>
      </c>
      <c r="I3490" s="5"/>
      <c r="J3490" s="21" t="s">
        <v>2276</v>
      </c>
      <c r="K3490" s="21" t="s">
        <v>2276</v>
      </c>
      <c r="L3490" s="21" t="s">
        <v>2276</v>
      </c>
      <c r="M3490" s="21" t="s">
        <v>2276</v>
      </c>
      <c r="N3490" s="21" t="s">
        <v>2276</v>
      </c>
      <c r="O3490" s="21" t="s">
        <v>2276</v>
      </c>
      <c r="P3490" s="21" t="s">
        <v>2276</v>
      </c>
      <c r="Q3490" s="21" t="s">
        <v>2276</v>
      </c>
      <c r="R3490" s="21" t="s">
        <v>2276</v>
      </c>
      <c r="S3490" s="21" t="s">
        <v>2276</v>
      </c>
      <c r="T3490" s="21" t="s">
        <v>2276</v>
      </c>
      <c r="U3490" s="21" t="s">
        <v>2276</v>
      </c>
      <c r="V3490" s="21" t="s">
        <v>2276</v>
      </c>
      <c r="W3490" s="21" t="s">
        <v>2276</v>
      </c>
      <c r="X3490" s="21" t="s">
        <v>2276</v>
      </c>
      <c r="Y3490" s="21" t="s">
        <v>2276</v>
      </c>
      <c r="Z3490" s="21" t="s">
        <v>2276</v>
      </c>
      <c r="AA3490" s="204"/>
      <c r="AB3490" s="204"/>
    </row>
    <row r="3491" spans="1:28" ht="51.5" customHeight="1">
      <c r="A3491" s="156" t="str">
        <f>'Reported burning'!A3491</f>
        <v>380a</v>
      </c>
      <c r="B3491" s="156" t="str">
        <f>'Reported burning'!B3491</f>
        <v>380a.2</v>
      </c>
      <c r="C3491" s="156" t="str">
        <f>'Reported burning'!C3491</f>
        <v>All</v>
      </c>
      <c r="D3491" s="156" t="str">
        <f>'Reported burning'!D3491</f>
        <v>ND</v>
      </c>
      <c r="E3491" s="156" t="str">
        <f>'Reported burning'!E3491</f>
        <v>ND</v>
      </c>
      <c r="F3491" s="156" t="str">
        <f>'Reported burning'!F3491</f>
        <v>ND</v>
      </c>
      <c r="G3491" s="156" t="str">
        <f>'Reported burning'!G3491</f>
        <v>Forest</v>
      </c>
      <c r="H3491" s="156" t="str">
        <f>'Reported burning'!H3491</f>
        <v>Presence</v>
      </c>
      <c r="I3491" s="5"/>
      <c r="J3491" s="21" t="s">
        <v>2372</v>
      </c>
      <c r="K3491" s="21" t="s">
        <v>2276</v>
      </c>
      <c r="L3491" s="21" t="s">
        <v>2276</v>
      </c>
      <c r="M3491" s="21" t="s">
        <v>2276</v>
      </c>
      <c r="N3491" s="21" t="s">
        <v>2276</v>
      </c>
      <c r="O3491" s="21" t="s">
        <v>2276</v>
      </c>
      <c r="P3491" s="21" t="s">
        <v>2375</v>
      </c>
      <c r="Q3491" s="21" t="s">
        <v>2276</v>
      </c>
      <c r="R3491" s="21" t="s">
        <v>2276</v>
      </c>
      <c r="S3491" s="21" t="s">
        <v>2276</v>
      </c>
      <c r="T3491" s="21" t="s">
        <v>2276</v>
      </c>
      <c r="U3491" s="21" t="s">
        <v>2276</v>
      </c>
      <c r="V3491" s="21" t="s">
        <v>2276</v>
      </c>
      <c r="W3491" s="21" t="s">
        <v>2276</v>
      </c>
      <c r="X3491" s="21" t="s">
        <v>2276</v>
      </c>
      <c r="Y3491" s="21" t="s">
        <v>2276</v>
      </c>
      <c r="Z3491" s="21" t="s">
        <v>2276</v>
      </c>
      <c r="AA3491" s="204"/>
      <c r="AB3491" s="4" t="s">
        <v>9141</v>
      </c>
    </row>
    <row r="3492" spans="1:28" ht="48.5" customHeight="1">
      <c r="A3492" s="156" t="str">
        <f>'Reported burning'!A3492</f>
        <v>380a</v>
      </c>
      <c r="B3492" s="156" t="str">
        <f>'Reported burning'!B3492</f>
        <v>380a.3</v>
      </c>
      <c r="C3492" s="156" t="str">
        <f>'Reported burning'!C3492</f>
        <v>All</v>
      </c>
      <c r="D3492" s="156" t="str">
        <f>'Reported burning'!D3492</f>
        <v>ND</v>
      </c>
      <c r="E3492" s="156" t="str">
        <f>'Reported burning'!E3492</f>
        <v>Forestry, Industrial</v>
      </c>
      <c r="F3492" s="156" t="str">
        <f>'Reported burning'!F3492</f>
        <v>ND</v>
      </c>
      <c r="G3492" s="156" t="str">
        <f>'Reported burning'!G3492</f>
        <v>Plantation forest</v>
      </c>
      <c r="H3492" s="156" t="str">
        <f>'Reported burning'!H3492</f>
        <v>Presence</v>
      </c>
      <c r="I3492" s="5"/>
      <c r="J3492" s="21" t="s">
        <v>2372</v>
      </c>
      <c r="K3492" s="21" t="s">
        <v>2276</v>
      </c>
      <c r="L3492" s="21" t="s">
        <v>2276</v>
      </c>
      <c r="M3492" s="21" t="s">
        <v>2276</v>
      </c>
      <c r="N3492" s="21" t="s">
        <v>2276</v>
      </c>
      <c r="O3492" s="21" t="s">
        <v>2276</v>
      </c>
      <c r="P3492" s="21" t="s">
        <v>2375</v>
      </c>
      <c r="Q3492" s="21" t="s">
        <v>2276</v>
      </c>
      <c r="R3492" s="21" t="s">
        <v>2276</v>
      </c>
      <c r="S3492" s="21" t="s">
        <v>2276</v>
      </c>
      <c r="T3492" s="21" t="s">
        <v>2276</v>
      </c>
      <c r="U3492" s="21" t="s">
        <v>2276</v>
      </c>
      <c r="V3492" s="21" t="s">
        <v>2276</v>
      </c>
      <c r="W3492" s="21" t="s">
        <v>2276</v>
      </c>
      <c r="X3492" s="21" t="s">
        <v>2276</v>
      </c>
      <c r="Y3492" s="21" t="s">
        <v>2276</v>
      </c>
      <c r="Z3492" s="21" t="s">
        <v>2276</v>
      </c>
      <c r="AA3492" s="204"/>
      <c r="AB3492" s="204"/>
    </row>
    <row r="3493" spans="1:28" ht="51.5" customHeight="1">
      <c r="A3493" s="156" t="str">
        <f>'Reported burning'!A3493</f>
        <v>380a</v>
      </c>
      <c r="B3493" s="156" t="str">
        <f>'Reported burning'!B3493</f>
        <v>380a.4</v>
      </c>
      <c r="C3493" s="156" t="str">
        <f>'Reported burning'!C3493</f>
        <v>Human, deliberate</v>
      </c>
      <c r="D3493" s="156" t="str">
        <f>'Reported burning'!D3493</f>
        <v>Arson</v>
      </c>
      <c r="E3493" s="156" t="str">
        <f>'Reported burning'!E3493</f>
        <v>ND</v>
      </c>
      <c r="F3493" s="156" t="str">
        <f>'Reported burning'!F3493</f>
        <v>All</v>
      </c>
      <c r="G3493" s="156" t="str">
        <f>'Reported burning'!G3493</f>
        <v>Forest</v>
      </c>
      <c r="H3493" s="156" t="str">
        <f>'Reported burning'!H3493</f>
        <v>Presence</v>
      </c>
      <c r="I3493" s="5"/>
      <c r="J3493" s="21"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1" t="s">
        <v>2276</v>
      </c>
      <c r="Y3493" s="21" t="s">
        <v>2276</v>
      </c>
      <c r="Z3493" s="21" t="s">
        <v>2276</v>
      </c>
      <c r="AA3493" s="204"/>
      <c r="AB3493" s="204"/>
    </row>
    <row r="3494" spans="1:28" ht="54" customHeight="1">
      <c r="A3494" s="156" t="str">
        <f>'Reported burning'!A3494</f>
        <v>380a</v>
      </c>
      <c r="B3494" s="156" t="str">
        <f>'Reported burning'!B3494</f>
        <v>380a.5</v>
      </c>
      <c r="C3494" s="156" t="str">
        <f>'Reported burning'!C3494</f>
        <v>Human, deliberate</v>
      </c>
      <c r="D3494" s="156" t="str">
        <f>'Reported burning'!D3494</f>
        <v>ND</v>
      </c>
      <c r="E3494" s="156" t="str">
        <f>'Reported burning'!E3494</f>
        <v>ND</v>
      </c>
      <c r="F3494" s="156" t="str">
        <f>'Reported burning'!F3494</f>
        <v>All</v>
      </c>
      <c r="G3494" s="156" t="str">
        <f>'Reported burning'!G3494</f>
        <v>Forest</v>
      </c>
      <c r="H3494" s="156" t="str">
        <f>'Reported burning'!H3494</f>
        <v>Presence</v>
      </c>
      <c r="I3494" s="5"/>
      <c r="J3494" s="21"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1" t="s">
        <v>2276</v>
      </c>
      <c r="Y3494" s="21" t="s">
        <v>2276</v>
      </c>
      <c r="Z3494" s="21" t="s">
        <v>2276</v>
      </c>
      <c r="AA3494" s="204"/>
      <c r="AB3494" s="204"/>
    </row>
    <row r="3495" spans="1:28" ht="54" customHeight="1">
      <c r="A3495" s="156" t="str">
        <f>'Reported burning'!A3495</f>
        <v>380a</v>
      </c>
      <c r="B3495" s="156" t="str">
        <f>'Reported burning'!B3495</f>
        <v>380a.6</v>
      </c>
      <c r="C3495" s="156" t="str">
        <f>'Reported burning'!C3495</f>
        <v>Lightning</v>
      </c>
      <c r="D3495" s="156" t="str">
        <f>'Reported burning'!D3495</f>
        <v>ND</v>
      </c>
      <c r="E3495" s="156" t="str">
        <f>'Reported burning'!E3495</f>
        <v>ND</v>
      </c>
      <c r="F3495" s="156" t="str">
        <f>'Reported burning'!F3495</f>
        <v>All</v>
      </c>
      <c r="G3495" s="156" t="str">
        <f>'Reported burning'!G3495</f>
        <v>Forest</v>
      </c>
      <c r="H3495" s="156" t="str">
        <f>'Reported burning'!H3495</f>
        <v>Presence</v>
      </c>
      <c r="I3495" s="5"/>
      <c r="J3495" s="21"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1" t="s">
        <v>2276</v>
      </c>
      <c r="Y3495" s="21" t="s">
        <v>2276</v>
      </c>
      <c r="Z3495" s="21" t="s">
        <v>2276</v>
      </c>
      <c r="AA3495" s="204"/>
      <c r="AB3495" s="204"/>
    </row>
    <row r="3496" spans="1:28" ht="54" customHeight="1">
      <c r="A3496" s="156" t="str">
        <f>'Reported burning'!A3496</f>
        <v>380a</v>
      </c>
      <c r="B3496" s="156" t="str">
        <f>'Reported burning'!B3496</f>
        <v>380a.7</v>
      </c>
      <c r="C3496" s="156" t="str">
        <f>'Reported burning'!C3496</f>
        <v>Human, accidental</v>
      </c>
      <c r="D3496" s="156" t="str">
        <f>'Reported burning'!D3496</f>
        <v>Accidental</v>
      </c>
      <c r="E3496" s="156" t="str">
        <f>'Reported burning'!E3496</f>
        <v>ND</v>
      </c>
      <c r="F3496" s="156" t="str">
        <f>'Reported burning'!F3496</f>
        <v>All</v>
      </c>
      <c r="G3496" s="156" t="str">
        <f>'Reported burning'!G3496</f>
        <v>Forest</v>
      </c>
      <c r="H3496" s="156" t="str">
        <f>'Reported burning'!H3496</f>
        <v>Presence</v>
      </c>
      <c r="I3496" s="5"/>
      <c r="J3496" s="21"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1" t="s">
        <v>2276</v>
      </c>
      <c r="Y3496" s="21" t="s">
        <v>2276</v>
      </c>
      <c r="Z3496" s="21" t="s">
        <v>2276</v>
      </c>
      <c r="AA3496" s="204"/>
      <c r="AB3496" s="204"/>
    </row>
    <row r="3497" spans="1:28" ht="102.5" customHeight="1">
      <c r="A3497" s="156" t="str">
        <f>'Reported burning'!A3497</f>
        <v>381a</v>
      </c>
      <c r="B3497" s="156" t="str">
        <f>'Reported burning'!B3497</f>
        <v>381a.1</v>
      </c>
      <c r="C3497" s="156" t="str">
        <f>'Reported burning'!C3497</f>
        <v>Human, escaped</v>
      </c>
      <c r="D3497" s="156" t="str">
        <f>'Reported burning'!D3497</f>
        <v>ND</v>
      </c>
      <c r="E3497" s="156" t="str">
        <f>'Reported burning'!E3497</f>
        <v>All</v>
      </c>
      <c r="F3497" s="156" t="str">
        <f>'Reported burning'!F3497</f>
        <v>ND</v>
      </c>
      <c r="G3497" s="156" t="str">
        <f>'Reported burning'!G3497</f>
        <v>Shrubland (Mixed forest &amp; grassland)</v>
      </c>
      <c r="H3497" s="156" t="str">
        <f>'Reported burning'!H3497</f>
        <v>Presence</v>
      </c>
      <c r="I3497" s="5"/>
      <c r="J3497" s="177" t="s">
        <v>2276</v>
      </c>
      <c r="K3497" s="177" t="s">
        <v>2276</v>
      </c>
      <c r="L3497" s="177" t="s">
        <v>2276</v>
      </c>
      <c r="M3497" s="177" t="s">
        <v>2276</v>
      </c>
      <c r="N3497" s="177" t="s">
        <v>2276</v>
      </c>
      <c r="O3497" s="177" t="s">
        <v>2276</v>
      </c>
      <c r="P3497" s="177" t="s">
        <v>2276</v>
      </c>
      <c r="Q3497" s="177" t="s">
        <v>2276</v>
      </c>
      <c r="R3497" s="177" t="s">
        <v>2276</v>
      </c>
      <c r="S3497" s="21" t="s">
        <v>2276</v>
      </c>
      <c r="T3497" s="21" t="s">
        <v>2276</v>
      </c>
      <c r="U3497" s="21" t="s">
        <v>2276</v>
      </c>
      <c r="V3497" s="21" t="s">
        <v>2276</v>
      </c>
      <c r="W3497" s="21" t="s">
        <v>2276</v>
      </c>
      <c r="X3497" s="21" t="s">
        <v>2276</v>
      </c>
      <c r="Y3497" s="21" t="s">
        <v>2276</v>
      </c>
      <c r="Z3497" s="21" t="s">
        <v>2276</v>
      </c>
      <c r="AA3497" s="4" t="s">
        <v>9184</v>
      </c>
      <c r="AB3497" s="4" t="s">
        <v>9241</v>
      </c>
    </row>
    <row r="3498" spans="1:28" ht="102.5" customHeight="1">
      <c r="A3498" s="156" t="str">
        <f>'Reported burning'!A3498</f>
        <v>381aa</v>
      </c>
      <c r="B3498" s="156" t="str">
        <f>'Reported burning'!B3498</f>
        <v>381aa.1</v>
      </c>
      <c r="C3498" s="156" t="str">
        <f>'Reported burning'!C3498</f>
        <v>Human, escaped</v>
      </c>
      <c r="D3498" s="156" t="str">
        <f>'Reported burning'!D3498</f>
        <v>ND</v>
      </c>
      <c r="E3498" s="156" t="str">
        <f>'Reported burning'!E3498</f>
        <v>All</v>
      </c>
      <c r="F3498" s="156" t="str">
        <f>'Reported burning'!F3498</f>
        <v>ND</v>
      </c>
      <c r="G3498" s="156" t="str">
        <f>'Reported burning'!G3498</f>
        <v>Shrubland (Mixed forest &amp; grassland)</v>
      </c>
      <c r="H3498" s="156" t="str">
        <f>'Reported burning'!H3498</f>
        <v>Presence</v>
      </c>
      <c r="I3498" s="5"/>
      <c r="J3498" s="177" t="s">
        <v>2276</v>
      </c>
      <c r="K3498" s="177" t="s">
        <v>2276</v>
      </c>
      <c r="L3498" s="177" t="s">
        <v>2276</v>
      </c>
      <c r="M3498" s="177" t="s">
        <v>2276</v>
      </c>
      <c r="N3498" s="177" t="s">
        <v>2276</v>
      </c>
      <c r="O3498" s="177" t="s">
        <v>2276</v>
      </c>
      <c r="P3498" s="177" t="s">
        <v>2276</v>
      </c>
      <c r="Q3498" s="177" t="s">
        <v>2276</v>
      </c>
      <c r="R3498" s="177" t="s">
        <v>2276</v>
      </c>
      <c r="S3498" s="21" t="s">
        <v>2276</v>
      </c>
      <c r="T3498" s="21" t="s">
        <v>2276</v>
      </c>
      <c r="U3498" s="21" t="s">
        <v>2276</v>
      </c>
      <c r="V3498" s="21" t="s">
        <v>2276</v>
      </c>
      <c r="W3498" s="21" t="s">
        <v>2276</v>
      </c>
      <c r="X3498" s="21" t="s">
        <v>2276</v>
      </c>
      <c r="Y3498" s="21" t="s">
        <v>2276</v>
      </c>
      <c r="Z3498" s="21" t="s">
        <v>2276</v>
      </c>
      <c r="AA3498" s="4" t="s">
        <v>9184</v>
      </c>
      <c r="AB3498" s="4" t="s">
        <v>9241</v>
      </c>
    </row>
    <row r="3499" spans="1:28" ht="102.5" customHeight="1">
      <c r="A3499" s="156" t="str">
        <f>'Reported burning'!A3499</f>
        <v>381ba</v>
      </c>
      <c r="B3499" s="156" t="str">
        <f>'Reported burning'!B3499</f>
        <v>381ba.1</v>
      </c>
      <c r="C3499" s="156" t="str">
        <f>'Reported burning'!C3499</f>
        <v>Human, escaped</v>
      </c>
      <c r="D3499" s="156" t="str">
        <f>'Reported burning'!D3499</f>
        <v>ND</v>
      </c>
      <c r="E3499" s="156" t="str">
        <f>'Reported burning'!E3499</f>
        <v>All</v>
      </c>
      <c r="F3499" s="156" t="str">
        <f>'Reported burning'!F3499</f>
        <v>ND</v>
      </c>
      <c r="G3499" s="156" t="str">
        <f>'Reported burning'!G3499</f>
        <v>Shrubland (Mixed forest &amp; grassland)</v>
      </c>
      <c r="H3499" s="156" t="str">
        <f>'Reported burning'!H3499</f>
        <v>Presence</v>
      </c>
      <c r="I3499" s="5"/>
      <c r="J3499" s="177" t="s">
        <v>2276</v>
      </c>
      <c r="K3499" s="177" t="s">
        <v>2276</v>
      </c>
      <c r="L3499" s="177" t="s">
        <v>2276</v>
      </c>
      <c r="M3499" s="177" t="s">
        <v>2276</v>
      </c>
      <c r="N3499" s="177" t="s">
        <v>2276</v>
      </c>
      <c r="O3499" s="177" t="s">
        <v>2276</v>
      </c>
      <c r="P3499" s="177" t="s">
        <v>2276</v>
      </c>
      <c r="Q3499" s="177" t="s">
        <v>2276</v>
      </c>
      <c r="R3499" s="177" t="s">
        <v>2276</v>
      </c>
      <c r="S3499" s="21" t="s">
        <v>2276</v>
      </c>
      <c r="T3499" s="21" t="s">
        <v>2276</v>
      </c>
      <c r="U3499" s="21" t="s">
        <v>2276</v>
      </c>
      <c r="V3499" s="21" t="s">
        <v>2276</v>
      </c>
      <c r="W3499" s="21" t="s">
        <v>2276</v>
      </c>
      <c r="X3499" s="21" t="s">
        <v>2276</v>
      </c>
      <c r="Y3499" s="21" t="s">
        <v>2276</v>
      </c>
      <c r="Z3499" s="21" t="s">
        <v>2276</v>
      </c>
      <c r="AA3499" s="4" t="s">
        <v>9184</v>
      </c>
      <c r="AB3499" s="4" t="s">
        <v>9241</v>
      </c>
    </row>
    <row r="3500" spans="1:28" ht="102.5" customHeight="1">
      <c r="A3500" s="156" t="str">
        <f>'Reported burning'!A3500</f>
        <v>381b</v>
      </c>
      <c r="B3500" s="156" t="str">
        <f>'Reported burning'!B3500</f>
        <v>381b.1</v>
      </c>
      <c r="C3500" s="156" t="str">
        <f>'Reported burning'!C3500</f>
        <v>Human, escaped</v>
      </c>
      <c r="D3500" s="156" t="str">
        <f>'Reported burning'!D3500</f>
        <v>ND</v>
      </c>
      <c r="E3500" s="156" t="str">
        <f>'Reported burning'!E3500</f>
        <v>All</v>
      </c>
      <c r="F3500" s="156" t="str">
        <f>'Reported burning'!F3500</f>
        <v>ND</v>
      </c>
      <c r="G3500" s="156" t="str">
        <f>'Reported burning'!G3500</f>
        <v>Shrubland (Mixed forest &amp; grassland)</v>
      </c>
      <c r="H3500" s="156" t="str">
        <f>'Reported burning'!H3500</f>
        <v>Absence</v>
      </c>
      <c r="I3500" s="5"/>
      <c r="J3500" s="21">
        <v>0</v>
      </c>
      <c r="K3500" s="21">
        <v>0</v>
      </c>
      <c r="L3500" s="21">
        <v>0</v>
      </c>
      <c r="M3500" s="21">
        <v>0</v>
      </c>
      <c r="N3500" s="21">
        <v>0</v>
      </c>
      <c r="O3500" s="21">
        <v>0</v>
      </c>
      <c r="P3500" s="21">
        <v>0</v>
      </c>
      <c r="Q3500" s="21">
        <v>0</v>
      </c>
      <c r="R3500" s="21">
        <v>0</v>
      </c>
      <c r="S3500" s="21">
        <v>0</v>
      </c>
      <c r="T3500" s="21">
        <v>0</v>
      </c>
      <c r="U3500" s="21">
        <v>0</v>
      </c>
      <c r="V3500" s="21">
        <v>0</v>
      </c>
      <c r="W3500" s="21" t="s">
        <v>2276</v>
      </c>
      <c r="X3500" s="21" t="s">
        <v>2276</v>
      </c>
      <c r="Y3500" s="21" t="s">
        <v>2276</v>
      </c>
      <c r="Z3500" s="21" t="s">
        <v>2276</v>
      </c>
      <c r="AA3500" s="4" t="s">
        <v>9184</v>
      </c>
      <c r="AB3500" s="4" t="s">
        <v>9241</v>
      </c>
    </row>
    <row r="3501" spans="1:28" ht="102.5" customHeight="1">
      <c r="A3501" s="156" t="str">
        <f>'Reported burning'!A3501</f>
        <v>381c</v>
      </c>
      <c r="B3501" s="156" t="str">
        <f>'Reported burning'!B3501</f>
        <v>381c.1</v>
      </c>
      <c r="C3501" s="156" t="str">
        <f>'Reported burning'!C3501</f>
        <v>Human, escaped</v>
      </c>
      <c r="D3501" s="156" t="str">
        <f>'Reported burning'!D3501</f>
        <v>ND</v>
      </c>
      <c r="E3501" s="156" t="str">
        <f>'Reported burning'!E3501</f>
        <v>All</v>
      </c>
      <c r="F3501" s="156" t="str">
        <f>'Reported burning'!F3501</f>
        <v>ND</v>
      </c>
      <c r="G3501" s="156" t="str">
        <f>'Reported burning'!G3501</f>
        <v>Shrubland (Mixed forest &amp; grassland)</v>
      </c>
      <c r="H3501" s="156" t="str">
        <f>'Reported burning'!H3501</f>
        <v>Absence</v>
      </c>
      <c r="I3501" s="5"/>
      <c r="J3501" s="21">
        <v>0</v>
      </c>
      <c r="K3501" s="21">
        <v>0</v>
      </c>
      <c r="L3501" s="21">
        <v>0</v>
      </c>
      <c r="M3501" s="21">
        <v>0</v>
      </c>
      <c r="N3501" s="21">
        <v>0</v>
      </c>
      <c r="O3501" s="21">
        <v>0</v>
      </c>
      <c r="P3501" s="21">
        <v>0</v>
      </c>
      <c r="Q3501" s="21">
        <v>0</v>
      </c>
      <c r="R3501" s="21">
        <v>0</v>
      </c>
      <c r="S3501" s="21">
        <v>0</v>
      </c>
      <c r="T3501" s="21">
        <v>0</v>
      </c>
      <c r="U3501" s="21">
        <v>0</v>
      </c>
      <c r="V3501" s="21">
        <v>0</v>
      </c>
      <c r="W3501" s="21" t="s">
        <v>2276</v>
      </c>
      <c r="X3501" s="21" t="s">
        <v>2276</v>
      </c>
      <c r="Y3501" s="21" t="s">
        <v>2276</v>
      </c>
      <c r="Z3501" s="21" t="s">
        <v>2276</v>
      </c>
      <c r="AA3501" s="4" t="s">
        <v>9184</v>
      </c>
      <c r="AB3501" s="4" t="s">
        <v>9241</v>
      </c>
    </row>
    <row r="3502" spans="1:28" ht="102.5" customHeight="1">
      <c r="A3502" s="156" t="str">
        <f>'Reported burning'!A3502</f>
        <v>381d</v>
      </c>
      <c r="B3502" s="156" t="str">
        <f>'Reported burning'!B3502</f>
        <v>381d.1</v>
      </c>
      <c r="C3502" s="156" t="str">
        <f>'Reported burning'!C3502</f>
        <v>Human, escaped</v>
      </c>
      <c r="D3502" s="156" t="str">
        <f>'Reported burning'!D3502</f>
        <v>ND</v>
      </c>
      <c r="E3502" s="156" t="str">
        <f>'Reported burning'!E3502</f>
        <v>All</v>
      </c>
      <c r="F3502" s="156" t="str">
        <f>'Reported burning'!F3502</f>
        <v>ND</v>
      </c>
      <c r="G3502" s="156" t="str">
        <f>'Reported burning'!G3502</f>
        <v>Shrubland (Mixed forest &amp; grassland)</v>
      </c>
      <c r="H3502" s="156" t="str">
        <f>'Reported burning'!H3502</f>
        <v>Absence</v>
      </c>
      <c r="I3502" s="5"/>
      <c r="J3502" s="21">
        <v>0</v>
      </c>
      <c r="K3502" s="21">
        <v>0</v>
      </c>
      <c r="L3502" s="21">
        <v>0</v>
      </c>
      <c r="M3502" s="21">
        <v>0</v>
      </c>
      <c r="N3502" s="21">
        <v>0</v>
      </c>
      <c r="O3502" s="21">
        <v>0</v>
      </c>
      <c r="P3502" s="21">
        <v>0</v>
      </c>
      <c r="Q3502" s="21">
        <v>0</v>
      </c>
      <c r="R3502" s="21">
        <v>0</v>
      </c>
      <c r="S3502" s="21">
        <v>0</v>
      </c>
      <c r="T3502" s="21">
        <v>0</v>
      </c>
      <c r="U3502" s="21">
        <v>0</v>
      </c>
      <c r="V3502" s="21">
        <v>0</v>
      </c>
      <c r="W3502" s="21" t="s">
        <v>2276</v>
      </c>
      <c r="X3502" s="21" t="s">
        <v>2276</v>
      </c>
      <c r="Y3502" s="21" t="s">
        <v>2276</v>
      </c>
      <c r="Z3502" s="21" t="s">
        <v>2276</v>
      </c>
      <c r="AA3502" s="4" t="s">
        <v>9184</v>
      </c>
      <c r="AB3502" s="4" t="s">
        <v>9241</v>
      </c>
    </row>
    <row r="3503" spans="1:28" ht="102.5" customHeight="1">
      <c r="A3503" s="156" t="str">
        <f>'Reported burning'!A3503</f>
        <v>381e</v>
      </c>
      <c r="B3503" s="156" t="str">
        <f>'Reported burning'!B3503</f>
        <v>381e.1</v>
      </c>
      <c r="C3503" s="156" t="str">
        <f>'Reported burning'!C3503</f>
        <v>Human, escaped</v>
      </c>
      <c r="D3503" s="156" t="str">
        <f>'Reported burning'!D3503</f>
        <v>ND</v>
      </c>
      <c r="E3503" s="156" t="str">
        <f>'Reported burning'!E3503</f>
        <v>All</v>
      </c>
      <c r="F3503" s="156" t="str">
        <f>'Reported burning'!F3503</f>
        <v>ND</v>
      </c>
      <c r="G3503" s="156" t="str">
        <f>'Reported burning'!G3503</f>
        <v>Shrubland (Mixed forest &amp; grassland)</v>
      </c>
      <c r="H3503" s="156" t="str">
        <f>'Reported burning'!H3503</f>
        <v>Presence</v>
      </c>
      <c r="I3503" s="5"/>
      <c r="J3503" s="177" t="s">
        <v>2276</v>
      </c>
      <c r="K3503" s="177" t="s">
        <v>2276</v>
      </c>
      <c r="L3503" s="177" t="s">
        <v>2276</v>
      </c>
      <c r="M3503" s="177" t="s">
        <v>2276</v>
      </c>
      <c r="N3503" s="177" t="s">
        <v>2276</v>
      </c>
      <c r="O3503" s="177" t="s">
        <v>2276</v>
      </c>
      <c r="P3503" s="177" t="s">
        <v>2276</v>
      </c>
      <c r="Q3503" s="177" t="s">
        <v>2276</v>
      </c>
      <c r="R3503" s="177" t="s">
        <v>2276</v>
      </c>
      <c r="S3503" s="177" t="s">
        <v>2276</v>
      </c>
      <c r="T3503" s="177" t="s">
        <v>2276</v>
      </c>
      <c r="U3503" s="177" t="s">
        <v>2276</v>
      </c>
      <c r="V3503" s="177" t="s">
        <v>2276</v>
      </c>
      <c r="W3503" s="177" t="s">
        <v>2276</v>
      </c>
      <c r="X3503" s="177" t="s">
        <v>2276</v>
      </c>
      <c r="Y3503" s="177" t="s">
        <v>2276</v>
      </c>
      <c r="Z3503" s="177" t="s">
        <v>2276</v>
      </c>
      <c r="AA3503" s="4" t="s">
        <v>9184</v>
      </c>
      <c r="AB3503" s="4" t="s">
        <v>9241</v>
      </c>
    </row>
    <row r="3504" spans="1:28" ht="102.5" customHeight="1">
      <c r="A3504" s="156" t="str">
        <f>'Reported burning'!A3504</f>
        <v>381f</v>
      </c>
      <c r="B3504" s="156" t="str">
        <f>'Reported burning'!B3504</f>
        <v>381f.1</v>
      </c>
      <c r="C3504" s="156" t="str">
        <f>'Reported burning'!C3504</f>
        <v>Human, escaped</v>
      </c>
      <c r="D3504" s="156" t="str">
        <f>'Reported burning'!D3504</f>
        <v>ND</v>
      </c>
      <c r="E3504" s="156" t="str">
        <f>'Reported burning'!E3504</f>
        <v>All</v>
      </c>
      <c r="F3504" s="156" t="str">
        <f>'Reported burning'!F3504</f>
        <v>ND</v>
      </c>
      <c r="G3504" s="156" t="str">
        <f>'Reported burning'!G3504</f>
        <v>Shrubland (Mixed forest &amp; grassland)</v>
      </c>
      <c r="H3504" s="156" t="str">
        <f>'Reported burning'!H3504</f>
        <v>Presence</v>
      </c>
      <c r="I3504" s="5"/>
      <c r="J3504" s="177" t="s">
        <v>2276</v>
      </c>
      <c r="K3504" s="177" t="s">
        <v>2276</v>
      </c>
      <c r="L3504" s="177" t="s">
        <v>2276</v>
      </c>
      <c r="M3504" s="177" t="s">
        <v>2276</v>
      </c>
      <c r="N3504" s="177" t="s">
        <v>2276</v>
      </c>
      <c r="O3504" s="177" t="s">
        <v>2276</v>
      </c>
      <c r="P3504" s="177" t="s">
        <v>2276</v>
      </c>
      <c r="Q3504" s="177" t="s">
        <v>2276</v>
      </c>
      <c r="R3504" s="177" t="s">
        <v>2276</v>
      </c>
      <c r="S3504" s="177" t="s">
        <v>2276</v>
      </c>
      <c r="T3504" s="177" t="s">
        <v>2276</v>
      </c>
      <c r="U3504" s="177" t="s">
        <v>2276</v>
      </c>
      <c r="V3504" s="177" t="s">
        <v>2276</v>
      </c>
      <c r="W3504" s="177" t="s">
        <v>2276</v>
      </c>
      <c r="X3504" s="177" t="s">
        <v>2276</v>
      </c>
      <c r="Y3504" s="177" t="s">
        <v>2276</v>
      </c>
      <c r="Z3504" s="177" t="s">
        <v>2276</v>
      </c>
      <c r="AA3504" s="4" t="s">
        <v>9184</v>
      </c>
      <c r="AB3504" s="4" t="s">
        <v>9241</v>
      </c>
    </row>
    <row r="3505" spans="1:28" ht="102.5" customHeight="1">
      <c r="A3505" s="156" t="str">
        <f>'Reported burning'!A3505</f>
        <v>381g</v>
      </c>
      <c r="B3505" s="156" t="str">
        <f>'Reported burning'!B3505</f>
        <v>381g.1</v>
      </c>
      <c r="C3505" s="156" t="str">
        <f>'Reported burning'!C3505</f>
        <v>Human, escaped</v>
      </c>
      <c r="D3505" s="156" t="str">
        <f>'Reported burning'!D3505</f>
        <v>ND</v>
      </c>
      <c r="E3505" s="156" t="str">
        <f>'Reported burning'!E3505</f>
        <v>All</v>
      </c>
      <c r="F3505" s="156" t="str">
        <f>'Reported burning'!F3505</f>
        <v>ND</v>
      </c>
      <c r="G3505" s="156" t="str">
        <f>'Reported burning'!G3505</f>
        <v>Shrubland (Mixed forest &amp; grassland)</v>
      </c>
      <c r="H3505" s="156" t="str">
        <f>'Reported burning'!H3505</f>
        <v>Presence</v>
      </c>
      <c r="I3505" s="5"/>
      <c r="J3505" s="177" t="s">
        <v>2276</v>
      </c>
      <c r="K3505" s="177" t="s">
        <v>2276</v>
      </c>
      <c r="L3505" s="177" t="s">
        <v>2276</v>
      </c>
      <c r="M3505" s="177" t="s">
        <v>2276</v>
      </c>
      <c r="N3505" s="177" t="s">
        <v>2276</v>
      </c>
      <c r="O3505" s="177" t="s">
        <v>2276</v>
      </c>
      <c r="P3505" s="177" t="s">
        <v>2276</v>
      </c>
      <c r="Q3505" s="177" t="s">
        <v>2276</v>
      </c>
      <c r="R3505" s="177" t="s">
        <v>2276</v>
      </c>
      <c r="S3505" s="177" t="s">
        <v>2276</v>
      </c>
      <c r="T3505" s="177" t="s">
        <v>2276</v>
      </c>
      <c r="U3505" s="177" t="s">
        <v>2276</v>
      </c>
      <c r="V3505" s="177" t="s">
        <v>2276</v>
      </c>
      <c r="W3505" s="177" t="s">
        <v>2276</v>
      </c>
      <c r="X3505" s="177" t="s">
        <v>2276</v>
      </c>
      <c r="Y3505" s="177" t="s">
        <v>2276</v>
      </c>
      <c r="Z3505" s="177" t="s">
        <v>2276</v>
      </c>
      <c r="AA3505" s="4" t="s">
        <v>9184</v>
      </c>
      <c r="AB3505" s="4" t="s">
        <v>9241</v>
      </c>
    </row>
    <row r="3506" spans="1:28" ht="102.5" customHeight="1">
      <c r="A3506" s="156" t="str">
        <f>'Reported burning'!A3506</f>
        <v>381h</v>
      </c>
      <c r="B3506" s="156" t="str">
        <f>'Reported burning'!B3506</f>
        <v>381h.1</v>
      </c>
      <c r="C3506" s="156" t="str">
        <f>'Reported burning'!C3506</f>
        <v>Human, escaped</v>
      </c>
      <c r="D3506" s="156" t="str">
        <f>'Reported burning'!D3506</f>
        <v>ND</v>
      </c>
      <c r="E3506" s="156" t="str">
        <f>'Reported burning'!E3506</f>
        <v>All</v>
      </c>
      <c r="F3506" s="156" t="str">
        <f>'Reported burning'!F3506</f>
        <v>ND</v>
      </c>
      <c r="G3506" s="156" t="str">
        <f>'Reported burning'!G3506</f>
        <v>Shrubland (Mixed forest &amp; grassland)</v>
      </c>
      <c r="H3506" s="156" t="str">
        <f>'Reported burning'!H3506</f>
        <v>Presence</v>
      </c>
      <c r="I3506" s="5"/>
      <c r="J3506" s="177" t="s">
        <v>2276</v>
      </c>
      <c r="K3506" s="177" t="s">
        <v>2276</v>
      </c>
      <c r="L3506" s="177" t="s">
        <v>2276</v>
      </c>
      <c r="M3506" s="177" t="s">
        <v>2276</v>
      </c>
      <c r="N3506" s="177" t="s">
        <v>2276</v>
      </c>
      <c r="O3506" s="177" t="s">
        <v>2276</v>
      </c>
      <c r="P3506" s="177" t="s">
        <v>2276</v>
      </c>
      <c r="Q3506" s="177" t="s">
        <v>2276</v>
      </c>
      <c r="R3506" s="177" t="s">
        <v>2276</v>
      </c>
      <c r="S3506" s="177" t="s">
        <v>2276</v>
      </c>
      <c r="T3506" s="177" t="s">
        <v>2276</v>
      </c>
      <c r="U3506" s="177" t="s">
        <v>2276</v>
      </c>
      <c r="V3506" s="177" t="s">
        <v>2276</v>
      </c>
      <c r="W3506" s="177" t="s">
        <v>2276</v>
      </c>
      <c r="X3506" s="177" t="s">
        <v>2276</v>
      </c>
      <c r="Y3506" s="177" t="s">
        <v>2276</v>
      </c>
      <c r="Z3506" s="177" t="s">
        <v>2276</v>
      </c>
      <c r="AA3506" s="4" t="s">
        <v>9184</v>
      </c>
      <c r="AB3506" s="4" t="s">
        <v>9241</v>
      </c>
    </row>
    <row r="3507" spans="1:28" ht="102.5" customHeight="1">
      <c r="A3507" s="156" t="str">
        <f>'Reported burning'!A3507</f>
        <v>381i</v>
      </c>
      <c r="B3507" s="156" t="str">
        <f>'Reported burning'!B3507</f>
        <v>381i.1</v>
      </c>
      <c r="C3507" s="156" t="str">
        <f>'Reported burning'!C3507</f>
        <v>Human, escaped</v>
      </c>
      <c r="D3507" s="156" t="str">
        <f>'Reported burning'!D3507</f>
        <v>ND</v>
      </c>
      <c r="E3507" s="156" t="str">
        <f>'Reported burning'!E3507</f>
        <v>All</v>
      </c>
      <c r="F3507" s="156" t="str">
        <f>'Reported burning'!F3507</f>
        <v>ND</v>
      </c>
      <c r="G3507" s="156" t="str">
        <f>'Reported burning'!G3507</f>
        <v>Shrubland (Mixed forest &amp; grassland)</v>
      </c>
      <c r="H3507" s="156" t="str">
        <f>'Reported burning'!H3507</f>
        <v>Presence</v>
      </c>
      <c r="I3507" s="5"/>
      <c r="J3507" s="177" t="s">
        <v>2276</v>
      </c>
      <c r="K3507" s="177" t="s">
        <v>2276</v>
      </c>
      <c r="L3507" s="177" t="s">
        <v>2276</v>
      </c>
      <c r="M3507" s="177" t="s">
        <v>2276</v>
      </c>
      <c r="N3507" s="177" t="s">
        <v>2276</v>
      </c>
      <c r="O3507" s="177" t="s">
        <v>2276</v>
      </c>
      <c r="P3507" s="177" t="s">
        <v>2276</v>
      </c>
      <c r="Q3507" s="177" t="s">
        <v>2276</v>
      </c>
      <c r="R3507" s="177" t="s">
        <v>2276</v>
      </c>
      <c r="S3507" s="177" t="s">
        <v>2276</v>
      </c>
      <c r="T3507" s="177" t="s">
        <v>2276</v>
      </c>
      <c r="U3507" s="177" t="s">
        <v>2276</v>
      </c>
      <c r="V3507" s="177" t="s">
        <v>2276</v>
      </c>
      <c r="W3507" s="177" t="s">
        <v>2276</v>
      </c>
      <c r="X3507" s="177" t="s">
        <v>2276</v>
      </c>
      <c r="Y3507" s="177" t="s">
        <v>2276</v>
      </c>
      <c r="Z3507" s="177" t="s">
        <v>2276</v>
      </c>
      <c r="AA3507" s="4" t="s">
        <v>9184</v>
      </c>
      <c r="AB3507" s="4" t="s">
        <v>9241</v>
      </c>
    </row>
    <row r="3508" spans="1:28" ht="102.5" customHeight="1">
      <c r="A3508" s="156" t="str">
        <f>'Reported burning'!A3508</f>
        <v>381j</v>
      </c>
      <c r="B3508" s="156" t="str">
        <f>'Reported burning'!B3508</f>
        <v>381j.1</v>
      </c>
      <c r="C3508" s="156" t="str">
        <f>'Reported burning'!C3508</f>
        <v>Human, escaped</v>
      </c>
      <c r="D3508" s="156" t="str">
        <f>'Reported burning'!D3508</f>
        <v>ND</v>
      </c>
      <c r="E3508" s="156" t="str">
        <f>'Reported burning'!E3508</f>
        <v>All</v>
      </c>
      <c r="F3508" s="156" t="str">
        <f>'Reported burning'!F3508</f>
        <v>ND</v>
      </c>
      <c r="G3508" s="156" t="str">
        <f>'Reported burning'!G3508</f>
        <v>Shrubland (Mixed forest &amp; grassland)</v>
      </c>
      <c r="H3508" s="156" t="str">
        <f>'Reported burning'!H3508</f>
        <v>Presence</v>
      </c>
      <c r="I3508" s="5"/>
      <c r="J3508" s="177" t="s">
        <v>2276</v>
      </c>
      <c r="K3508" s="177" t="s">
        <v>2276</v>
      </c>
      <c r="L3508" s="177" t="s">
        <v>2276</v>
      </c>
      <c r="M3508" s="177" t="s">
        <v>2276</v>
      </c>
      <c r="N3508" s="177" t="s">
        <v>2276</v>
      </c>
      <c r="O3508" s="177" t="s">
        <v>2276</v>
      </c>
      <c r="P3508" s="177" t="s">
        <v>2276</v>
      </c>
      <c r="Q3508" s="177" t="s">
        <v>2276</v>
      </c>
      <c r="R3508" s="177" t="s">
        <v>2276</v>
      </c>
      <c r="S3508" s="177" t="s">
        <v>2276</v>
      </c>
      <c r="T3508" s="177" t="s">
        <v>2276</v>
      </c>
      <c r="U3508" s="177" t="s">
        <v>2276</v>
      </c>
      <c r="V3508" s="177" t="s">
        <v>2276</v>
      </c>
      <c r="W3508" s="177" t="s">
        <v>2276</v>
      </c>
      <c r="X3508" s="177" t="s">
        <v>2276</v>
      </c>
      <c r="Y3508" s="177" t="s">
        <v>2276</v>
      </c>
      <c r="Z3508" s="177" t="s">
        <v>2276</v>
      </c>
      <c r="AA3508" s="4" t="s">
        <v>9184</v>
      </c>
      <c r="AB3508" s="4" t="s">
        <v>9241</v>
      </c>
    </row>
    <row r="3509" spans="1:28" ht="102.5" customHeight="1">
      <c r="A3509" s="156" t="str">
        <f>'Reported burning'!A3509</f>
        <v>381k</v>
      </c>
      <c r="B3509" s="156" t="str">
        <f>'Reported burning'!B3509</f>
        <v>381k.1</v>
      </c>
      <c r="C3509" s="156" t="str">
        <f>'Reported burning'!C3509</f>
        <v>Human, escaped</v>
      </c>
      <c r="D3509" s="156" t="str">
        <f>'Reported burning'!D3509</f>
        <v>ND</v>
      </c>
      <c r="E3509" s="156" t="str">
        <f>'Reported burning'!E3509</f>
        <v>All</v>
      </c>
      <c r="F3509" s="156" t="str">
        <f>'Reported burning'!F3509</f>
        <v>ND</v>
      </c>
      <c r="G3509" s="156" t="str">
        <f>'Reported burning'!G3509</f>
        <v>Shrubland (Mixed forest &amp; grassland)</v>
      </c>
      <c r="H3509" s="156" t="str">
        <f>'Reported burning'!H3509</f>
        <v>Absence</v>
      </c>
      <c r="I3509" s="5"/>
      <c r="J3509" s="21">
        <v>0</v>
      </c>
      <c r="K3509" s="21">
        <v>0</v>
      </c>
      <c r="L3509" s="21">
        <v>0</v>
      </c>
      <c r="M3509" s="21">
        <v>0</v>
      </c>
      <c r="N3509" s="204">
        <v>0</v>
      </c>
      <c r="O3509" s="21">
        <v>0</v>
      </c>
      <c r="P3509" s="21">
        <v>0</v>
      </c>
      <c r="Q3509" s="21">
        <v>0</v>
      </c>
      <c r="R3509" s="21">
        <v>0</v>
      </c>
      <c r="S3509" s="21">
        <v>0</v>
      </c>
      <c r="T3509" s="21">
        <v>0</v>
      </c>
      <c r="U3509" s="21">
        <v>0</v>
      </c>
      <c r="V3509" s="21">
        <v>0</v>
      </c>
      <c r="W3509" s="177" t="s">
        <v>2276</v>
      </c>
      <c r="X3509" s="177" t="s">
        <v>2276</v>
      </c>
      <c r="Y3509" s="177" t="s">
        <v>2276</v>
      </c>
      <c r="Z3509" s="177" t="s">
        <v>2276</v>
      </c>
      <c r="AA3509" s="4" t="s">
        <v>9184</v>
      </c>
      <c r="AB3509" s="4" t="s">
        <v>9241</v>
      </c>
    </row>
    <row r="3510" spans="1:28" ht="102.5" customHeight="1">
      <c r="A3510" s="156" t="str">
        <f>'Reported burning'!A3510</f>
        <v>381l</v>
      </c>
      <c r="B3510" s="156" t="str">
        <f>'Reported burning'!B3510</f>
        <v>381l.1</v>
      </c>
      <c r="C3510" s="156" t="str">
        <f>'Reported burning'!C3510</f>
        <v>Human, escaped</v>
      </c>
      <c r="D3510" s="156" t="str">
        <f>'Reported burning'!D3510</f>
        <v>ND</v>
      </c>
      <c r="E3510" s="156" t="str">
        <f>'Reported burning'!E3510</f>
        <v>All</v>
      </c>
      <c r="F3510" s="156" t="str">
        <f>'Reported burning'!F3510</f>
        <v>ND</v>
      </c>
      <c r="G3510" s="156" t="str">
        <f>'Reported burning'!G3510</f>
        <v>Shrubland (Mixed forest &amp; grassland)</v>
      </c>
      <c r="H3510" s="156" t="str">
        <f>'Reported burning'!H3510</f>
        <v>Presence</v>
      </c>
      <c r="I3510" s="5"/>
      <c r="J3510" s="177" t="s">
        <v>2276</v>
      </c>
      <c r="K3510" s="177" t="s">
        <v>2276</v>
      </c>
      <c r="L3510" s="177" t="s">
        <v>2276</v>
      </c>
      <c r="M3510" s="177" t="s">
        <v>2276</v>
      </c>
      <c r="N3510" s="21" t="s">
        <v>2276</v>
      </c>
      <c r="O3510" s="177" t="s">
        <v>2276</v>
      </c>
      <c r="P3510" s="177" t="s">
        <v>2276</v>
      </c>
      <c r="Q3510" s="177" t="s">
        <v>2276</v>
      </c>
      <c r="R3510" s="177" t="s">
        <v>2276</v>
      </c>
      <c r="S3510" s="177" t="s">
        <v>2276</v>
      </c>
      <c r="T3510" s="177" t="s">
        <v>2276</v>
      </c>
      <c r="U3510" s="177" t="s">
        <v>2276</v>
      </c>
      <c r="V3510" s="177" t="s">
        <v>2276</v>
      </c>
      <c r="W3510" s="177" t="s">
        <v>2276</v>
      </c>
      <c r="X3510" s="177" t="s">
        <v>2276</v>
      </c>
      <c r="Y3510" s="177" t="s">
        <v>2276</v>
      </c>
      <c r="Z3510" s="177" t="s">
        <v>2276</v>
      </c>
      <c r="AA3510" s="4" t="s">
        <v>9184</v>
      </c>
      <c r="AB3510" s="4" t="s">
        <v>9241</v>
      </c>
    </row>
    <row r="3511" spans="1:28" ht="102.5" customHeight="1">
      <c r="A3511" s="156" t="str">
        <f>'Reported burning'!A3511</f>
        <v>381m</v>
      </c>
      <c r="B3511" s="156" t="str">
        <f>'Reported burning'!B3511</f>
        <v>381m.1</v>
      </c>
      <c r="C3511" s="156" t="str">
        <f>'Reported burning'!C3511</f>
        <v>Human, escaped</v>
      </c>
      <c r="D3511" s="156" t="str">
        <f>'Reported burning'!D3511</f>
        <v>ND</v>
      </c>
      <c r="E3511" s="156" t="str">
        <f>'Reported burning'!E3511</f>
        <v>All</v>
      </c>
      <c r="F3511" s="156" t="str">
        <f>'Reported burning'!F3511</f>
        <v>ND</v>
      </c>
      <c r="G3511" s="156" t="str">
        <f>'Reported burning'!G3511</f>
        <v>Shrubland (Mixed forest &amp; grassland)</v>
      </c>
      <c r="H3511" s="156" t="str">
        <f>'Reported burning'!H3511</f>
        <v>Presence</v>
      </c>
      <c r="I3511" s="5"/>
      <c r="J3511" s="177" t="s">
        <v>2276</v>
      </c>
      <c r="K3511" s="177" t="s">
        <v>2276</v>
      </c>
      <c r="L3511" s="177" t="s">
        <v>2276</v>
      </c>
      <c r="M3511" s="177" t="s">
        <v>2276</v>
      </c>
      <c r="N3511" s="21" t="s">
        <v>2276</v>
      </c>
      <c r="O3511" s="177" t="s">
        <v>2276</v>
      </c>
      <c r="P3511" s="177" t="s">
        <v>2276</v>
      </c>
      <c r="Q3511" s="177" t="s">
        <v>2276</v>
      </c>
      <c r="R3511" s="177" t="s">
        <v>2276</v>
      </c>
      <c r="S3511" s="177" t="s">
        <v>2276</v>
      </c>
      <c r="T3511" s="177" t="s">
        <v>2276</v>
      </c>
      <c r="U3511" s="177" t="s">
        <v>2276</v>
      </c>
      <c r="V3511" s="177" t="s">
        <v>2276</v>
      </c>
      <c r="W3511" s="177" t="s">
        <v>2276</v>
      </c>
      <c r="X3511" s="177" t="s">
        <v>2276</v>
      </c>
      <c r="Y3511" s="177" t="s">
        <v>2276</v>
      </c>
      <c r="Z3511" s="177" t="s">
        <v>2276</v>
      </c>
      <c r="AA3511" s="4" t="s">
        <v>9184</v>
      </c>
      <c r="AB3511" s="4" t="s">
        <v>9241</v>
      </c>
    </row>
    <row r="3512" spans="1:28" ht="102.5" customHeight="1">
      <c r="A3512" s="156" t="str">
        <f>'Reported burning'!A3512</f>
        <v>381n</v>
      </c>
      <c r="B3512" s="156" t="str">
        <f>'Reported burning'!B3512</f>
        <v>381n.1</v>
      </c>
      <c r="C3512" s="156" t="str">
        <f>'Reported burning'!C3512</f>
        <v>Human, escaped</v>
      </c>
      <c r="D3512" s="156" t="str">
        <f>'Reported burning'!D3512</f>
        <v>ND</v>
      </c>
      <c r="E3512" s="156" t="str">
        <f>'Reported burning'!E3512</f>
        <v>All</v>
      </c>
      <c r="F3512" s="156" t="str">
        <f>'Reported burning'!F3512</f>
        <v>ND</v>
      </c>
      <c r="G3512" s="156" t="str">
        <f>'Reported burning'!G3512</f>
        <v>Shrubland (Mixed forest &amp; grassland)</v>
      </c>
      <c r="H3512" s="156" t="str">
        <f>'Reported burning'!H3512</f>
        <v>Presence</v>
      </c>
      <c r="I3512" s="5"/>
      <c r="J3512" s="177" t="s">
        <v>2276</v>
      </c>
      <c r="K3512" s="177" t="s">
        <v>2276</v>
      </c>
      <c r="L3512" s="177" t="s">
        <v>2276</v>
      </c>
      <c r="M3512" s="177" t="s">
        <v>2276</v>
      </c>
      <c r="N3512" s="21" t="s">
        <v>2276</v>
      </c>
      <c r="O3512" s="177" t="s">
        <v>2276</v>
      </c>
      <c r="P3512" s="177" t="s">
        <v>2276</v>
      </c>
      <c r="Q3512" s="177" t="s">
        <v>2276</v>
      </c>
      <c r="R3512" s="177" t="s">
        <v>2276</v>
      </c>
      <c r="S3512" s="177" t="s">
        <v>2276</v>
      </c>
      <c r="T3512" s="177" t="s">
        <v>2276</v>
      </c>
      <c r="U3512" s="177" t="s">
        <v>2276</v>
      </c>
      <c r="V3512" s="177" t="s">
        <v>2276</v>
      </c>
      <c r="W3512" s="177" t="s">
        <v>2276</v>
      </c>
      <c r="X3512" s="177" t="s">
        <v>2276</v>
      </c>
      <c r="Y3512" s="177" t="s">
        <v>2276</v>
      </c>
      <c r="Z3512" s="177" t="s">
        <v>2276</v>
      </c>
      <c r="AA3512" s="4" t="s">
        <v>9184</v>
      </c>
      <c r="AB3512" s="4" t="s">
        <v>9241</v>
      </c>
    </row>
    <row r="3513" spans="1:28" ht="102.5" customHeight="1">
      <c r="A3513" s="156" t="str">
        <f>'Reported burning'!A3513</f>
        <v>381o</v>
      </c>
      <c r="B3513" s="156" t="str">
        <f>'Reported burning'!B3513</f>
        <v>381o.1</v>
      </c>
      <c r="C3513" s="156" t="str">
        <f>'Reported burning'!C3513</f>
        <v>Human, escaped</v>
      </c>
      <c r="D3513" s="156" t="str">
        <f>'Reported burning'!D3513</f>
        <v>ND</v>
      </c>
      <c r="E3513" s="156" t="str">
        <f>'Reported burning'!E3513</f>
        <v>All</v>
      </c>
      <c r="F3513" s="156" t="str">
        <f>'Reported burning'!F3513</f>
        <v>ND</v>
      </c>
      <c r="G3513" s="156" t="str">
        <f>'Reported burning'!G3513</f>
        <v>Shrubland (Mixed forest &amp; grassland)</v>
      </c>
      <c r="H3513" s="156" t="str">
        <f>'Reported burning'!H3513</f>
        <v>Presence</v>
      </c>
      <c r="I3513" s="5"/>
      <c r="J3513" s="177" t="s">
        <v>2276</v>
      </c>
      <c r="K3513" s="177" t="s">
        <v>2276</v>
      </c>
      <c r="L3513" s="177" t="s">
        <v>2276</v>
      </c>
      <c r="M3513" s="177" t="s">
        <v>2276</v>
      </c>
      <c r="N3513" s="21" t="s">
        <v>2276</v>
      </c>
      <c r="O3513" s="177" t="s">
        <v>2276</v>
      </c>
      <c r="P3513" s="177" t="s">
        <v>2276</v>
      </c>
      <c r="Q3513" s="177" t="s">
        <v>2276</v>
      </c>
      <c r="R3513" s="177" t="s">
        <v>2276</v>
      </c>
      <c r="S3513" s="177" t="s">
        <v>2276</v>
      </c>
      <c r="T3513" s="177" t="s">
        <v>2276</v>
      </c>
      <c r="U3513" s="177" t="s">
        <v>2276</v>
      </c>
      <c r="V3513" s="177" t="s">
        <v>2276</v>
      </c>
      <c r="W3513" s="177" t="s">
        <v>2276</v>
      </c>
      <c r="X3513" s="177" t="s">
        <v>2276</v>
      </c>
      <c r="Y3513" s="177" t="s">
        <v>2276</v>
      </c>
      <c r="Z3513" s="177" t="s">
        <v>2276</v>
      </c>
      <c r="AA3513" s="4" t="s">
        <v>9184</v>
      </c>
      <c r="AB3513" s="4" t="s">
        <v>9241</v>
      </c>
    </row>
    <row r="3514" spans="1:28" ht="102.5" customHeight="1">
      <c r="A3514" s="156" t="str">
        <f>'Reported burning'!A3514</f>
        <v>381p</v>
      </c>
      <c r="B3514" s="156" t="str">
        <f>'Reported burning'!B3514</f>
        <v>381p.1</v>
      </c>
      <c r="C3514" s="156" t="str">
        <f>'Reported burning'!C3514</f>
        <v>Human, escaped</v>
      </c>
      <c r="D3514" s="156" t="str">
        <f>'Reported burning'!D3514</f>
        <v>ND</v>
      </c>
      <c r="E3514" s="156" t="str">
        <f>'Reported burning'!E3514</f>
        <v>All</v>
      </c>
      <c r="F3514" s="156" t="str">
        <f>'Reported burning'!F3514</f>
        <v>ND</v>
      </c>
      <c r="G3514" s="156" t="str">
        <f>'Reported burning'!G3514</f>
        <v>Shrubland (Mixed forest &amp; grassland)</v>
      </c>
      <c r="H3514" s="156" t="str">
        <f>'Reported burning'!H3514</f>
        <v>Presence</v>
      </c>
      <c r="I3514" s="5"/>
      <c r="J3514" s="177" t="s">
        <v>2276</v>
      </c>
      <c r="K3514" s="177" t="s">
        <v>2276</v>
      </c>
      <c r="L3514" s="177" t="s">
        <v>2276</v>
      </c>
      <c r="M3514" s="177" t="s">
        <v>2276</v>
      </c>
      <c r="N3514" s="21" t="s">
        <v>2276</v>
      </c>
      <c r="O3514" s="177" t="s">
        <v>2276</v>
      </c>
      <c r="P3514" s="177" t="s">
        <v>2276</v>
      </c>
      <c r="Q3514" s="177" t="s">
        <v>2276</v>
      </c>
      <c r="R3514" s="177" t="s">
        <v>2276</v>
      </c>
      <c r="S3514" s="177" t="s">
        <v>2276</v>
      </c>
      <c r="T3514" s="177" t="s">
        <v>2276</v>
      </c>
      <c r="U3514" s="177" t="s">
        <v>2276</v>
      </c>
      <c r="V3514" s="177" t="s">
        <v>2276</v>
      </c>
      <c r="W3514" s="177" t="s">
        <v>2276</v>
      </c>
      <c r="X3514" s="177" t="s">
        <v>2276</v>
      </c>
      <c r="Y3514" s="177" t="s">
        <v>2276</v>
      </c>
      <c r="Z3514" s="177" t="s">
        <v>2276</v>
      </c>
      <c r="AA3514" s="4" t="s">
        <v>9184</v>
      </c>
      <c r="AB3514" s="4" t="s">
        <v>9241</v>
      </c>
    </row>
    <row r="3515" spans="1:28" s="203" customFormat="1" ht="102.5" customHeight="1">
      <c r="A3515" s="156" t="str">
        <f>'Reported burning'!A3515</f>
        <v>381p</v>
      </c>
      <c r="B3515" s="156" t="str">
        <f>'Reported burning'!B3515</f>
        <v>381q.1</v>
      </c>
      <c r="C3515" s="156" t="str">
        <f>'Reported burning'!C3515</f>
        <v>Human, escaped</v>
      </c>
      <c r="D3515" s="156" t="str">
        <f>'Reported burning'!D3515</f>
        <v>ND</v>
      </c>
      <c r="E3515" s="156" t="str">
        <f>'Reported burning'!E3515</f>
        <v>All</v>
      </c>
      <c r="F3515" s="156" t="str">
        <f>'Reported burning'!F3515</f>
        <v>ND</v>
      </c>
      <c r="G3515" s="156" t="str">
        <f>'Reported burning'!G3515</f>
        <v>Shrubland (Mixed forest &amp; grassland)</v>
      </c>
      <c r="H3515" s="156" t="str">
        <f>'Reported burning'!H3515</f>
        <v>Presence</v>
      </c>
      <c r="I3515" s="5"/>
      <c r="J3515" s="177" t="s">
        <v>2276</v>
      </c>
      <c r="K3515" s="177" t="s">
        <v>2276</v>
      </c>
      <c r="L3515" s="177" t="s">
        <v>2276</v>
      </c>
      <c r="M3515" s="177" t="s">
        <v>2276</v>
      </c>
      <c r="N3515" s="21" t="s">
        <v>2276</v>
      </c>
      <c r="O3515" s="177" t="s">
        <v>2276</v>
      </c>
      <c r="P3515" s="177" t="s">
        <v>2276</v>
      </c>
      <c r="Q3515" s="177" t="s">
        <v>2276</v>
      </c>
      <c r="R3515" s="177" t="s">
        <v>2276</v>
      </c>
      <c r="S3515" s="177" t="s">
        <v>2276</v>
      </c>
      <c r="T3515" s="177" t="s">
        <v>2276</v>
      </c>
      <c r="U3515" s="177" t="s">
        <v>2276</v>
      </c>
      <c r="V3515" s="177" t="s">
        <v>2276</v>
      </c>
      <c r="W3515" s="177" t="s">
        <v>2276</v>
      </c>
      <c r="X3515" s="177" t="s">
        <v>2276</v>
      </c>
      <c r="Y3515" s="177" t="s">
        <v>2276</v>
      </c>
      <c r="Z3515" s="177" t="s">
        <v>2276</v>
      </c>
      <c r="AA3515" s="4" t="s">
        <v>9184</v>
      </c>
      <c r="AB3515" s="4" t="s">
        <v>9241</v>
      </c>
    </row>
    <row r="3516" spans="1:28" ht="102.5" customHeight="1">
      <c r="A3516" s="156" t="str">
        <f>'Reported burning'!A3516</f>
        <v>381ab</v>
      </c>
      <c r="B3516" s="156" t="str">
        <f>'Reported burning'!B3516</f>
        <v>381ab.1</v>
      </c>
      <c r="C3516" s="156" t="str">
        <f>'Reported burning'!C3516</f>
        <v>Human, escaped</v>
      </c>
      <c r="D3516" s="156" t="str">
        <f>'Reported burning'!D3516</f>
        <v>ND</v>
      </c>
      <c r="E3516" s="156" t="str">
        <f>'Reported burning'!E3516</f>
        <v>All</v>
      </c>
      <c r="F3516" s="156" t="str">
        <f>'Reported burning'!F3516</f>
        <v>ND</v>
      </c>
      <c r="G3516" s="156" t="str">
        <f>'Reported burning'!G3516</f>
        <v>Shrubland (Mixed forest &amp; grassland)</v>
      </c>
      <c r="H3516" s="156" t="str">
        <f>'Reported burning'!H3516</f>
        <v>Presence</v>
      </c>
      <c r="I3516" s="5"/>
      <c r="J3516" s="177" t="s">
        <v>2276</v>
      </c>
      <c r="K3516" s="177" t="s">
        <v>2276</v>
      </c>
      <c r="L3516" s="177" t="s">
        <v>2276</v>
      </c>
      <c r="M3516" s="177" t="s">
        <v>2276</v>
      </c>
      <c r="N3516" s="21" t="s">
        <v>2276</v>
      </c>
      <c r="O3516" s="177" t="s">
        <v>2276</v>
      </c>
      <c r="P3516" s="177" t="s">
        <v>2276</v>
      </c>
      <c r="Q3516" s="177" t="s">
        <v>2276</v>
      </c>
      <c r="R3516" s="177" t="s">
        <v>2276</v>
      </c>
      <c r="S3516" s="177" t="s">
        <v>2276</v>
      </c>
      <c r="T3516" s="177" t="s">
        <v>2276</v>
      </c>
      <c r="U3516" s="177" t="s">
        <v>2276</v>
      </c>
      <c r="V3516" s="177" t="s">
        <v>2276</v>
      </c>
      <c r="W3516" s="177" t="s">
        <v>2276</v>
      </c>
      <c r="X3516" s="177" t="s">
        <v>2276</v>
      </c>
      <c r="Y3516" s="177" t="s">
        <v>2276</v>
      </c>
      <c r="Z3516" s="177" t="s">
        <v>2276</v>
      </c>
      <c r="AA3516" s="4" t="s">
        <v>9184</v>
      </c>
      <c r="AB3516" s="4" t="s">
        <v>9241</v>
      </c>
    </row>
    <row r="3517" spans="1:28" ht="102.5" customHeight="1">
      <c r="A3517" s="156" t="str">
        <f>'Reported burning'!A3517</f>
        <v>381ac</v>
      </c>
      <c r="B3517" s="156" t="str">
        <f>'Reported burning'!B3517</f>
        <v>381ac.1</v>
      </c>
      <c r="C3517" s="156" t="str">
        <f>'Reported burning'!C3517</f>
        <v>Human, escaped</v>
      </c>
      <c r="D3517" s="156" t="str">
        <f>'Reported burning'!D3517</f>
        <v>ND</v>
      </c>
      <c r="E3517" s="156" t="str">
        <f>'Reported burning'!E3517</f>
        <v>All</v>
      </c>
      <c r="F3517" s="156" t="str">
        <f>'Reported burning'!F3517</f>
        <v>ND</v>
      </c>
      <c r="G3517" s="156" t="str">
        <f>'Reported burning'!G3517</f>
        <v>Shrubland (Mixed forest &amp; grassland)</v>
      </c>
      <c r="H3517" s="156" t="str">
        <f>'Reported burning'!H3517</f>
        <v>Presence</v>
      </c>
      <c r="I3517" s="5"/>
      <c r="J3517" s="177" t="s">
        <v>2276</v>
      </c>
      <c r="K3517" s="177" t="s">
        <v>2276</v>
      </c>
      <c r="L3517" s="177" t="s">
        <v>2276</v>
      </c>
      <c r="M3517" s="177" t="s">
        <v>2276</v>
      </c>
      <c r="N3517" s="21" t="s">
        <v>2276</v>
      </c>
      <c r="O3517" s="177" t="s">
        <v>2276</v>
      </c>
      <c r="P3517" s="177" t="s">
        <v>2276</v>
      </c>
      <c r="Q3517" s="177" t="s">
        <v>2276</v>
      </c>
      <c r="R3517" s="177" t="s">
        <v>2276</v>
      </c>
      <c r="S3517" s="177" t="s">
        <v>2276</v>
      </c>
      <c r="T3517" s="177" t="s">
        <v>2276</v>
      </c>
      <c r="U3517" s="177" t="s">
        <v>2276</v>
      </c>
      <c r="V3517" s="177" t="s">
        <v>2276</v>
      </c>
      <c r="W3517" s="177" t="s">
        <v>2276</v>
      </c>
      <c r="X3517" s="177" t="s">
        <v>2276</v>
      </c>
      <c r="Y3517" s="177" t="s">
        <v>2276</v>
      </c>
      <c r="Z3517" s="177" t="s">
        <v>2276</v>
      </c>
      <c r="AA3517" s="4" t="s">
        <v>9184</v>
      </c>
      <c r="AB3517" s="4" t="s">
        <v>9241</v>
      </c>
    </row>
    <row r="3518" spans="1:28" ht="102.5" customHeight="1">
      <c r="A3518" s="156" t="str">
        <f>'Reported burning'!A3518</f>
        <v>381ad</v>
      </c>
      <c r="B3518" s="156" t="str">
        <f>'Reported burning'!B3518</f>
        <v>381ad.1</v>
      </c>
      <c r="C3518" s="156" t="str">
        <f>'Reported burning'!C3518</f>
        <v>Human, escaped</v>
      </c>
      <c r="D3518" s="156" t="str">
        <f>'Reported burning'!D3518</f>
        <v>ND</v>
      </c>
      <c r="E3518" s="156" t="str">
        <f>'Reported burning'!E3518</f>
        <v>All</v>
      </c>
      <c r="F3518" s="156" t="str">
        <f>'Reported burning'!F3518</f>
        <v>ND</v>
      </c>
      <c r="G3518" s="156" t="str">
        <f>'Reported burning'!G3518</f>
        <v>Shrubland (Mixed forest &amp; grassland)</v>
      </c>
      <c r="H3518" s="156" t="str">
        <f>'Reported burning'!H3518</f>
        <v>Presence</v>
      </c>
      <c r="I3518" s="5"/>
      <c r="J3518" s="177" t="s">
        <v>2276</v>
      </c>
      <c r="K3518" s="177" t="s">
        <v>2276</v>
      </c>
      <c r="L3518" s="177" t="s">
        <v>2276</v>
      </c>
      <c r="M3518" s="177" t="s">
        <v>2276</v>
      </c>
      <c r="N3518" s="21" t="s">
        <v>2276</v>
      </c>
      <c r="O3518" s="177" t="s">
        <v>2276</v>
      </c>
      <c r="P3518" s="177" t="s">
        <v>2276</v>
      </c>
      <c r="Q3518" s="177" t="s">
        <v>2276</v>
      </c>
      <c r="R3518" s="177" t="s">
        <v>2276</v>
      </c>
      <c r="S3518" s="177" t="s">
        <v>2276</v>
      </c>
      <c r="T3518" s="177" t="s">
        <v>2276</v>
      </c>
      <c r="U3518" s="177" t="s">
        <v>2276</v>
      </c>
      <c r="V3518" s="177" t="s">
        <v>2276</v>
      </c>
      <c r="W3518" s="177" t="s">
        <v>2276</v>
      </c>
      <c r="X3518" s="177" t="s">
        <v>2276</v>
      </c>
      <c r="Y3518" s="177" t="s">
        <v>2276</v>
      </c>
      <c r="Z3518" s="177" t="s">
        <v>2276</v>
      </c>
      <c r="AA3518" s="4" t="s">
        <v>9184</v>
      </c>
      <c r="AB3518" s="4" t="s">
        <v>9241</v>
      </c>
    </row>
    <row r="3519" spans="1:28" ht="102.5" customHeight="1">
      <c r="A3519" s="156" t="str">
        <f>'Reported burning'!A3519</f>
        <v>381ae</v>
      </c>
      <c r="B3519" s="156" t="str">
        <f>'Reported burning'!B3519</f>
        <v>381ae.1</v>
      </c>
      <c r="C3519" s="156" t="str">
        <f>'Reported burning'!C3519</f>
        <v>Human, escaped</v>
      </c>
      <c r="D3519" s="156" t="str">
        <f>'Reported burning'!D3519</f>
        <v>ND</v>
      </c>
      <c r="E3519" s="156" t="str">
        <f>'Reported burning'!E3519</f>
        <v>All</v>
      </c>
      <c r="F3519" s="156" t="str">
        <f>'Reported burning'!F3519</f>
        <v>ND</v>
      </c>
      <c r="G3519" s="156" t="str">
        <f>'Reported burning'!G3519</f>
        <v>Shrubland (Mixed forest &amp; grassland)</v>
      </c>
      <c r="H3519" s="156" t="str">
        <f>'Reported burning'!H3519</f>
        <v>Presence</v>
      </c>
      <c r="I3519" s="5"/>
      <c r="J3519" s="177" t="s">
        <v>2276</v>
      </c>
      <c r="K3519" s="177" t="s">
        <v>2276</v>
      </c>
      <c r="L3519" s="177" t="s">
        <v>2276</v>
      </c>
      <c r="M3519" s="177" t="s">
        <v>2276</v>
      </c>
      <c r="N3519" s="21" t="s">
        <v>2276</v>
      </c>
      <c r="O3519" s="177" t="s">
        <v>2276</v>
      </c>
      <c r="P3519" s="177" t="s">
        <v>2276</v>
      </c>
      <c r="Q3519" s="177" t="s">
        <v>2276</v>
      </c>
      <c r="R3519" s="177" t="s">
        <v>2276</v>
      </c>
      <c r="S3519" s="177" t="s">
        <v>2276</v>
      </c>
      <c r="T3519" s="177" t="s">
        <v>2276</v>
      </c>
      <c r="U3519" s="177" t="s">
        <v>2276</v>
      </c>
      <c r="V3519" s="177" t="s">
        <v>2276</v>
      </c>
      <c r="W3519" s="177" t="s">
        <v>2276</v>
      </c>
      <c r="X3519" s="177" t="s">
        <v>2276</v>
      </c>
      <c r="Y3519" s="177" t="s">
        <v>2276</v>
      </c>
      <c r="Z3519" s="177" t="s">
        <v>2276</v>
      </c>
      <c r="AA3519" s="4" t="s">
        <v>9184</v>
      </c>
      <c r="AB3519" s="4" t="s">
        <v>9241</v>
      </c>
    </row>
    <row r="3520" spans="1:28" ht="102.5" customHeight="1">
      <c r="A3520" s="156" t="str">
        <f>'Reported burning'!A3520</f>
        <v>381af</v>
      </c>
      <c r="B3520" s="156" t="str">
        <f>'Reported burning'!B3520</f>
        <v>381af.1</v>
      </c>
      <c r="C3520" s="156" t="str">
        <f>'Reported burning'!C3520</f>
        <v>Human, escaped</v>
      </c>
      <c r="D3520" s="156" t="str">
        <f>'Reported burning'!D3520</f>
        <v>ND</v>
      </c>
      <c r="E3520" s="156" t="str">
        <f>'Reported burning'!E3520</f>
        <v>All</v>
      </c>
      <c r="F3520" s="156" t="str">
        <f>'Reported burning'!F3520</f>
        <v>ND</v>
      </c>
      <c r="G3520" s="156" t="str">
        <f>'Reported burning'!G3520</f>
        <v>Shrubland (Mixed forest &amp; grassland)</v>
      </c>
      <c r="H3520" s="156" t="str">
        <f>'Reported burning'!H3520</f>
        <v>Presence</v>
      </c>
      <c r="I3520" s="5"/>
      <c r="J3520" s="177" t="s">
        <v>2276</v>
      </c>
      <c r="K3520" s="177" t="s">
        <v>2276</v>
      </c>
      <c r="L3520" s="177" t="s">
        <v>2276</v>
      </c>
      <c r="M3520" s="177" t="s">
        <v>2276</v>
      </c>
      <c r="N3520" s="21" t="s">
        <v>2276</v>
      </c>
      <c r="O3520" s="177" t="s">
        <v>2276</v>
      </c>
      <c r="P3520" s="177" t="s">
        <v>2276</v>
      </c>
      <c r="Q3520" s="177" t="s">
        <v>2276</v>
      </c>
      <c r="R3520" s="177" t="s">
        <v>2276</v>
      </c>
      <c r="S3520" s="177" t="s">
        <v>2276</v>
      </c>
      <c r="T3520" s="177" t="s">
        <v>2276</v>
      </c>
      <c r="U3520" s="177" t="s">
        <v>2276</v>
      </c>
      <c r="V3520" s="177" t="s">
        <v>2276</v>
      </c>
      <c r="W3520" s="177" t="s">
        <v>2276</v>
      </c>
      <c r="X3520" s="177" t="s">
        <v>2276</v>
      </c>
      <c r="Y3520" s="177" t="s">
        <v>2276</v>
      </c>
      <c r="Z3520" s="177" t="s">
        <v>2276</v>
      </c>
      <c r="AA3520" s="4" t="s">
        <v>9184</v>
      </c>
      <c r="AB3520" s="4" t="s">
        <v>9241</v>
      </c>
    </row>
    <row r="3521" spans="1:28" ht="102.5" customHeight="1">
      <c r="A3521" s="156" t="str">
        <f>'Reported burning'!A3521</f>
        <v>381ag</v>
      </c>
      <c r="B3521" s="156" t="str">
        <f>'Reported burning'!B3521</f>
        <v>381ag.1</v>
      </c>
      <c r="C3521" s="156" t="str">
        <f>'Reported burning'!C3521</f>
        <v>Human, escaped</v>
      </c>
      <c r="D3521" s="156" t="str">
        <f>'Reported burning'!D3521</f>
        <v>ND</v>
      </c>
      <c r="E3521" s="156" t="str">
        <f>'Reported burning'!E3521</f>
        <v>All</v>
      </c>
      <c r="F3521" s="156" t="str">
        <f>'Reported burning'!F3521</f>
        <v>ND</v>
      </c>
      <c r="G3521" s="156" t="str">
        <f>'Reported burning'!G3521</f>
        <v>Shrubland (Mixed forest &amp; grassland)</v>
      </c>
      <c r="H3521" s="156" t="str">
        <f>'Reported burning'!H3521</f>
        <v>Presence</v>
      </c>
      <c r="I3521" s="5"/>
      <c r="J3521" s="177" t="s">
        <v>2276</v>
      </c>
      <c r="K3521" s="177" t="s">
        <v>2276</v>
      </c>
      <c r="L3521" s="177" t="s">
        <v>2276</v>
      </c>
      <c r="M3521" s="177" t="s">
        <v>2276</v>
      </c>
      <c r="N3521" s="21" t="s">
        <v>2276</v>
      </c>
      <c r="O3521" s="177" t="s">
        <v>2276</v>
      </c>
      <c r="P3521" s="177" t="s">
        <v>2276</v>
      </c>
      <c r="Q3521" s="177" t="s">
        <v>2276</v>
      </c>
      <c r="R3521" s="177" t="s">
        <v>2276</v>
      </c>
      <c r="S3521" s="177" t="s">
        <v>2276</v>
      </c>
      <c r="T3521" s="177" t="s">
        <v>2276</v>
      </c>
      <c r="U3521" s="177" t="s">
        <v>2276</v>
      </c>
      <c r="V3521" s="177" t="s">
        <v>2276</v>
      </c>
      <c r="W3521" s="177" t="s">
        <v>2276</v>
      </c>
      <c r="X3521" s="177" t="s">
        <v>2276</v>
      </c>
      <c r="Y3521" s="177" t="s">
        <v>2276</v>
      </c>
      <c r="Z3521" s="177" t="s">
        <v>2276</v>
      </c>
      <c r="AA3521" s="4" t="s">
        <v>9184</v>
      </c>
      <c r="AB3521" s="4" t="s">
        <v>9241</v>
      </c>
    </row>
    <row r="3522" spans="1:28" ht="102.5" customHeight="1">
      <c r="A3522" s="156" t="str">
        <f>'Reported burning'!A3522</f>
        <v>381ah</v>
      </c>
      <c r="B3522" s="156" t="str">
        <f>'Reported burning'!B3522</f>
        <v>381ah.1</v>
      </c>
      <c r="C3522" s="156" t="str">
        <f>'Reported burning'!C3522</f>
        <v>Human, escaped</v>
      </c>
      <c r="D3522" s="156" t="str">
        <f>'Reported burning'!D3522</f>
        <v>ND</v>
      </c>
      <c r="E3522" s="156" t="str">
        <f>'Reported burning'!E3522</f>
        <v>All</v>
      </c>
      <c r="F3522" s="156" t="str">
        <f>'Reported burning'!F3522</f>
        <v>ND</v>
      </c>
      <c r="G3522" s="156" t="str">
        <f>'Reported burning'!G3522</f>
        <v>Shrubland (Mixed forest &amp; grassland)</v>
      </c>
      <c r="H3522" s="156" t="str">
        <f>'Reported burning'!H3522</f>
        <v>Presence</v>
      </c>
      <c r="I3522" s="5"/>
      <c r="J3522" s="177" t="s">
        <v>2276</v>
      </c>
      <c r="K3522" s="177" t="s">
        <v>2276</v>
      </c>
      <c r="L3522" s="177" t="s">
        <v>2276</v>
      </c>
      <c r="M3522" s="177" t="s">
        <v>2276</v>
      </c>
      <c r="N3522" s="21" t="s">
        <v>2276</v>
      </c>
      <c r="O3522" s="177" t="s">
        <v>2276</v>
      </c>
      <c r="P3522" s="177" t="s">
        <v>2276</v>
      </c>
      <c r="Q3522" s="177" t="s">
        <v>2276</v>
      </c>
      <c r="R3522" s="177" t="s">
        <v>2276</v>
      </c>
      <c r="S3522" s="177" t="s">
        <v>2276</v>
      </c>
      <c r="T3522" s="177" t="s">
        <v>2276</v>
      </c>
      <c r="U3522" s="177" t="s">
        <v>2276</v>
      </c>
      <c r="V3522" s="177" t="s">
        <v>2276</v>
      </c>
      <c r="W3522" s="177" t="s">
        <v>2276</v>
      </c>
      <c r="X3522" s="177" t="s">
        <v>2276</v>
      </c>
      <c r="Y3522" s="177" t="s">
        <v>2276</v>
      </c>
      <c r="Z3522" s="177" t="s">
        <v>2276</v>
      </c>
      <c r="AA3522" s="4" t="s">
        <v>9184</v>
      </c>
      <c r="AB3522" s="4" t="s">
        <v>9241</v>
      </c>
    </row>
    <row r="3523" spans="1:28" ht="102.5" customHeight="1">
      <c r="A3523" s="156" t="str">
        <f>'Reported burning'!A3523</f>
        <v>381ai</v>
      </c>
      <c r="B3523" s="156" t="str">
        <f>'Reported burning'!B3523</f>
        <v>381ai.1</v>
      </c>
      <c r="C3523" s="156" t="str">
        <f>'Reported burning'!C3523</f>
        <v>Human, escaped</v>
      </c>
      <c r="D3523" s="156" t="str">
        <f>'Reported burning'!D3523</f>
        <v>ND</v>
      </c>
      <c r="E3523" s="156" t="str">
        <f>'Reported burning'!E3523</f>
        <v>All</v>
      </c>
      <c r="F3523" s="156" t="str">
        <f>'Reported burning'!F3523</f>
        <v>ND</v>
      </c>
      <c r="G3523" s="156" t="str">
        <f>'Reported burning'!G3523</f>
        <v>Shrubland (Mixed forest &amp; grassland)</v>
      </c>
      <c r="H3523" s="156" t="str">
        <f>'Reported burning'!H3523</f>
        <v>Presence</v>
      </c>
      <c r="I3523" s="5"/>
      <c r="J3523" s="177" t="s">
        <v>2276</v>
      </c>
      <c r="K3523" s="177" t="s">
        <v>2276</v>
      </c>
      <c r="L3523" s="177" t="s">
        <v>2276</v>
      </c>
      <c r="M3523" s="177" t="s">
        <v>2276</v>
      </c>
      <c r="N3523" s="21" t="s">
        <v>2276</v>
      </c>
      <c r="O3523" s="177" t="s">
        <v>2276</v>
      </c>
      <c r="P3523" s="177" t="s">
        <v>2276</v>
      </c>
      <c r="Q3523" s="177" t="s">
        <v>2276</v>
      </c>
      <c r="R3523" s="177" t="s">
        <v>2276</v>
      </c>
      <c r="S3523" s="177" t="s">
        <v>2276</v>
      </c>
      <c r="T3523" s="177" t="s">
        <v>2276</v>
      </c>
      <c r="U3523" s="177" t="s">
        <v>2276</v>
      </c>
      <c r="V3523" s="177" t="s">
        <v>2276</v>
      </c>
      <c r="W3523" s="177" t="s">
        <v>2276</v>
      </c>
      <c r="X3523" s="177" t="s">
        <v>2276</v>
      </c>
      <c r="Y3523" s="177" t="s">
        <v>2276</v>
      </c>
      <c r="Z3523" s="177" t="s">
        <v>2276</v>
      </c>
      <c r="AA3523" s="4" t="s">
        <v>9184</v>
      </c>
      <c r="AB3523" s="4" t="s">
        <v>9241</v>
      </c>
    </row>
    <row r="3524" spans="1:28" ht="102.5" customHeight="1">
      <c r="A3524" s="156" t="str">
        <f>'Reported burning'!A3524</f>
        <v>381aj</v>
      </c>
      <c r="B3524" s="156" t="str">
        <f>'Reported burning'!B3524</f>
        <v>381aj.1</v>
      </c>
      <c r="C3524" s="156" t="str">
        <f>'Reported burning'!C3524</f>
        <v>Human, escaped</v>
      </c>
      <c r="D3524" s="156" t="str">
        <f>'Reported burning'!D3524</f>
        <v>ND</v>
      </c>
      <c r="E3524" s="156" t="str">
        <f>'Reported burning'!E3524</f>
        <v>All</v>
      </c>
      <c r="F3524" s="156" t="str">
        <f>'Reported burning'!F3524</f>
        <v>ND</v>
      </c>
      <c r="G3524" s="156" t="str">
        <f>'Reported burning'!G3524</f>
        <v>Shrubland (Mixed forest &amp; grassland)</v>
      </c>
      <c r="H3524" s="156" t="str">
        <f>'Reported burning'!H3524</f>
        <v>Presence</v>
      </c>
      <c r="I3524" s="5"/>
      <c r="J3524" s="177" t="s">
        <v>2276</v>
      </c>
      <c r="K3524" s="177" t="s">
        <v>2276</v>
      </c>
      <c r="L3524" s="177" t="s">
        <v>2276</v>
      </c>
      <c r="M3524" s="177" t="s">
        <v>2276</v>
      </c>
      <c r="N3524" s="21" t="s">
        <v>2276</v>
      </c>
      <c r="O3524" s="177" t="s">
        <v>2276</v>
      </c>
      <c r="P3524" s="177" t="s">
        <v>2276</v>
      </c>
      <c r="Q3524" s="177" t="s">
        <v>2276</v>
      </c>
      <c r="R3524" s="177" t="s">
        <v>2276</v>
      </c>
      <c r="S3524" s="177" t="s">
        <v>2276</v>
      </c>
      <c r="T3524" s="177" t="s">
        <v>2276</v>
      </c>
      <c r="U3524" s="177" t="s">
        <v>2276</v>
      </c>
      <c r="V3524" s="177" t="s">
        <v>2276</v>
      </c>
      <c r="W3524" s="177" t="s">
        <v>2276</v>
      </c>
      <c r="X3524" s="177" t="s">
        <v>2276</v>
      </c>
      <c r="Y3524" s="177" t="s">
        <v>2276</v>
      </c>
      <c r="Z3524" s="177" t="s">
        <v>2276</v>
      </c>
      <c r="AA3524" s="4" t="s">
        <v>9184</v>
      </c>
      <c r="AB3524" s="4" t="s">
        <v>9241</v>
      </c>
    </row>
    <row r="3525" spans="1:28" ht="102.5" customHeight="1">
      <c r="A3525" s="156" t="str">
        <f>'Reported burning'!A3525</f>
        <v>381ak</v>
      </c>
      <c r="B3525" s="156" t="str">
        <f>'Reported burning'!B3525</f>
        <v>381ak.1</v>
      </c>
      <c r="C3525" s="156" t="str">
        <f>'Reported burning'!C3525</f>
        <v>Human, escaped</v>
      </c>
      <c r="D3525" s="156" t="str">
        <f>'Reported burning'!D3525</f>
        <v>ND</v>
      </c>
      <c r="E3525" s="156" t="str">
        <f>'Reported burning'!E3525</f>
        <v>All</v>
      </c>
      <c r="F3525" s="156" t="str">
        <f>'Reported burning'!F3525</f>
        <v>ND</v>
      </c>
      <c r="G3525" s="156" t="str">
        <f>'Reported burning'!G3525</f>
        <v>Shrubland (Mixed forest &amp; grassland)</v>
      </c>
      <c r="H3525" s="156" t="str">
        <f>'Reported burning'!H3525</f>
        <v>Presence</v>
      </c>
      <c r="I3525" s="5"/>
      <c r="J3525" s="177" t="s">
        <v>2276</v>
      </c>
      <c r="K3525" s="177" t="s">
        <v>2276</v>
      </c>
      <c r="L3525" s="177" t="s">
        <v>2276</v>
      </c>
      <c r="M3525" s="177" t="s">
        <v>2276</v>
      </c>
      <c r="N3525" s="21" t="s">
        <v>2276</v>
      </c>
      <c r="O3525" s="177" t="s">
        <v>2276</v>
      </c>
      <c r="P3525" s="177" t="s">
        <v>2276</v>
      </c>
      <c r="Q3525" s="177" t="s">
        <v>2276</v>
      </c>
      <c r="R3525" s="177" t="s">
        <v>2276</v>
      </c>
      <c r="S3525" s="177" t="s">
        <v>2276</v>
      </c>
      <c r="T3525" s="177" t="s">
        <v>2276</v>
      </c>
      <c r="U3525" s="177" t="s">
        <v>2276</v>
      </c>
      <c r="V3525" s="177" t="s">
        <v>2276</v>
      </c>
      <c r="W3525" s="177" t="s">
        <v>2276</v>
      </c>
      <c r="X3525" s="177" t="s">
        <v>2276</v>
      </c>
      <c r="Y3525" s="177" t="s">
        <v>2276</v>
      </c>
      <c r="Z3525" s="177" t="s">
        <v>2276</v>
      </c>
      <c r="AA3525" s="4" t="s">
        <v>9184</v>
      </c>
      <c r="AB3525" s="4" t="s">
        <v>9241</v>
      </c>
    </row>
    <row r="3526" spans="1:28" ht="102.5" customHeight="1">
      <c r="A3526" s="156" t="str">
        <f>'Reported burning'!A3526</f>
        <v>381al</v>
      </c>
      <c r="B3526" s="156" t="str">
        <f>'Reported burning'!B3526</f>
        <v>381al.1</v>
      </c>
      <c r="C3526" s="156" t="str">
        <f>'Reported burning'!C3526</f>
        <v>Human, escaped</v>
      </c>
      <c r="D3526" s="156" t="str">
        <f>'Reported burning'!D3526</f>
        <v>ND</v>
      </c>
      <c r="E3526" s="156" t="str">
        <f>'Reported burning'!E3526</f>
        <v>All</v>
      </c>
      <c r="F3526" s="156" t="str">
        <f>'Reported burning'!F3526</f>
        <v>ND</v>
      </c>
      <c r="G3526" s="156" t="str">
        <f>'Reported burning'!G3526</f>
        <v>Shrubland (Mixed forest &amp; grassland)</v>
      </c>
      <c r="H3526" s="156" t="str">
        <f>'Reported burning'!H3526</f>
        <v>Presence</v>
      </c>
      <c r="I3526" s="5"/>
      <c r="J3526" s="177" t="s">
        <v>2276</v>
      </c>
      <c r="K3526" s="177" t="s">
        <v>2276</v>
      </c>
      <c r="L3526" s="177" t="s">
        <v>2276</v>
      </c>
      <c r="M3526" s="177" t="s">
        <v>2276</v>
      </c>
      <c r="N3526" s="21" t="s">
        <v>2276</v>
      </c>
      <c r="O3526" s="177" t="s">
        <v>2276</v>
      </c>
      <c r="P3526" s="177" t="s">
        <v>2276</v>
      </c>
      <c r="Q3526" s="177" t="s">
        <v>2276</v>
      </c>
      <c r="R3526" s="177" t="s">
        <v>2276</v>
      </c>
      <c r="S3526" s="177" t="s">
        <v>2276</v>
      </c>
      <c r="T3526" s="177" t="s">
        <v>2276</v>
      </c>
      <c r="U3526" s="177" t="s">
        <v>2276</v>
      </c>
      <c r="V3526" s="177" t="s">
        <v>2276</v>
      </c>
      <c r="W3526" s="177" t="s">
        <v>2276</v>
      </c>
      <c r="X3526" s="177" t="s">
        <v>2276</v>
      </c>
      <c r="Y3526" s="177" t="s">
        <v>2276</v>
      </c>
      <c r="Z3526" s="177" t="s">
        <v>2276</v>
      </c>
      <c r="AA3526" s="4" t="s">
        <v>9184</v>
      </c>
      <c r="AB3526" s="4" t="s">
        <v>9241</v>
      </c>
    </row>
    <row r="3527" spans="1:28" ht="102.5" customHeight="1">
      <c r="A3527" s="156" t="str">
        <f>'Reported burning'!A3527</f>
        <v>381am</v>
      </c>
      <c r="B3527" s="156" t="str">
        <f>'Reported burning'!B3527</f>
        <v>381am.1</v>
      </c>
      <c r="C3527" s="156" t="str">
        <f>'Reported burning'!C3527</f>
        <v>Human, escaped</v>
      </c>
      <c r="D3527" s="156" t="str">
        <f>'Reported burning'!D3527</f>
        <v>ND</v>
      </c>
      <c r="E3527" s="156" t="str">
        <f>'Reported burning'!E3527</f>
        <v>All</v>
      </c>
      <c r="F3527" s="156" t="str">
        <f>'Reported burning'!F3527</f>
        <v>ND</v>
      </c>
      <c r="G3527" s="156" t="str">
        <f>'Reported burning'!G3527</f>
        <v>Shrubland (Mixed forest &amp; grassland)</v>
      </c>
      <c r="H3527" s="156" t="str">
        <f>'Reported burning'!H3527</f>
        <v>Presence</v>
      </c>
      <c r="I3527" s="5"/>
      <c r="J3527" s="177" t="s">
        <v>2276</v>
      </c>
      <c r="K3527" s="177" t="s">
        <v>2276</v>
      </c>
      <c r="L3527" s="177" t="s">
        <v>2276</v>
      </c>
      <c r="M3527" s="177" t="s">
        <v>2276</v>
      </c>
      <c r="N3527" s="21" t="s">
        <v>2276</v>
      </c>
      <c r="O3527" s="177" t="s">
        <v>2276</v>
      </c>
      <c r="P3527" s="177" t="s">
        <v>2276</v>
      </c>
      <c r="Q3527" s="177" t="s">
        <v>2276</v>
      </c>
      <c r="R3527" s="177" t="s">
        <v>2276</v>
      </c>
      <c r="S3527" s="177" t="s">
        <v>2276</v>
      </c>
      <c r="T3527" s="177" t="s">
        <v>2276</v>
      </c>
      <c r="U3527" s="177" t="s">
        <v>2276</v>
      </c>
      <c r="V3527" s="177" t="s">
        <v>2276</v>
      </c>
      <c r="W3527" s="177" t="s">
        <v>2276</v>
      </c>
      <c r="X3527" s="177" t="s">
        <v>2276</v>
      </c>
      <c r="Y3527" s="177" t="s">
        <v>2276</v>
      </c>
      <c r="Z3527" s="177" t="s">
        <v>2276</v>
      </c>
      <c r="AA3527" s="4" t="s">
        <v>9184</v>
      </c>
      <c r="AB3527" s="4" t="s">
        <v>9241</v>
      </c>
    </row>
    <row r="3528" spans="1:28" ht="102.5" customHeight="1">
      <c r="A3528" s="156" t="str">
        <f>'Reported burning'!A3528</f>
        <v>381an</v>
      </c>
      <c r="B3528" s="156" t="str">
        <f>'Reported burning'!B3528</f>
        <v>381an.1</v>
      </c>
      <c r="C3528" s="156" t="str">
        <f>'Reported burning'!C3528</f>
        <v>Human, escaped</v>
      </c>
      <c r="D3528" s="156" t="str">
        <f>'Reported burning'!D3528</f>
        <v>ND</v>
      </c>
      <c r="E3528" s="156" t="str">
        <f>'Reported burning'!E3528</f>
        <v>All</v>
      </c>
      <c r="F3528" s="156" t="str">
        <f>'Reported burning'!F3528</f>
        <v>ND</v>
      </c>
      <c r="G3528" s="156" t="str">
        <f>'Reported burning'!G3528</f>
        <v>Shrubland (Mixed forest &amp; grassland)</v>
      </c>
      <c r="H3528" s="156" t="str">
        <f>'Reported burning'!H3528</f>
        <v>Presence</v>
      </c>
      <c r="I3528" s="5"/>
      <c r="J3528" s="177" t="s">
        <v>2276</v>
      </c>
      <c r="K3528" s="177" t="s">
        <v>2276</v>
      </c>
      <c r="L3528" s="177" t="s">
        <v>2276</v>
      </c>
      <c r="M3528" s="177" t="s">
        <v>2276</v>
      </c>
      <c r="N3528" s="21" t="s">
        <v>2276</v>
      </c>
      <c r="O3528" s="177" t="s">
        <v>2276</v>
      </c>
      <c r="P3528" s="177" t="s">
        <v>2276</v>
      </c>
      <c r="Q3528" s="177" t="s">
        <v>2276</v>
      </c>
      <c r="R3528" s="177" t="s">
        <v>2276</v>
      </c>
      <c r="S3528" s="177" t="s">
        <v>2276</v>
      </c>
      <c r="T3528" s="177" t="s">
        <v>2276</v>
      </c>
      <c r="U3528" s="177" t="s">
        <v>2276</v>
      </c>
      <c r="V3528" s="177" t="s">
        <v>2276</v>
      </c>
      <c r="W3528" s="177" t="s">
        <v>2276</v>
      </c>
      <c r="X3528" s="177" t="s">
        <v>2276</v>
      </c>
      <c r="Y3528" s="177" t="s">
        <v>2276</v>
      </c>
      <c r="Z3528" s="177" t="s">
        <v>2276</v>
      </c>
      <c r="AA3528" s="4" t="s">
        <v>9184</v>
      </c>
      <c r="AB3528" s="4" t="s">
        <v>9241</v>
      </c>
    </row>
    <row r="3529" spans="1:28" ht="102.5" customHeight="1">
      <c r="A3529" s="156" t="str">
        <f>'Reported burning'!A3529</f>
        <v>381ao</v>
      </c>
      <c r="B3529" s="156" t="str">
        <f>'Reported burning'!B3529</f>
        <v>381ao.1</v>
      </c>
      <c r="C3529" s="156" t="str">
        <f>'Reported burning'!C3529</f>
        <v>Human, escaped</v>
      </c>
      <c r="D3529" s="156" t="str">
        <f>'Reported burning'!D3529</f>
        <v>ND</v>
      </c>
      <c r="E3529" s="156" t="str">
        <f>'Reported burning'!E3529</f>
        <v>All</v>
      </c>
      <c r="F3529" s="156" t="str">
        <f>'Reported burning'!F3529</f>
        <v>ND</v>
      </c>
      <c r="G3529" s="156" t="str">
        <f>'Reported burning'!G3529</f>
        <v>Shrubland (Mixed forest &amp; grassland)</v>
      </c>
      <c r="H3529" s="156" t="str">
        <f>'Reported burning'!H3529</f>
        <v>Presence</v>
      </c>
      <c r="I3529" s="5"/>
      <c r="J3529" s="177" t="s">
        <v>2276</v>
      </c>
      <c r="K3529" s="177" t="s">
        <v>2276</v>
      </c>
      <c r="L3529" s="177" t="s">
        <v>2276</v>
      </c>
      <c r="M3529" s="177" t="s">
        <v>2276</v>
      </c>
      <c r="N3529" s="21" t="s">
        <v>2276</v>
      </c>
      <c r="O3529" s="177" t="s">
        <v>2276</v>
      </c>
      <c r="P3529" s="177" t="s">
        <v>2276</v>
      </c>
      <c r="Q3529" s="177" t="s">
        <v>2276</v>
      </c>
      <c r="R3529" s="177" t="s">
        <v>2276</v>
      </c>
      <c r="S3529" s="177" t="s">
        <v>2276</v>
      </c>
      <c r="T3529" s="177" t="s">
        <v>2276</v>
      </c>
      <c r="U3529" s="177" t="s">
        <v>2276</v>
      </c>
      <c r="V3529" s="177" t="s">
        <v>2276</v>
      </c>
      <c r="W3529" s="177" t="s">
        <v>2276</v>
      </c>
      <c r="X3529" s="177" t="s">
        <v>2276</v>
      </c>
      <c r="Y3529" s="177" t="s">
        <v>2276</v>
      </c>
      <c r="Z3529" s="177" t="s">
        <v>2276</v>
      </c>
      <c r="AA3529" s="4" t="s">
        <v>9184</v>
      </c>
      <c r="AB3529" s="4" t="s">
        <v>9241</v>
      </c>
    </row>
    <row r="3530" spans="1:28" ht="102.5" customHeight="1">
      <c r="A3530" s="156" t="str">
        <f>'Reported burning'!A3530</f>
        <v>381ap</v>
      </c>
      <c r="B3530" s="156" t="str">
        <f>'Reported burning'!B3530</f>
        <v>381ap.1</v>
      </c>
      <c r="C3530" s="156" t="str">
        <f>'Reported burning'!C3530</f>
        <v>Human, escaped</v>
      </c>
      <c r="D3530" s="156" t="str">
        <f>'Reported burning'!D3530</f>
        <v>ND</v>
      </c>
      <c r="E3530" s="156" t="str">
        <f>'Reported burning'!E3530</f>
        <v>All</v>
      </c>
      <c r="F3530" s="156" t="str">
        <f>'Reported burning'!F3530</f>
        <v>ND</v>
      </c>
      <c r="G3530" s="156" t="str">
        <f>'Reported burning'!G3530</f>
        <v>Shrubland (Mixed forest &amp; grassland)</v>
      </c>
      <c r="H3530" s="156" t="str">
        <f>'Reported burning'!H3530</f>
        <v>Presence</v>
      </c>
      <c r="I3530" s="5"/>
      <c r="J3530" s="177" t="s">
        <v>2276</v>
      </c>
      <c r="K3530" s="177" t="s">
        <v>2276</v>
      </c>
      <c r="L3530" s="177" t="s">
        <v>2276</v>
      </c>
      <c r="M3530" s="177" t="s">
        <v>2276</v>
      </c>
      <c r="N3530" s="21" t="s">
        <v>2276</v>
      </c>
      <c r="O3530" s="177" t="s">
        <v>2276</v>
      </c>
      <c r="P3530" s="177" t="s">
        <v>2276</v>
      </c>
      <c r="Q3530" s="177" t="s">
        <v>2276</v>
      </c>
      <c r="R3530" s="177" t="s">
        <v>2276</v>
      </c>
      <c r="S3530" s="177" t="s">
        <v>2276</v>
      </c>
      <c r="T3530" s="177" t="s">
        <v>2276</v>
      </c>
      <c r="U3530" s="177" t="s">
        <v>2276</v>
      </c>
      <c r="V3530" s="177" t="s">
        <v>2276</v>
      </c>
      <c r="W3530" s="177" t="s">
        <v>2276</v>
      </c>
      <c r="X3530" s="177" t="s">
        <v>2276</v>
      </c>
      <c r="Y3530" s="177" t="s">
        <v>2276</v>
      </c>
      <c r="Z3530" s="177" t="s">
        <v>2276</v>
      </c>
      <c r="AA3530" s="4" t="s">
        <v>9184</v>
      </c>
      <c r="AB3530" s="4" t="s">
        <v>9241</v>
      </c>
    </row>
    <row r="3531" spans="1:28" ht="102.5" customHeight="1">
      <c r="A3531" s="156" t="str">
        <f>'Reported burning'!A3531</f>
        <v>381aq</v>
      </c>
      <c r="B3531" s="156" t="str">
        <f>'Reported burning'!B3531</f>
        <v>381aq.1</v>
      </c>
      <c r="C3531" s="156" t="str">
        <f>'Reported burning'!C3531</f>
        <v>Human, escaped</v>
      </c>
      <c r="D3531" s="156" t="str">
        <f>'Reported burning'!D3531</f>
        <v>ND</v>
      </c>
      <c r="E3531" s="156" t="str">
        <f>'Reported burning'!E3531</f>
        <v>All</v>
      </c>
      <c r="F3531" s="156" t="str">
        <f>'Reported burning'!F3531</f>
        <v>ND</v>
      </c>
      <c r="G3531" s="156" t="str">
        <f>'Reported burning'!G3531</f>
        <v>Shrubland (Mixed forest &amp; grassland)</v>
      </c>
      <c r="H3531" s="156" t="str">
        <f>'Reported burning'!H3531</f>
        <v>Presence</v>
      </c>
      <c r="I3531" s="5"/>
      <c r="J3531" s="177" t="s">
        <v>2276</v>
      </c>
      <c r="K3531" s="177" t="s">
        <v>2276</v>
      </c>
      <c r="L3531" s="177" t="s">
        <v>2276</v>
      </c>
      <c r="M3531" s="177" t="s">
        <v>2276</v>
      </c>
      <c r="N3531" s="21" t="s">
        <v>2276</v>
      </c>
      <c r="O3531" s="177" t="s">
        <v>2276</v>
      </c>
      <c r="P3531" s="177" t="s">
        <v>2276</v>
      </c>
      <c r="Q3531" s="177" t="s">
        <v>2276</v>
      </c>
      <c r="R3531" s="177" t="s">
        <v>2276</v>
      </c>
      <c r="S3531" s="177" t="s">
        <v>2276</v>
      </c>
      <c r="T3531" s="177" t="s">
        <v>2276</v>
      </c>
      <c r="U3531" s="177" t="s">
        <v>2276</v>
      </c>
      <c r="V3531" s="177" t="s">
        <v>2276</v>
      </c>
      <c r="W3531" s="177" t="s">
        <v>2276</v>
      </c>
      <c r="X3531" s="177" t="s">
        <v>2276</v>
      </c>
      <c r="Y3531" s="177" t="s">
        <v>2276</v>
      </c>
      <c r="Z3531" s="177" t="s">
        <v>2276</v>
      </c>
      <c r="AA3531" s="4" t="s">
        <v>9184</v>
      </c>
      <c r="AB3531" s="4" t="s">
        <v>9241</v>
      </c>
    </row>
    <row r="3532" spans="1:28" ht="59" customHeight="1">
      <c r="A3532" s="156" t="str">
        <f>'Reported burning'!A3532</f>
        <v>381al</v>
      </c>
      <c r="B3532" s="156" t="str">
        <f>'Reported burning'!B3532</f>
        <v>381al.2</v>
      </c>
      <c r="C3532" s="156" t="str">
        <f>'Reported burning'!C3532</f>
        <v>Human, deliberate</v>
      </c>
      <c r="D3532" s="156" t="str">
        <f>'Reported burning'!D3532</f>
        <v>Arson</v>
      </c>
      <c r="E3532" s="156" t="str">
        <f>'Reported burning'!E3532</f>
        <v>ND</v>
      </c>
      <c r="F3532" s="156" t="str">
        <f>'Reported burning'!F3532</f>
        <v>Plantation forest</v>
      </c>
      <c r="G3532" s="156" t="str">
        <f>'Reported burning'!G3532</f>
        <v>Plantation forest</v>
      </c>
      <c r="H3532" s="156" t="str">
        <f>'Reported burning'!H3532</f>
        <v>Presence</v>
      </c>
      <c r="I3532" s="5"/>
      <c r="J3532" s="177" t="s">
        <v>2276</v>
      </c>
      <c r="K3532" s="177" t="s">
        <v>2276</v>
      </c>
      <c r="L3532" s="177" t="s">
        <v>2276</v>
      </c>
      <c r="M3532" s="177" t="s">
        <v>2276</v>
      </c>
      <c r="N3532" s="177" t="s">
        <v>2276</v>
      </c>
      <c r="O3532" s="177" t="s">
        <v>2276</v>
      </c>
      <c r="P3532" s="177" t="s">
        <v>2276</v>
      </c>
      <c r="Q3532" s="177" t="s">
        <v>2276</v>
      </c>
      <c r="R3532" s="177" t="s">
        <v>2276</v>
      </c>
      <c r="S3532" s="177" t="s">
        <v>2276</v>
      </c>
      <c r="T3532" s="177" t="s">
        <v>2276</v>
      </c>
      <c r="U3532" s="177" t="s">
        <v>2276</v>
      </c>
      <c r="V3532" s="177" t="s">
        <v>2276</v>
      </c>
      <c r="W3532" s="177" t="s">
        <v>2276</v>
      </c>
      <c r="X3532" s="177" t="s">
        <v>2276</v>
      </c>
      <c r="Y3532" s="177" t="s">
        <v>2276</v>
      </c>
      <c r="Z3532" s="177" t="s">
        <v>2276</v>
      </c>
      <c r="AA3532" s="4" t="s">
        <v>9244</v>
      </c>
      <c r="AB3532" s="204"/>
    </row>
    <row r="3533" spans="1:28" ht="59" customHeight="1">
      <c r="A3533" s="156" t="str">
        <f>'Reported burning'!A3533</f>
        <v>381am</v>
      </c>
      <c r="B3533" s="156" t="str">
        <f>'Reported burning'!B3533</f>
        <v>381am.2</v>
      </c>
      <c r="C3533" s="156" t="str">
        <f>'Reported burning'!C3533</f>
        <v>Human, deliberate</v>
      </c>
      <c r="D3533" s="156" t="str">
        <f>'Reported burning'!D3533</f>
        <v>Arson</v>
      </c>
      <c r="E3533" s="156" t="str">
        <f>'Reported burning'!E3533</f>
        <v>ND</v>
      </c>
      <c r="F3533" s="156" t="str">
        <f>'Reported burning'!F3533</f>
        <v>Plantation forest</v>
      </c>
      <c r="G3533" s="156" t="str">
        <f>'Reported burning'!G3533</f>
        <v>Plantation forest</v>
      </c>
      <c r="H3533" s="156" t="str">
        <f>'Reported burning'!H3533</f>
        <v>Presence</v>
      </c>
      <c r="I3533" s="5"/>
      <c r="J3533" s="177" t="s">
        <v>2276</v>
      </c>
      <c r="K3533" s="177" t="s">
        <v>2276</v>
      </c>
      <c r="L3533" s="177" t="s">
        <v>2276</v>
      </c>
      <c r="M3533" s="177" t="s">
        <v>2276</v>
      </c>
      <c r="N3533" s="177" t="s">
        <v>2276</v>
      </c>
      <c r="O3533" s="177" t="s">
        <v>2276</v>
      </c>
      <c r="P3533" s="177" t="s">
        <v>2276</v>
      </c>
      <c r="Q3533" s="177" t="s">
        <v>2276</v>
      </c>
      <c r="R3533" s="177" t="s">
        <v>2276</v>
      </c>
      <c r="S3533" s="177" t="s">
        <v>2276</v>
      </c>
      <c r="T3533" s="177" t="s">
        <v>2276</v>
      </c>
      <c r="U3533" s="177" t="s">
        <v>2276</v>
      </c>
      <c r="V3533" s="177" t="s">
        <v>2276</v>
      </c>
      <c r="W3533" s="177" t="s">
        <v>2276</v>
      </c>
      <c r="X3533" s="177" t="s">
        <v>2276</v>
      </c>
      <c r="Y3533" s="177" t="s">
        <v>2276</v>
      </c>
      <c r="Z3533" s="177" t="s">
        <v>2276</v>
      </c>
      <c r="AA3533" s="4" t="s">
        <v>9244</v>
      </c>
      <c r="AB3533" s="204"/>
    </row>
    <row r="3534" spans="1:28" ht="43.5" customHeight="1">
      <c r="A3534" s="156" t="str">
        <f>'Reported burning'!A3534</f>
        <v>381aq</v>
      </c>
      <c r="B3534" s="156" t="str">
        <f>'Reported burning'!B3534</f>
        <v>381aq.2</v>
      </c>
      <c r="C3534" s="156" t="str">
        <f>'Reported burning'!C3534</f>
        <v>Human, accidental</v>
      </c>
      <c r="D3534" s="156" t="str">
        <f>'Reported burning'!D3534</f>
        <v>Accidental</v>
      </c>
      <c r="E3534" s="156" t="str">
        <f>'Reported burning'!E3534</f>
        <v>Tourism manager</v>
      </c>
      <c r="F3534" s="156" t="str">
        <f>'Reported burning'!F3534</f>
        <v>ND</v>
      </c>
      <c r="G3534" s="156" t="str">
        <f>'Reported burning'!G3534</f>
        <v>Shrubland (Mixed forest &amp; grassland)</v>
      </c>
      <c r="H3534" s="156" t="str">
        <f>'Reported burning'!H3534</f>
        <v>Presence</v>
      </c>
      <c r="I3534" s="5"/>
      <c r="J3534" s="177" t="s">
        <v>2276</v>
      </c>
      <c r="K3534" s="177" t="s">
        <v>2276</v>
      </c>
      <c r="L3534" s="177" t="s">
        <v>2276</v>
      </c>
      <c r="M3534" s="177" t="s">
        <v>2276</v>
      </c>
      <c r="N3534" s="177" t="s">
        <v>2276</v>
      </c>
      <c r="O3534" s="177" t="s">
        <v>2276</v>
      </c>
      <c r="P3534" s="177" t="s">
        <v>2276</v>
      </c>
      <c r="Q3534" s="177" t="s">
        <v>2276</v>
      </c>
      <c r="R3534" s="177" t="s">
        <v>2276</v>
      </c>
      <c r="S3534" s="177" t="s">
        <v>2276</v>
      </c>
      <c r="T3534" s="177" t="s">
        <v>2276</v>
      </c>
      <c r="U3534" s="177" t="s">
        <v>2276</v>
      </c>
      <c r="V3534" s="177" t="s">
        <v>2276</v>
      </c>
      <c r="W3534" s="177" t="s">
        <v>2276</v>
      </c>
      <c r="X3534" s="177" t="s">
        <v>2276</v>
      </c>
      <c r="Y3534" s="177" t="s">
        <v>2276</v>
      </c>
      <c r="Z3534" s="177" t="s">
        <v>2276</v>
      </c>
      <c r="AA3534" s="4" t="s">
        <v>9245</v>
      </c>
      <c r="AB3534" s="204"/>
    </row>
    <row r="3535" spans="1:28" ht="43.5" customHeight="1">
      <c r="A3535" s="156" t="str">
        <f>'Reported burning'!A3535</f>
        <v>381ah</v>
      </c>
      <c r="B3535" s="156" t="str">
        <f>'Reported burning'!B3535</f>
        <v>381ah.2</v>
      </c>
      <c r="C3535" s="156" t="str">
        <f>'Reported burning'!C3535</f>
        <v>Human, accidental</v>
      </c>
      <c r="D3535" s="156" t="str">
        <f>'Reported burning'!D3535</f>
        <v>Accidental</v>
      </c>
      <c r="E3535" s="156" t="str">
        <f>'Reported burning'!E3535</f>
        <v>Urban planner</v>
      </c>
      <c r="F3535" s="156" t="str">
        <f>'Reported burning'!F3535</f>
        <v>ND</v>
      </c>
      <c r="G3535" s="156" t="str">
        <f>'Reported burning'!G3535</f>
        <v>Shrubland (Mixed forest &amp; grassland)</v>
      </c>
      <c r="H3535" s="156" t="str">
        <f>'Reported burning'!H3535</f>
        <v>Presence</v>
      </c>
      <c r="I3535" s="5"/>
      <c r="J3535" s="177" t="s">
        <v>2276</v>
      </c>
      <c r="K3535" s="177" t="s">
        <v>2276</v>
      </c>
      <c r="L3535" s="177" t="s">
        <v>2276</v>
      </c>
      <c r="M3535" s="177" t="s">
        <v>2276</v>
      </c>
      <c r="N3535" s="177" t="s">
        <v>2276</v>
      </c>
      <c r="O3535" s="177" t="s">
        <v>2276</v>
      </c>
      <c r="P3535" s="177" t="s">
        <v>2276</v>
      </c>
      <c r="Q3535" s="177" t="s">
        <v>2276</v>
      </c>
      <c r="R3535" s="177" t="s">
        <v>2276</v>
      </c>
      <c r="S3535" s="177" t="s">
        <v>2276</v>
      </c>
      <c r="T3535" s="177" t="s">
        <v>2276</v>
      </c>
      <c r="U3535" s="177" t="s">
        <v>2276</v>
      </c>
      <c r="V3535" s="177" t="s">
        <v>2276</v>
      </c>
      <c r="W3535" s="177" t="s">
        <v>2276</v>
      </c>
      <c r="X3535" s="177" t="s">
        <v>2276</v>
      </c>
      <c r="Y3535" s="177" t="s">
        <v>2276</v>
      </c>
      <c r="Z3535" s="177" t="s">
        <v>2276</v>
      </c>
      <c r="AA3535" s="4" t="s">
        <v>9246</v>
      </c>
      <c r="AB3535" s="204"/>
    </row>
    <row r="3536" spans="1:28" ht="43.5" customHeight="1">
      <c r="A3536" s="156" t="str">
        <f>'Reported burning'!A3536</f>
        <v>381m</v>
      </c>
      <c r="B3536" s="156" t="str">
        <f>'Reported burning'!B3536</f>
        <v>381am.3</v>
      </c>
      <c r="C3536" s="156" t="str">
        <f>'Reported burning'!C3536</f>
        <v>Human, deliberate</v>
      </c>
      <c r="D3536" s="156" t="str">
        <f>'Reported burning'!D3536</f>
        <v>Crop residue burning</v>
      </c>
      <c r="E3536" s="156" t="str">
        <f>'Reported burning'!E3536</f>
        <v>Cropping, Monoculture, Market-oriented</v>
      </c>
      <c r="F3536" s="156" t="str">
        <f>'Reported burning'!F3536</f>
        <v>Cropland</v>
      </c>
      <c r="G3536" s="156" t="str">
        <f>'Reported burning'!G3536</f>
        <v>Cropland</v>
      </c>
      <c r="H3536" s="156" t="str">
        <f>'Reported burning'!H3536</f>
        <v>Presence</v>
      </c>
      <c r="I3536" s="5"/>
      <c r="J3536" s="177" t="s">
        <v>2276</v>
      </c>
      <c r="K3536" s="177" t="s">
        <v>2276</v>
      </c>
      <c r="L3536" s="177" t="s">
        <v>2276</v>
      </c>
      <c r="M3536" s="177" t="s">
        <v>2276</v>
      </c>
      <c r="N3536" s="177" t="s">
        <v>2276</v>
      </c>
      <c r="O3536" s="177" t="s">
        <v>2276</v>
      </c>
      <c r="P3536" s="177" t="s">
        <v>2276</v>
      </c>
      <c r="Q3536" s="177" t="s">
        <v>2276</v>
      </c>
      <c r="R3536" s="177" t="s">
        <v>2276</v>
      </c>
      <c r="S3536" s="177" t="s">
        <v>2276</v>
      </c>
      <c r="T3536" s="177" t="s">
        <v>2276</v>
      </c>
      <c r="U3536" s="177" t="s">
        <v>2276</v>
      </c>
      <c r="V3536" s="177" t="s">
        <v>2276</v>
      </c>
      <c r="W3536" s="177" t="s">
        <v>2276</v>
      </c>
      <c r="X3536" s="177" t="s">
        <v>2276</v>
      </c>
      <c r="Y3536" s="177" t="s">
        <v>2276</v>
      </c>
      <c r="Z3536" s="177" t="s">
        <v>2276</v>
      </c>
      <c r="AA3536" s="4" t="s">
        <v>9249</v>
      </c>
      <c r="AB3536" s="204"/>
    </row>
    <row r="3537" spans="1:28" ht="43.5" customHeight="1">
      <c r="A3537" s="156" t="str">
        <f>'Reported burning'!A3537</f>
        <v>381am</v>
      </c>
      <c r="B3537" s="156" t="str">
        <f>'Reported burning'!B3537</f>
        <v>381m.2</v>
      </c>
      <c r="C3537" s="156" t="str">
        <f>'Reported burning'!C3537</f>
        <v>Human, deliberate</v>
      </c>
      <c r="D3537" s="156" t="str">
        <f>'Reported burning'!D3537</f>
        <v>Crop residue burning</v>
      </c>
      <c r="E3537" s="156" t="str">
        <f>'Reported burning'!E3537</f>
        <v>Cropping, Monoculture, Market-oriented</v>
      </c>
      <c r="F3537" s="156" t="str">
        <f>'Reported burning'!F3537</f>
        <v>Cropland</v>
      </c>
      <c r="G3537" s="156" t="str">
        <f>'Reported burning'!G3537</f>
        <v>Cropland</v>
      </c>
      <c r="H3537" s="156" t="str">
        <f>'Reported burning'!H3537</f>
        <v>Presence</v>
      </c>
      <c r="I3537" s="5"/>
      <c r="J3537" s="177" t="s">
        <v>2276</v>
      </c>
      <c r="K3537" s="177" t="s">
        <v>2276</v>
      </c>
      <c r="L3537" s="177" t="s">
        <v>2276</v>
      </c>
      <c r="M3537" s="177" t="s">
        <v>2276</v>
      </c>
      <c r="N3537" s="177" t="s">
        <v>2276</v>
      </c>
      <c r="O3537" s="177" t="s">
        <v>2276</v>
      </c>
      <c r="P3537" s="177" t="s">
        <v>2276</v>
      </c>
      <c r="Q3537" s="177" t="s">
        <v>2276</v>
      </c>
      <c r="R3537" s="177" t="s">
        <v>2276</v>
      </c>
      <c r="S3537" s="177" t="s">
        <v>2276</v>
      </c>
      <c r="T3537" s="177" t="s">
        <v>2276</v>
      </c>
      <c r="U3537" s="177" t="s">
        <v>2276</v>
      </c>
      <c r="V3537" s="177" t="s">
        <v>2276</v>
      </c>
      <c r="W3537" s="177" t="s">
        <v>2276</v>
      </c>
      <c r="X3537" s="177" t="s">
        <v>2276</v>
      </c>
      <c r="Y3537" s="177" t="s">
        <v>2276</v>
      </c>
      <c r="Z3537" s="177" t="s">
        <v>2276</v>
      </c>
      <c r="AA3537" s="4" t="s">
        <v>9249</v>
      </c>
      <c r="AB3537" s="204"/>
    </row>
    <row r="3538" spans="1:28" ht="43.5" customHeight="1">
      <c r="A3538" s="156" t="str">
        <f>'Reported burning'!A3538</f>
        <v>381ag</v>
      </c>
      <c r="B3538" s="156" t="str">
        <f>'Reported burning'!B3538</f>
        <v>381ag.2</v>
      </c>
      <c r="C3538" s="156" t="str">
        <f>'Reported burning'!C3538</f>
        <v>Human, accidental</v>
      </c>
      <c r="D3538" s="156" t="str">
        <f>'Reported burning'!D3538</f>
        <v>Accidental</v>
      </c>
      <c r="E3538" s="156" t="str">
        <f>'Reported burning'!E3538</f>
        <v>Urban planner</v>
      </c>
      <c r="F3538" s="156" t="str">
        <f>'Reported burning'!F3538</f>
        <v>ND</v>
      </c>
      <c r="G3538" s="156" t="str">
        <f>'Reported burning'!G3538</f>
        <v>Shrubland (Mixed forest &amp; grassland)</v>
      </c>
      <c r="H3538" s="156" t="str">
        <f>'Reported burning'!H3538</f>
        <v>Presence</v>
      </c>
      <c r="I3538" s="5"/>
      <c r="J3538" s="177" t="s">
        <v>2276</v>
      </c>
      <c r="K3538" s="177" t="s">
        <v>2276</v>
      </c>
      <c r="L3538" s="177" t="s">
        <v>2276</v>
      </c>
      <c r="M3538" s="177" t="s">
        <v>2276</v>
      </c>
      <c r="N3538" s="177" t="s">
        <v>2276</v>
      </c>
      <c r="O3538" s="177" t="s">
        <v>2276</v>
      </c>
      <c r="P3538" s="177" t="s">
        <v>2276</v>
      </c>
      <c r="Q3538" s="177" t="s">
        <v>2276</v>
      </c>
      <c r="R3538" s="177" t="s">
        <v>2276</v>
      </c>
      <c r="S3538" s="177" t="s">
        <v>2276</v>
      </c>
      <c r="T3538" s="177" t="s">
        <v>2276</v>
      </c>
      <c r="U3538" s="177" t="s">
        <v>2276</v>
      </c>
      <c r="V3538" s="177" t="s">
        <v>2276</v>
      </c>
      <c r="W3538" s="177" t="s">
        <v>2276</v>
      </c>
      <c r="X3538" s="177" t="s">
        <v>2276</v>
      </c>
      <c r="Y3538" s="177" t="s">
        <v>2276</v>
      </c>
      <c r="Z3538" s="177" t="s">
        <v>2276</v>
      </c>
      <c r="AA3538" s="4" t="s">
        <v>9246</v>
      </c>
      <c r="AB3538" s="204"/>
    </row>
    <row r="3539" spans="1:28" ht="51.5" customHeight="1">
      <c r="A3539" s="156" t="str">
        <f>'Reported burning'!A3539</f>
        <v>382a</v>
      </c>
      <c r="B3539" s="156" t="str">
        <f>'Reported burning'!B3539</f>
        <v>382a.1</v>
      </c>
      <c r="C3539" s="156" t="str">
        <f>'Reported burning'!C3539</f>
        <v>Unknown</v>
      </c>
      <c r="D3539" s="156" t="str">
        <f>'Reported burning'!D3539</f>
        <v>ND</v>
      </c>
      <c r="E3539" s="156" t="str">
        <f>'Reported burning'!E3539</f>
        <v>Biodiversity conservation</v>
      </c>
      <c r="F3539" s="156" t="str">
        <f>'Reported burning'!F3539</f>
        <v>ND</v>
      </c>
      <c r="G3539" s="156" t="str">
        <f>'Reported burning'!G3539</f>
        <v>Forest</v>
      </c>
      <c r="H3539" s="156" t="str">
        <f>'Reported burning'!H3539</f>
        <v>Presence</v>
      </c>
      <c r="I3539" s="5"/>
      <c r="J3539" s="177" t="s">
        <v>2276</v>
      </c>
      <c r="K3539" s="177" t="s">
        <v>2276</v>
      </c>
      <c r="L3539" s="177" t="s">
        <v>2276</v>
      </c>
      <c r="M3539" s="177" t="s">
        <v>2276</v>
      </c>
      <c r="N3539" s="177" t="s">
        <v>2276</v>
      </c>
      <c r="O3539" s="177" t="s">
        <v>2276</v>
      </c>
      <c r="P3539" s="177" t="s">
        <v>2276</v>
      </c>
      <c r="Q3539" s="177" t="s">
        <v>2276</v>
      </c>
      <c r="R3539" s="177" t="s">
        <v>2276</v>
      </c>
      <c r="S3539" s="177" t="s">
        <v>2276</v>
      </c>
      <c r="T3539" s="14" t="s">
        <v>2392</v>
      </c>
      <c r="U3539" s="177" t="s">
        <v>2276</v>
      </c>
      <c r="V3539" s="21" t="s">
        <v>2392</v>
      </c>
      <c r="W3539" s="21" t="s">
        <v>2276</v>
      </c>
      <c r="X3539" s="177" t="s">
        <v>2276</v>
      </c>
      <c r="Y3539" s="177" t="s">
        <v>2276</v>
      </c>
      <c r="Z3539" s="177" t="s">
        <v>2276</v>
      </c>
      <c r="AA3539" s="204"/>
      <c r="AB3539" s="204"/>
    </row>
    <row r="3540" spans="1:28" ht="51.5" customHeight="1">
      <c r="A3540" s="156" t="str">
        <f>'Reported burning'!A3540</f>
        <v>382b</v>
      </c>
      <c r="B3540" s="156" t="str">
        <f>'Reported burning'!B3540</f>
        <v>382b.1</v>
      </c>
      <c r="C3540" s="156" t="str">
        <f>'Reported burning'!C3540</f>
        <v>Human, deliberate</v>
      </c>
      <c r="D3540" s="156" t="str">
        <f>'Reported burning'!D3540</f>
        <v>Crop residue burning</v>
      </c>
      <c r="E3540" s="156" t="str">
        <f>'Reported burning'!E3540</f>
        <v>Cropping, Monoculture, Market-oriented</v>
      </c>
      <c r="F3540" s="156" t="str">
        <f>'Reported burning'!F3540</f>
        <v>Cropland</v>
      </c>
      <c r="G3540" s="156" t="str">
        <f>'Reported burning'!G3540</f>
        <v>Cropland</v>
      </c>
      <c r="H3540" s="156" t="str">
        <f>'Reported burning'!H3540</f>
        <v>Presence</v>
      </c>
      <c r="I3540" s="5"/>
      <c r="J3540" s="177" t="s">
        <v>2276</v>
      </c>
      <c r="K3540" s="177" t="s">
        <v>2276</v>
      </c>
      <c r="L3540" s="177" t="s">
        <v>2276</v>
      </c>
      <c r="M3540" s="177" t="s">
        <v>2276</v>
      </c>
      <c r="N3540" s="177" t="s">
        <v>2276</v>
      </c>
      <c r="O3540" s="21" t="s">
        <v>2375</v>
      </c>
      <c r="P3540" s="177" t="s">
        <v>2276</v>
      </c>
      <c r="Q3540" s="177" t="s">
        <v>2276</v>
      </c>
      <c r="R3540" s="177" t="s">
        <v>2276</v>
      </c>
      <c r="S3540" s="177" t="s">
        <v>2276</v>
      </c>
      <c r="T3540" s="177" t="s">
        <v>2276</v>
      </c>
      <c r="U3540" s="177" t="s">
        <v>2276</v>
      </c>
      <c r="V3540" s="177" t="s">
        <v>2276</v>
      </c>
      <c r="W3540" s="177" t="s">
        <v>2276</v>
      </c>
      <c r="X3540" s="177" t="s">
        <v>2276</v>
      </c>
      <c r="Y3540" s="177" t="s">
        <v>2276</v>
      </c>
      <c r="Z3540" s="177" t="s">
        <v>2276</v>
      </c>
      <c r="AA3540" s="204"/>
      <c r="AB3540" s="204"/>
    </row>
    <row r="3541" spans="1:28" ht="51.5" customHeight="1">
      <c r="A3541" s="156" t="str">
        <f>'Reported burning'!A3541</f>
        <v>383a</v>
      </c>
      <c r="B3541" s="156" t="str">
        <f>'Reported burning'!B3541</f>
        <v>383a.1</v>
      </c>
      <c r="C3541" s="156" t="str">
        <f>'Reported burning'!C3541</f>
        <v>Unknown</v>
      </c>
      <c r="D3541" s="156" t="str">
        <f>'Reported burning'!D3541</f>
        <v>ND</v>
      </c>
      <c r="E3541" s="156" t="str">
        <f>'Reported burning'!E3541</f>
        <v>Forestry, Industrial</v>
      </c>
      <c r="F3541" s="156" t="str">
        <f>'Reported burning'!F3541</f>
        <v>ND</v>
      </c>
      <c r="G3541" s="156" t="str">
        <f>'Reported burning'!G3541</f>
        <v>Plantation forest</v>
      </c>
      <c r="H3541" s="156" t="str">
        <f>'Reported burning'!H3541</f>
        <v>Presence</v>
      </c>
      <c r="I3541" s="5"/>
      <c r="J3541" s="177" t="s">
        <v>2276</v>
      </c>
      <c r="K3541" s="177" t="s">
        <v>2276</v>
      </c>
      <c r="L3541" s="177" t="s">
        <v>2276</v>
      </c>
      <c r="M3541" s="177" t="s">
        <v>2276</v>
      </c>
      <c r="N3541" s="177" t="s">
        <v>2276</v>
      </c>
      <c r="O3541" s="177" t="s">
        <v>2276</v>
      </c>
      <c r="P3541" s="177" t="s">
        <v>2276</v>
      </c>
      <c r="Q3541" s="177" t="s">
        <v>2276</v>
      </c>
      <c r="R3541" s="177" t="s">
        <v>2276</v>
      </c>
      <c r="S3541" s="177" t="s">
        <v>2276</v>
      </c>
      <c r="T3541" s="177" t="s">
        <v>2276</v>
      </c>
      <c r="U3541" s="177" t="s">
        <v>2276</v>
      </c>
      <c r="V3541" s="177" t="s">
        <v>2276</v>
      </c>
      <c r="W3541" s="177" t="s">
        <v>2276</v>
      </c>
      <c r="X3541" s="204" t="s">
        <v>188</v>
      </c>
      <c r="Y3541" s="204" t="s">
        <v>188</v>
      </c>
      <c r="Z3541" s="21" t="s">
        <v>2276</v>
      </c>
      <c r="AA3541" s="19" t="s">
        <v>9270</v>
      </c>
      <c r="AB3541" s="204"/>
    </row>
    <row r="3542" spans="1:28" ht="46.5" customHeight="1">
      <c r="A3542" s="156" t="str">
        <f>'Reported burning'!A3542</f>
        <v>384a</v>
      </c>
      <c r="B3542" s="156" t="str">
        <f>'Reported burning'!B3542</f>
        <v>384a.1</v>
      </c>
      <c r="C3542" s="156" t="str">
        <f>'Reported burning'!C3542</f>
        <v>Unknown</v>
      </c>
      <c r="D3542" s="156" t="str">
        <f>'Reported burning'!D3542</f>
        <v>ND</v>
      </c>
      <c r="E3542" s="156" t="str">
        <f>'Reported burning'!E3542</f>
        <v>Forestry, Industrial</v>
      </c>
      <c r="F3542" s="156" t="str">
        <f>'Reported burning'!F3542</f>
        <v>ND</v>
      </c>
      <c r="G3542" s="156" t="str">
        <f>'Reported burning'!G3542</f>
        <v>Plantation forest</v>
      </c>
      <c r="H3542" s="156" t="str">
        <f>'Reported burning'!H3542</f>
        <v>Presence</v>
      </c>
      <c r="I3542" s="5"/>
      <c r="J3542" s="177" t="s">
        <v>2276</v>
      </c>
      <c r="K3542" s="177" t="s">
        <v>2276</v>
      </c>
      <c r="L3542" s="177" t="s">
        <v>2276</v>
      </c>
      <c r="M3542" s="177" t="s">
        <v>2276</v>
      </c>
      <c r="N3542" s="177" t="s">
        <v>2276</v>
      </c>
      <c r="O3542" s="177" t="s">
        <v>2276</v>
      </c>
      <c r="P3542" s="177" t="s">
        <v>2276</v>
      </c>
      <c r="Q3542" s="177" t="s">
        <v>2276</v>
      </c>
      <c r="R3542" s="177" t="s">
        <v>2276</v>
      </c>
      <c r="S3542" s="177" t="s">
        <v>2276</v>
      </c>
      <c r="T3542" s="177" t="s">
        <v>2276</v>
      </c>
      <c r="U3542" s="177" t="s">
        <v>2276</v>
      </c>
      <c r="V3542" s="177" t="s">
        <v>2276</v>
      </c>
      <c r="W3542" s="177" t="s">
        <v>2276</v>
      </c>
      <c r="X3542" s="177" t="s">
        <v>2276</v>
      </c>
      <c r="Y3542" s="177" t="s">
        <v>2276</v>
      </c>
      <c r="Z3542" s="177" t="s">
        <v>2276</v>
      </c>
      <c r="AA3542" s="204"/>
      <c r="AB3542" s="204"/>
    </row>
    <row r="3543" spans="1:28" ht="87">
      <c r="A3543" s="152" t="str">
        <f>'Reported burning'!A3543</f>
        <v>385a</v>
      </c>
      <c r="B3543" s="152" t="str">
        <f>'Reported burning'!B3543</f>
        <v>385a.1</v>
      </c>
      <c r="C3543" s="152" t="str">
        <f>'Reported burning'!C3543</f>
        <v>Human, escaped</v>
      </c>
      <c r="D3543" s="152" t="str">
        <f>'Reported burning'!D3543</f>
        <v>ND</v>
      </c>
      <c r="E3543" s="152" t="str">
        <f>'Reported burning'!E3543</f>
        <v>ND</v>
      </c>
      <c r="F3543" s="152" t="str">
        <f>'Reported burning'!F3543</f>
        <v>ND</v>
      </c>
      <c r="G3543" s="152" t="str">
        <f>'Reported burning'!G3543</f>
        <v>ND</v>
      </c>
      <c r="H3543" s="152" t="str">
        <f>'Reported burning'!H3543</f>
        <v>Presence</v>
      </c>
      <c r="I3543" s="204"/>
      <c r="J3543" s="177" t="s">
        <v>2276</v>
      </c>
      <c r="K3543" s="177" t="s">
        <v>2276</v>
      </c>
      <c r="L3543" s="177" t="s">
        <v>2276</v>
      </c>
      <c r="M3543" s="177" t="s">
        <v>2276</v>
      </c>
      <c r="N3543" s="177" t="s">
        <v>2276</v>
      </c>
      <c r="O3543" s="177" t="s">
        <v>2276</v>
      </c>
      <c r="P3543" s="177" t="s">
        <v>2276</v>
      </c>
      <c r="Q3543" s="177" t="s">
        <v>2276</v>
      </c>
      <c r="R3543" s="177" t="s">
        <v>2276</v>
      </c>
      <c r="S3543" s="177" t="s">
        <v>2276</v>
      </c>
      <c r="T3543" s="177" t="s">
        <v>2276</v>
      </c>
      <c r="U3543" s="177" t="s">
        <v>2276</v>
      </c>
      <c r="V3543" s="177" t="s">
        <v>2276</v>
      </c>
      <c r="W3543" s="177" t="s">
        <v>2276</v>
      </c>
      <c r="X3543" s="21" t="s">
        <v>2276</v>
      </c>
      <c r="Y3543" s="21" t="s">
        <v>2276</v>
      </c>
      <c r="Z3543" s="21" t="s">
        <v>2276</v>
      </c>
      <c r="AA3543" s="4" t="s">
        <v>9184</v>
      </c>
      <c r="AB3543" s="204"/>
    </row>
    <row r="3544" spans="1:28" ht="87">
      <c r="A3544" s="152" t="str">
        <f>'Reported burning'!A3544</f>
        <v>385a</v>
      </c>
      <c r="B3544" s="152" t="str">
        <f>'Reported burning'!B3544</f>
        <v>385a.2</v>
      </c>
      <c r="C3544" s="152" t="str">
        <f>'Reported burning'!C3544</f>
        <v>Human, escaped</v>
      </c>
      <c r="D3544" s="152" t="str">
        <f>'Reported burning'!D3544</f>
        <v>ND</v>
      </c>
      <c r="E3544" s="152" t="str">
        <f>'Reported burning'!E3544</f>
        <v>Forestry, Industrial</v>
      </c>
      <c r="F3544" s="152" t="str">
        <f>'Reported burning'!F3544</f>
        <v>ND</v>
      </c>
      <c r="G3544" s="152" t="str">
        <f>'Reported burning'!G3544</f>
        <v>Plantation forest</v>
      </c>
      <c r="H3544" s="152" t="str">
        <f>'Reported burning'!H3544</f>
        <v>Presence</v>
      </c>
      <c r="I3544" s="204"/>
      <c r="J3544" s="177" t="s">
        <v>2276</v>
      </c>
      <c r="K3544" s="177" t="s">
        <v>2276</v>
      </c>
      <c r="L3544" s="177" t="s">
        <v>2276</v>
      </c>
      <c r="M3544" s="177" t="s">
        <v>2276</v>
      </c>
      <c r="N3544" s="177" t="s">
        <v>2276</v>
      </c>
      <c r="O3544" s="177" t="s">
        <v>2276</v>
      </c>
      <c r="P3544" s="177" t="s">
        <v>2276</v>
      </c>
      <c r="Q3544" s="177" t="s">
        <v>2276</v>
      </c>
      <c r="R3544" s="177" t="s">
        <v>2276</v>
      </c>
      <c r="S3544" s="177" t="s">
        <v>2276</v>
      </c>
      <c r="T3544" s="177" t="s">
        <v>2276</v>
      </c>
      <c r="U3544" s="177" t="s">
        <v>2276</v>
      </c>
      <c r="V3544" s="177" t="s">
        <v>2276</v>
      </c>
      <c r="W3544" s="177" t="s">
        <v>2276</v>
      </c>
      <c r="X3544" s="204" t="s">
        <v>127</v>
      </c>
      <c r="Y3544" s="204" t="s">
        <v>188</v>
      </c>
      <c r="Z3544" s="21" t="s">
        <v>2276</v>
      </c>
      <c r="AA3544" s="4" t="s">
        <v>9184</v>
      </c>
      <c r="AB3544" s="204"/>
    </row>
    <row r="3545" spans="1:28" ht="87">
      <c r="A3545" s="152" t="str">
        <f>'Reported burning'!A3545</f>
        <v>385a</v>
      </c>
      <c r="B3545" s="152" t="str">
        <f>'Reported burning'!B3545</f>
        <v>385a.3</v>
      </c>
      <c r="C3545" s="152" t="str">
        <f>'Reported burning'!C3545</f>
        <v>Human, escaped</v>
      </c>
      <c r="D3545" s="152" t="str">
        <f>'Reported burning'!D3545</f>
        <v>ND</v>
      </c>
      <c r="E3545" s="152" t="str">
        <f>'Reported burning'!E3545</f>
        <v>ND</v>
      </c>
      <c r="F3545" s="152" t="str">
        <f>'Reported burning'!F3545</f>
        <v>ND</v>
      </c>
      <c r="G3545" s="152" t="str">
        <f>'Reported burning'!G3545</f>
        <v>Forest</v>
      </c>
      <c r="H3545" s="152" t="str">
        <f>'Reported burning'!H3545</f>
        <v>Presence</v>
      </c>
      <c r="I3545" s="204"/>
      <c r="J3545" s="177" t="s">
        <v>2276</v>
      </c>
      <c r="K3545" s="177" t="s">
        <v>2276</v>
      </c>
      <c r="L3545" s="177" t="s">
        <v>2276</v>
      </c>
      <c r="M3545" s="177" t="s">
        <v>2276</v>
      </c>
      <c r="N3545" s="177" t="s">
        <v>2276</v>
      </c>
      <c r="O3545" s="177" t="s">
        <v>2276</v>
      </c>
      <c r="P3545" s="177" t="s">
        <v>2276</v>
      </c>
      <c r="Q3545" s="177" t="s">
        <v>2276</v>
      </c>
      <c r="R3545" s="177" t="s">
        <v>2276</v>
      </c>
      <c r="S3545" s="177" t="s">
        <v>2276</v>
      </c>
      <c r="T3545" s="177" t="s">
        <v>2276</v>
      </c>
      <c r="U3545" s="177" t="s">
        <v>2276</v>
      </c>
      <c r="V3545" s="177" t="s">
        <v>2276</v>
      </c>
      <c r="W3545" s="177" t="s">
        <v>2276</v>
      </c>
      <c r="X3545" s="204" t="s">
        <v>127</v>
      </c>
      <c r="Y3545" s="204" t="s">
        <v>188</v>
      </c>
      <c r="Z3545" s="21" t="s">
        <v>2276</v>
      </c>
      <c r="AA3545" s="4" t="s">
        <v>9184</v>
      </c>
      <c r="AB3545" s="204"/>
    </row>
    <row r="3546" spans="1:28" ht="87">
      <c r="A3546" s="152" t="str">
        <f>'Reported burning'!A3546</f>
        <v>385a</v>
      </c>
      <c r="B3546" s="152" t="str">
        <f>'Reported burning'!B3546</f>
        <v>385a.4</v>
      </c>
      <c r="C3546" s="152" t="str">
        <f>'Reported burning'!C3546</f>
        <v>Human, escaped</v>
      </c>
      <c r="D3546" s="152" t="str">
        <f>'Reported burning'!D3546</f>
        <v>ND</v>
      </c>
      <c r="E3546" s="152" t="str">
        <f>'Reported burning'!E3546</f>
        <v>Cropping, Monoculture, Market-oriented</v>
      </c>
      <c r="F3546" s="152" t="str">
        <f>'Reported burning'!F3546</f>
        <v>ND</v>
      </c>
      <c r="G3546" s="152" t="str">
        <f>'Reported burning'!G3546</f>
        <v>Shrubland (Mixed forest &amp; grassland)</v>
      </c>
      <c r="H3546" s="152" t="str">
        <f>'Reported burning'!H3546</f>
        <v>Presence</v>
      </c>
      <c r="I3546" s="204"/>
      <c r="J3546" s="177" t="s">
        <v>2276</v>
      </c>
      <c r="K3546" s="177" t="s">
        <v>2276</v>
      </c>
      <c r="L3546" s="177" t="s">
        <v>2276</v>
      </c>
      <c r="M3546" s="177" t="s">
        <v>2276</v>
      </c>
      <c r="N3546" s="177" t="s">
        <v>2276</v>
      </c>
      <c r="O3546" s="177" t="s">
        <v>2276</v>
      </c>
      <c r="P3546" s="177" t="s">
        <v>2276</v>
      </c>
      <c r="Q3546" s="177" t="s">
        <v>2276</v>
      </c>
      <c r="R3546" s="177" t="s">
        <v>2276</v>
      </c>
      <c r="S3546" s="177" t="s">
        <v>2276</v>
      </c>
      <c r="T3546" s="177" t="s">
        <v>2276</v>
      </c>
      <c r="U3546" s="177" t="s">
        <v>2276</v>
      </c>
      <c r="V3546" s="177" t="s">
        <v>2276</v>
      </c>
      <c r="W3546" s="177" t="s">
        <v>2276</v>
      </c>
      <c r="X3546" s="204" t="s">
        <v>127</v>
      </c>
      <c r="Y3546" s="204" t="s">
        <v>188</v>
      </c>
      <c r="Z3546" s="21" t="s">
        <v>2276</v>
      </c>
      <c r="AA3546" s="4" t="s">
        <v>9184</v>
      </c>
      <c r="AB3546" s="204"/>
    </row>
    <row r="3547" spans="1:28" ht="87">
      <c r="A3547" s="152" t="str">
        <f>'Reported burning'!A3547</f>
        <v>385a</v>
      </c>
      <c r="B3547" s="152" t="str">
        <f>'Reported burning'!B3547</f>
        <v>385a.5</v>
      </c>
      <c r="C3547" s="152" t="str">
        <f>'Reported burning'!C3547</f>
        <v>Human, escaped</v>
      </c>
      <c r="D3547" s="152" t="str">
        <f>'Reported burning'!D3547</f>
        <v>ND</v>
      </c>
      <c r="E3547" s="152" t="str">
        <f>'Reported burning'!E3547</f>
        <v>ND</v>
      </c>
      <c r="F3547" s="152" t="str">
        <f>'Reported burning'!F3547</f>
        <v>ND</v>
      </c>
      <c r="G3547" s="152" t="str">
        <f>'Reported burning'!G3547</f>
        <v>Grassland</v>
      </c>
      <c r="H3547" s="152" t="str">
        <f>'Reported burning'!H3547</f>
        <v>Presence</v>
      </c>
      <c r="I3547" s="204"/>
      <c r="J3547" s="177" t="s">
        <v>2276</v>
      </c>
      <c r="K3547" s="177" t="s">
        <v>2276</v>
      </c>
      <c r="L3547" s="177" t="s">
        <v>2276</v>
      </c>
      <c r="M3547" s="177" t="s">
        <v>2276</v>
      </c>
      <c r="N3547" s="177" t="s">
        <v>2276</v>
      </c>
      <c r="O3547" s="177" t="s">
        <v>2276</v>
      </c>
      <c r="P3547" s="177" t="s">
        <v>2276</v>
      </c>
      <c r="Q3547" s="177" t="s">
        <v>2276</v>
      </c>
      <c r="R3547" s="177" t="s">
        <v>2276</v>
      </c>
      <c r="S3547" s="177" t="s">
        <v>2276</v>
      </c>
      <c r="T3547" s="177" t="s">
        <v>2276</v>
      </c>
      <c r="U3547" s="177" t="s">
        <v>2276</v>
      </c>
      <c r="V3547" s="177" t="s">
        <v>2276</v>
      </c>
      <c r="W3547" s="177" t="s">
        <v>2276</v>
      </c>
      <c r="X3547" s="204" t="s">
        <v>127</v>
      </c>
      <c r="Y3547" s="204" t="s">
        <v>188</v>
      </c>
      <c r="Z3547" s="21" t="s">
        <v>2276</v>
      </c>
      <c r="AA3547" s="4" t="s">
        <v>9184</v>
      </c>
      <c r="AB3547" s="204"/>
    </row>
    <row r="3548" spans="1:28" ht="87">
      <c r="A3548" s="152" t="str">
        <f>'Reported burning'!A3548</f>
        <v>385a</v>
      </c>
      <c r="B3548" s="152" t="str">
        <f>'Reported burning'!B3548</f>
        <v>385a.6</v>
      </c>
      <c r="C3548" s="152" t="str">
        <f>'Reported burning'!C3548</f>
        <v>Human, escaped</v>
      </c>
      <c r="D3548" s="152" t="str">
        <f>'Reported burning'!D3548</f>
        <v>ND</v>
      </c>
      <c r="E3548" s="152" t="str">
        <f>'Reported burning'!E3548</f>
        <v>ND</v>
      </c>
      <c r="F3548" s="152" t="str">
        <f>'Reported burning'!F3548</f>
        <v>ND</v>
      </c>
      <c r="G3548" s="152" t="str">
        <f>'Reported burning'!G3548</f>
        <v>Cropland</v>
      </c>
      <c r="H3548" s="152" t="str">
        <f>'Reported burning'!H3548</f>
        <v>Presence</v>
      </c>
      <c r="I3548" s="204"/>
      <c r="J3548" s="177" t="s">
        <v>2276</v>
      </c>
      <c r="K3548" s="177" t="s">
        <v>2276</v>
      </c>
      <c r="L3548" s="177" t="s">
        <v>2276</v>
      </c>
      <c r="M3548" s="177" t="s">
        <v>2276</v>
      </c>
      <c r="N3548" s="177" t="s">
        <v>2276</v>
      </c>
      <c r="O3548" s="177" t="s">
        <v>2276</v>
      </c>
      <c r="P3548" s="177" t="s">
        <v>2276</v>
      </c>
      <c r="Q3548" s="177" t="s">
        <v>2276</v>
      </c>
      <c r="R3548" s="177" t="s">
        <v>2276</v>
      </c>
      <c r="S3548" s="177" t="s">
        <v>2276</v>
      </c>
      <c r="T3548" s="177" t="s">
        <v>2276</v>
      </c>
      <c r="U3548" s="177" t="s">
        <v>2276</v>
      </c>
      <c r="V3548" s="177" t="s">
        <v>2276</v>
      </c>
      <c r="W3548" s="177" t="s">
        <v>2276</v>
      </c>
      <c r="X3548" s="204" t="s">
        <v>127</v>
      </c>
      <c r="Y3548" s="204" t="s">
        <v>188</v>
      </c>
      <c r="Z3548" s="21" t="s">
        <v>2276</v>
      </c>
      <c r="AA3548" s="4" t="s">
        <v>9184</v>
      </c>
      <c r="AB3548" s="204"/>
    </row>
    <row r="3549" spans="1:28" ht="33.5" customHeight="1">
      <c r="A3549" s="152" t="str">
        <f>'Reported burning'!A3549</f>
        <v>386a</v>
      </c>
      <c r="B3549" s="152" t="str">
        <f>'Reported burning'!B3549</f>
        <v>386a.1</v>
      </c>
      <c r="C3549" s="152" t="str">
        <f>'Reported burning'!C3549</f>
        <v>All</v>
      </c>
      <c r="D3549" s="152" t="str">
        <f>'Reported burning'!D3549</f>
        <v>ND</v>
      </c>
      <c r="E3549" s="152" t="str">
        <f>'Reported burning'!E3549</f>
        <v>ND</v>
      </c>
      <c r="F3549" s="152" t="str">
        <f>'Reported burning'!F3549</f>
        <v>ND</v>
      </c>
      <c r="G3549" s="152" t="str">
        <f>'Reported burning'!G3549</f>
        <v>Forest</v>
      </c>
      <c r="H3549" s="152" t="str">
        <f>'Reported burning'!H3549</f>
        <v>Presence</v>
      </c>
      <c r="I3549" s="204"/>
      <c r="J3549" s="177" t="s">
        <v>2276</v>
      </c>
      <c r="K3549" s="177" t="s">
        <v>2276</v>
      </c>
      <c r="L3549" s="177" t="s">
        <v>2276</v>
      </c>
      <c r="M3549" s="177" t="s">
        <v>2276</v>
      </c>
      <c r="N3549" s="177" t="s">
        <v>2276</v>
      </c>
      <c r="O3549" s="177" t="s">
        <v>2276</v>
      </c>
      <c r="P3549" s="177" t="s">
        <v>2276</v>
      </c>
      <c r="Q3549" s="177" t="s">
        <v>2276</v>
      </c>
      <c r="R3549" s="177" t="s">
        <v>2276</v>
      </c>
      <c r="S3549" s="177" t="s">
        <v>2276</v>
      </c>
      <c r="T3549" s="21" t="s">
        <v>2527</v>
      </c>
      <c r="U3549" s="21" t="s">
        <v>2276</v>
      </c>
      <c r="V3549" s="21" t="s">
        <v>2276</v>
      </c>
      <c r="W3549" s="21" t="s">
        <v>2276</v>
      </c>
      <c r="X3549" s="21" t="s">
        <v>2276</v>
      </c>
      <c r="Y3549" s="21" t="s">
        <v>2276</v>
      </c>
      <c r="Z3549" s="21" t="s">
        <v>2276</v>
      </c>
      <c r="AA3549" s="204"/>
      <c r="AB3549" s="204"/>
    </row>
    <row r="3550" spans="1:28" ht="33.5" customHeight="1">
      <c r="A3550" s="152" t="str">
        <f>'Reported burning'!A3550</f>
        <v>386a</v>
      </c>
      <c r="B3550" s="152" t="str">
        <f>'Reported burning'!B3550</f>
        <v>386a.2</v>
      </c>
      <c r="C3550" s="152" t="str">
        <f>'Reported burning'!C3550</f>
        <v>All</v>
      </c>
      <c r="D3550" s="152" t="str">
        <f>'Reported burning'!D3550</f>
        <v>ND</v>
      </c>
      <c r="E3550" s="152" t="str">
        <f>'Reported burning'!E3550</f>
        <v>ND</v>
      </c>
      <c r="F3550" s="152" t="str">
        <f>'Reported burning'!F3550</f>
        <v>ND</v>
      </c>
      <c r="G3550" s="152" t="str">
        <f>'Reported burning'!G3550</f>
        <v>Forest</v>
      </c>
      <c r="H3550" s="152" t="str">
        <f>'Reported burning'!H3550</f>
        <v>Presence</v>
      </c>
      <c r="I3550" s="204"/>
      <c r="J3550" s="177" t="s">
        <v>2276</v>
      </c>
      <c r="K3550" s="177" t="s">
        <v>2276</v>
      </c>
      <c r="L3550" s="177" t="s">
        <v>2276</v>
      </c>
      <c r="M3550" s="177" t="s">
        <v>2276</v>
      </c>
      <c r="N3550" s="177" t="s">
        <v>2276</v>
      </c>
      <c r="O3550" s="177" t="s">
        <v>2276</v>
      </c>
      <c r="P3550" s="177" t="s">
        <v>2276</v>
      </c>
      <c r="Q3550" s="177" t="s">
        <v>2276</v>
      </c>
      <c r="R3550" s="177" t="s">
        <v>2276</v>
      </c>
      <c r="S3550" s="177" t="s">
        <v>2276</v>
      </c>
      <c r="T3550" s="21" t="s">
        <v>2276</v>
      </c>
      <c r="U3550" s="21" t="s">
        <v>2276</v>
      </c>
      <c r="V3550" s="21" t="s">
        <v>2276</v>
      </c>
      <c r="W3550" s="21" t="s">
        <v>2276</v>
      </c>
      <c r="X3550" s="21" t="s">
        <v>2276</v>
      </c>
      <c r="Y3550" s="21" t="s">
        <v>2276</v>
      </c>
      <c r="Z3550" s="21" t="s">
        <v>2276</v>
      </c>
      <c r="AA3550" s="204"/>
      <c r="AB3550" s="204"/>
    </row>
    <row r="3551" spans="1:28" ht="44.5" customHeight="1">
      <c r="A3551" s="156" t="str">
        <f>'Reported burning'!A3551</f>
        <v>387a</v>
      </c>
      <c r="B3551" s="156" t="str">
        <f>'Reported burning'!B3551</f>
        <v>387a.1</v>
      </c>
      <c r="C3551" s="156" t="str">
        <f>'Reported burning'!C3551</f>
        <v>Human, deliberate</v>
      </c>
      <c r="D3551" s="156" t="str">
        <f>'Reported burning'!D3551</f>
        <v>Pyrome management</v>
      </c>
      <c r="E3551" s="156" t="str">
        <f>'Reported burning'!E3551</f>
        <v>Forestry, Industrial</v>
      </c>
      <c r="F3551" s="156" t="str">
        <f>'Reported burning'!F3551</f>
        <v>Forest</v>
      </c>
      <c r="G3551" s="156" t="str">
        <f>'Reported burning'!G3551</f>
        <v>Forest</v>
      </c>
      <c r="H3551" s="156" t="str">
        <f>'Reported burning'!H3551</f>
        <v>Presence</v>
      </c>
      <c r="I3551" s="5"/>
      <c r="J3551" s="21" t="s">
        <v>2276</v>
      </c>
      <c r="K3551" s="21" t="s">
        <v>2276</v>
      </c>
      <c r="L3551" s="21" t="s">
        <v>2276</v>
      </c>
      <c r="M3551" s="21" t="s">
        <v>2276</v>
      </c>
      <c r="N3551" s="21" t="s">
        <v>2276</v>
      </c>
      <c r="O3551" s="21" t="s">
        <v>2276</v>
      </c>
      <c r="P3551" s="21" t="s">
        <v>2276</v>
      </c>
      <c r="Q3551" s="21" t="s">
        <v>2276</v>
      </c>
      <c r="R3551" s="21" t="s">
        <v>2276</v>
      </c>
      <c r="S3551" s="21" t="s">
        <v>2276</v>
      </c>
      <c r="T3551" s="21" t="s">
        <v>2276</v>
      </c>
      <c r="U3551" s="21" t="s">
        <v>2276</v>
      </c>
      <c r="V3551" s="21" t="s">
        <v>2276</v>
      </c>
      <c r="W3551" s="21" t="s">
        <v>2276</v>
      </c>
      <c r="X3551" s="21" t="s">
        <v>2276</v>
      </c>
      <c r="Y3551" s="21" t="s">
        <v>2276</v>
      </c>
      <c r="Z3551" s="21" t="s">
        <v>2276</v>
      </c>
      <c r="AA3551" s="204"/>
      <c r="AB3551" s="204"/>
    </row>
    <row r="3552" spans="1:28" ht="44.5" customHeight="1">
      <c r="A3552" s="156" t="str">
        <f>'Reported burning'!A3552</f>
        <v>387b</v>
      </c>
      <c r="B3552" s="156" t="str">
        <f>'Reported burning'!B3552</f>
        <v>387b.1</v>
      </c>
      <c r="C3552" s="156" t="str">
        <f>'Reported burning'!C3552</f>
        <v>Human, deliberate</v>
      </c>
      <c r="D3552" s="156" t="str">
        <f>'Reported burning'!D3552</f>
        <v>Pyrome management</v>
      </c>
      <c r="E3552" s="156" t="str">
        <f>'Reported burning'!E3552</f>
        <v>Forestry, Industrial</v>
      </c>
      <c r="F3552" s="156" t="str">
        <f>'Reported burning'!F3552</f>
        <v>Forest</v>
      </c>
      <c r="G3552" s="156" t="str">
        <f>'Reported burning'!G3552</f>
        <v>Forest</v>
      </c>
      <c r="H3552" s="156" t="str">
        <f>'Reported burning'!H3552</f>
        <v>Presence</v>
      </c>
      <c r="I3552" s="5"/>
      <c r="J3552" s="21" t="s">
        <v>2276</v>
      </c>
      <c r="K3552" s="21" t="s">
        <v>2276</v>
      </c>
      <c r="L3552" s="21" t="s">
        <v>2276</v>
      </c>
      <c r="M3552" s="21" t="s">
        <v>2276</v>
      </c>
      <c r="N3552" s="21" t="s">
        <v>2276</v>
      </c>
      <c r="O3552" s="21" t="s">
        <v>2276</v>
      </c>
      <c r="P3552" s="21" t="s">
        <v>2276</v>
      </c>
      <c r="Q3552" s="21" t="s">
        <v>2276</v>
      </c>
      <c r="R3552" s="21" t="s">
        <v>2276</v>
      </c>
      <c r="S3552" s="21" t="s">
        <v>2276</v>
      </c>
      <c r="T3552" s="21" t="s">
        <v>2276</v>
      </c>
      <c r="U3552" s="21" t="s">
        <v>2276</v>
      </c>
      <c r="V3552" s="21" t="s">
        <v>2276</v>
      </c>
      <c r="W3552" s="21" t="s">
        <v>2276</v>
      </c>
      <c r="X3552" s="21" t="s">
        <v>2276</v>
      </c>
      <c r="Y3552" s="21" t="s">
        <v>2276</v>
      </c>
      <c r="Z3552" s="21" t="s">
        <v>2276</v>
      </c>
      <c r="AA3552" s="204"/>
      <c r="AB3552" s="204"/>
    </row>
    <row r="3553" spans="1:28" ht="44.5" customHeight="1">
      <c r="A3553" s="156" t="str">
        <f>'Reported burning'!A3553</f>
        <v>387a</v>
      </c>
      <c r="B3553" s="156" t="str">
        <f>'Reported burning'!B3553</f>
        <v>387a.2</v>
      </c>
      <c r="C3553" s="156" t="str">
        <f>'Reported burning'!C3553</f>
        <v>Human, deliberate</v>
      </c>
      <c r="D3553" s="156" t="str">
        <f>'Reported burning'!D3553</f>
        <v>Pyrome management</v>
      </c>
      <c r="E3553" s="156" t="str">
        <f>'Reported burning'!E3553</f>
        <v>Fire suppression agent</v>
      </c>
      <c r="F3553" s="156" t="str">
        <f>'Reported burning'!F3553</f>
        <v>Forest</v>
      </c>
      <c r="G3553" s="156" t="str">
        <f>'Reported burning'!G3553</f>
        <v>Forest</v>
      </c>
      <c r="H3553" s="156" t="str">
        <f>'Reported burning'!H3553</f>
        <v>Presence</v>
      </c>
      <c r="I3553" s="5"/>
      <c r="J3553" s="21" t="s">
        <v>2276</v>
      </c>
      <c r="K3553" s="21" t="s">
        <v>2276</v>
      </c>
      <c r="L3553" s="21" t="s">
        <v>2276</v>
      </c>
      <c r="M3553" s="21" t="s">
        <v>2276</v>
      </c>
      <c r="N3553" s="21" t="s">
        <v>2276</v>
      </c>
      <c r="O3553" s="21" t="s">
        <v>2276</v>
      </c>
      <c r="P3553" s="21" t="s">
        <v>2276</v>
      </c>
      <c r="Q3553" s="21" t="s">
        <v>2276</v>
      </c>
      <c r="R3553" s="21" t="s">
        <v>2276</v>
      </c>
      <c r="S3553" s="21" t="s">
        <v>2276</v>
      </c>
      <c r="T3553" s="21" t="s">
        <v>2276</v>
      </c>
      <c r="U3553" s="21" t="s">
        <v>2276</v>
      </c>
      <c r="V3553" s="21" t="s">
        <v>2276</v>
      </c>
      <c r="W3553" s="21" t="s">
        <v>2276</v>
      </c>
      <c r="X3553" s="21" t="s">
        <v>2276</v>
      </c>
      <c r="Y3553" s="21" t="s">
        <v>2276</v>
      </c>
      <c r="Z3553" s="21" t="s">
        <v>2276</v>
      </c>
      <c r="AA3553" s="204"/>
      <c r="AB3553" s="204"/>
    </row>
    <row r="3554" spans="1:28" ht="44.5" customHeight="1">
      <c r="A3554" s="156" t="str">
        <f>'Reported burning'!A3554</f>
        <v>387b</v>
      </c>
      <c r="B3554" s="156" t="str">
        <f>'Reported burning'!B3554</f>
        <v>387b.2</v>
      </c>
      <c r="C3554" s="156" t="str">
        <f>'Reported burning'!C3554</f>
        <v>Human, deliberate</v>
      </c>
      <c r="D3554" s="156" t="str">
        <f>'Reported burning'!D3554</f>
        <v>Pyrome management</v>
      </c>
      <c r="E3554" s="156" t="str">
        <f>'Reported burning'!E3554</f>
        <v>Fire suppression agent</v>
      </c>
      <c r="F3554" s="156" t="str">
        <f>'Reported burning'!F3554</f>
        <v>Forest</v>
      </c>
      <c r="G3554" s="156" t="str">
        <f>'Reported burning'!G3554</f>
        <v>Forest</v>
      </c>
      <c r="H3554" s="156" t="str">
        <f>'Reported burning'!H3554</f>
        <v>Presence</v>
      </c>
      <c r="I3554" s="5"/>
      <c r="J3554" s="21" t="s">
        <v>2276</v>
      </c>
      <c r="K3554" s="21" t="s">
        <v>2276</v>
      </c>
      <c r="L3554" s="21" t="s">
        <v>2276</v>
      </c>
      <c r="M3554" s="21" t="s">
        <v>2276</v>
      </c>
      <c r="N3554" s="21" t="s">
        <v>2276</v>
      </c>
      <c r="O3554" s="21" t="s">
        <v>2276</v>
      </c>
      <c r="P3554" s="21" t="s">
        <v>2276</v>
      </c>
      <c r="Q3554" s="21" t="s">
        <v>2276</v>
      </c>
      <c r="R3554" s="21" t="s">
        <v>2276</v>
      </c>
      <c r="S3554" s="21" t="s">
        <v>2276</v>
      </c>
      <c r="T3554" s="21" t="s">
        <v>2276</v>
      </c>
      <c r="U3554" s="21" t="s">
        <v>2276</v>
      </c>
      <c r="V3554" s="21" t="s">
        <v>2276</v>
      </c>
      <c r="W3554" s="21" t="s">
        <v>2276</v>
      </c>
      <c r="X3554" s="21" t="s">
        <v>2276</v>
      </c>
      <c r="Y3554" s="21" t="s">
        <v>2276</v>
      </c>
      <c r="Z3554" s="21" t="s">
        <v>2276</v>
      </c>
      <c r="AA3554" s="204"/>
      <c r="AB3554" s="204"/>
    </row>
    <row r="3555" spans="1:28" ht="43" customHeight="1">
      <c r="A3555" s="156" t="str">
        <f>'Reported burning'!A3555</f>
        <v>388a</v>
      </c>
      <c r="B3555" s="156" t="str">
        <f>'Reported burning'!B3555</f>
        <v>388a.1</v>
      </c>
      <c r="C3555" s="156" t="str">
        <f>'Reported burning'!C3555</f>
        <v>Human, deliberate</v>
      </c>
      <c r="D3555" s="156" t="str">
        <f>'Reported burning'!D3555</f>
        <v>Pyrome management</v>
      </c>
      <c r="E3555" s="156" t="str">
        <f>'Reported burning'!E3555</f>
        <v>Fire suppression agent</v>
      </c>
      <c r="F3555" s="156" t="str">
        <f>'Reported burning'!F3555</f>
        <v>Shrubland (Mixed forest &amp; grassland)</v>
      </c>
      <c r="G3555" s="156" t="str">
        <f>'Reported burning'!G3555</f>
        <v>Shrubland (Mixed forest &amp; grassland)</v>
      </c>
      <c r="H3555" s="156" t="str">
        <f>'Reported burning'!H3555</f>
        <v>Presence</v>
      </c>
      <c r="I3555" s="5"/>
      <c r="J3555" s="21" t="s">
        <v>2276</v>
      </c>
      <c r="K3555" s="21" t="s">
        <v>2276</v>
      </c>
      <c r="L3555" s="21" t="s">
        <v>2276</v>
      </c>
      <c r="M3555" s="21" t="s">
        <v>2276</v>
      </c>
      <c r="N3555" s="21" t="s">
        <v>2276</v>
      </c>
      <c r="O3555" s="21" t="s">
        <v>2276</v>
      </c>
      <c r="P3555" s="21" t="s">
        <v>2276</v>
      </c>
      <c r="Q3555" s="21" t="s">
        <v>2276</v>
      </c>
      <c r="R3555" s="21" t="s">
        <v>2276</v>
      </c>
      <c r="S3555" s="21" t="s">
        <v>2276</v>
      </c>
      <c r="T3555" s="21" t="s">
        <v>2276</v>
      </c>
      <c r="U3555" s="21" t="s">
        <v>2276</v>
      </c>
      <c r="V3555" s="21" t="s">
        <v>2276</v>
      </c>
      <c r="W3555" s="21" t="s">
        <v>2276</v>
      </c>
      <c r="X3555" s="21" t="s">
        <v>2276</v>
      </c>
      <c r="Y3555" s="21" t="s">
        <v>2276</v>
      </c>
      <c r="Z3555" s="21" t="s">
        <v>2276</v>
      </c>
      <c r="AA3555" s="204"/>
      <c r="AB3555" s="204"/>
    </row>
    <row r="3556" spans="1:28" ht="53" customHeight="1">
      <c r="A3556" s="156" t="str">
        <f>'Reported burning'!A3556</f>
        <v>389a</v>
      </c>
      <c r="B3556" s="156" t="str">
        <f>'Reported burning'!B3556</f>
        <v>389a.1</v>
      </c>
      <c r="C3556" s="156" t="str">
        <f>'Reported burning'!C3556</f>
        <v>Human, deliberate</v>
      </c>
      <c r="D3556" s="156" t="str">
        <f>'Reported burning'!D3556</f>
        <v>All</v>
      </c>
      <c r="E3556" s="156" t="str">
        <f>'Reported burning'!E3556</f>
        <v>All</v>
      </c>
      <c r="F3556" s="156" t="str">
        <f>'Reported burning'!F3556</f>
        <v>Shrubland (Mixed forest &amp; grassland)</v>
      </c>
      <c r="G3556" s="156" t="str">
        <f>'Reported burning'!G3556</f>
        <v>Shrubland (Mixed forest &amp; grassland)</v>
      </c>
      <c r="H3556" s="156" t="str">
        <f>'Reported burning'!H3556</f>
        <v>Presence</v>
      </c>
      <c r="I3556" s="5"/>
      <c r="J3556" s="21" t="s">
        <v>2276</v>
      </c>
      <c r="K3556" s="21" t="s">
        <v>2276</v>
      </c>
      <c r="L3556" s="21" t="s">
        <v>2276</v>
      </c>
      <c r="M3556" s="21" t="s">
        <v>2276</v>
      </c>
      <c r="N3556" s="21" t="s">
        <v>2276</v>
      </c>
      <c r="O3556" s="21" t="s">
        <v>2276</v>
      </c>
      <c r="P3556" s="21" t="s">
        <v>2276</v>
      </c>
      <c r="Q3556" s="21" t="s">
        <v>2276</v>
      </c>
      <c r="R3556" s="21" t="s">
        <v>2276</v>
      </c>
      <c r="S3556" s="21" t="s">
        <v>2276</v>
      </c>
      <c r="T3556" s="21" t="s">
        <v>2276</v>
      </c>
      <c r="U3556" s="21" t="s">
        <v>2276</v>
      </c>
      <c r="V3556" s="14" t="s">
        <v>2374</v>
      </c>
      <c r="W3556" s="21" t="s">
        <v>2276</v>
      </c>
      <c r="X3556" s="21" t="s">
        <v>2276</v>
      </c>
      <c r="Y3556" s="21" t="s">
        <v>2276</v>
      </c>
      <c r="Z3556" s="21" t="s">
        <v>2276</v>
      </c>
      <c r="AA3556" s="4" t="s">
        <v>9330</v>
      </c>
      <c r="AB3556" s="204"/>
    </row>
    <row r="3557" spans="1:28" ht="53" customHeight="1">
      <c r="A3557" s="156" t="str">
        <f>'Reported burning'!A3557</f>
        <v>389a</v>
      </c>
      <c r="B3557" s="156" t="str">
        <f>'Reported burning'!B3557</f>
        <v>389a.2</v>
      </c>
      <c r="C3557" s="156" t="str">
        <f>'Reported burning'!C3557</f>
        <v>Human, deliberate</v>
      </c>
      <c r="D3557" s="156" t="str">
        <f>'Reported burning'!D3557</f>
        <v>Pyrome management</v>
      </c>
      <c r="E3557" s="156" t="str">
        <f>'Reported burning'!E3557</f>
        <v>Biodiversity conservation</v>
      </c>
      <c r="F3557" s="156" t="str">
        <f>'Reported burning'!F3557</f>
        <v>Shrubland (Mixed forest &amp; grassland)</v>
      </c>
      <c r="G3557" s="156" t="str">
        <f>'Reported burning'!G3557</f>
        <v>Shrubland (Mixed forest &amp; grassland)</v>
      </c>
      <c r="H3557" s="156" t="str">
        <f>'Reported burning'!H3557</f>
        <v>Presence</v>
      </c>
      <c r="I3557" s="5"/>
      <c r="J3557" s="21" t="s">
        <v>2276</v>
      </c>
      <c r="K3557" s="21" t="s">
        <v>2276</v>
      </c>
      <c r="L3557" s="21" t="s">
        <v>2276</v>
      </c>
      <c r="M3557" s="21" t="s">
        <v>2276</v>
      </c>
      <c r="N3557" s="21" t="s">
        <v>2276</v>
      </c>
      <c r="O3557" s="21" t="s">
        <v>2276</v>
      </c>
      <c r="P3557" s="21" t="s">
        <v>2276</v>
      </c>
      <c r="Q3557" s="21" t="s">
        <v>2276</v>
      </c>
      <c r="R3557" s="21" t="s">
        <v>2276</v>
      </c>
      <c r="S3557" s="21" t="s">
        <v>2276</v>
      </c>
      <c r="T3557" s="21" t="s">
        <v>2276</v>
      </c>
      <c r="U3557" s="21" t="s">
        <v>2276</v>
      </c>
      <c r="V3557" s="21" t="s">
        <v>2276</v>
      </c>
      <c r="W3557" s="21" t="s">
        <v>2276</v>
      </c>
      <c r="X3557" s="21" t="s">
        <v>2276</v>
      </c>
      <c r="Y3557" s="21" t="s">
        <v>2276</v>
      </c>
      <c r="Z3557" s="21" t="s">
        <v>2276</v>
      </c>
      <c r="AA3557" s="204"/>
      <c r="AB3557" s="204"/>
    </row>
    <row r="3558" spans="1:28" ht="53" customHeight="1">
      <c r="A3558" s="156" t="str">
        <f>'Reported burning'!A3558</f>
        <v>389a</v>
      </c>
      <c r="B3558" s="156" t="str">
        <f>'Reported burning'!B3558</f>
        <v>389a.3</v>
      </c>
      <c r="C3558" s="156" t="str">
        <f>'Reported burning'!C3558</f>
        <v>Human, deliberate</v>
      </c>
      <c r="D3558" s="156" t="str">
        <f>'Reported burning'!D3558</f>
        <v>Pyrome management</v>
      </c>
      <c r="E3558" s="156" t="str">
        <f>'Reported burning'!E3558</f>
        <v>Forestry, Industrial</v>
      </c>
      <c r="F3558" s="156" t="str">
        <f>'Reported burning'!F3558</f>
        <v>Shrubland (Mixed forest &amp; grassland)</v>
      </c>
      <c r="G3558" s="156" t="str">
        <f>'Reported burning'!G3558</f>
        <v>Shrubland (Mixed forest &amp; grassland)</v>
      </c>
      <c r="H3558" s="156" t="str">
        <f>'Reported burning'!H3558</f>
        <v>Presence</v>
      </c>
      <c r="I3558" s="5"/>
      <c r="J3558" s="21" t="s">
        <v>2276</v>
      </c>
      <c r="K3558" s="21" t="s">
        <v>2276</v>
      </c>
      <c r="L3558" s="21" t="s">
        <v>2276</v>
      </c>
      <c r="M3558" s="21" t="s">
        <v>2276</v>
      </c>
      <c r="N3558" s="21" t="s">
        <v>2276</v>
      </c>
      <c r="O3558" s="21" t="s">
        <v>2276</v>
      </c>
      <c r="P3558" s="21" t="s">
        <v>2276</v>
      </c>
      <c r="Q3558" s="21" t="s">
        <v>2276</v>
      </c>
      <c r="R3558" s="21" t="s">
        <v>2276</v>
      </c>
      <c r="S3558" s="21" t="s">
        <v>2276</v>
      </c>
      <c r="T3558" s="21" t="s">
        <v>2276</v>
      </c>
      <c r="U3558" s="21" t="s">
        <v>2276</v>
      </c>
      <c r="V3558" s="21" t="s">
        <v>2276</v>
      </c>
      <c r="W3558" s="21" t="s">
        <v>2276</v>
      </c>
      <c r="X3558" s="21" t="s">
        <v>2276</v>
      </c>
      <c r="Y3558" s="21" t="s">
        <v>2276</v>
      </c>
      <c r="Z3558" s="21" t="s">
        <v>2276</v>
      </c>
      <c r="AA3558" s="204"/>
      <c r="AB3558" s="204"/>
    </row>
    <row r="3559" spans="1:28" ht="53" customHeight="1">
      <c r="A3559" s="156" t="str">
        <f>'Reported burning'!A3559</f>
        <v>389a</v>
      </c>
      <c r="B3559" s="156" t="str">
        <f>'Reported burning'!B3559</f>
        <v>389a.4</v>
      </c>
      <c r="C3559" s="156" t="str">
        <f>'Reported burning'!C3559</f>
        <v>Human, deliberate</v>
      </c>
      <c r="D3559" s="156" t="str">
        <f>'Reported burning'!D3559</f>
        <v>Pyrome management</v>
      </c>
      <c r="E3559" s="156" t="str">
        <f>'Reported burning'!E3559</f>
        <v>Urban planner</v>
      </c>
      <c r="F3559" s="156" t="str">
        <f>'Reported burning'!F3559</f>
        <v>Shrubland (Mixed forest &amp; grassland)</v>
      </c>
      <c r="G3559" s="156" t="str">
        <f>'Reported burning'!G3559</f>
        <v>Shrubland (Mixed forest &amp; grassland)</v>
      </c>
      <c r="H3559" s="156" t="str">
        <f>'Reported burning'!H3559</f>
        <v>Presence</v>
      </c>
      <c r="I3559" s="5"/>
      <c r="J3559" s="21" t="s">
        <v>2276</v>
      </c>
      <c r="K3559" s="21" t="s">
        <v>2276</v>
      </c>
      <c r="L3559" s="21" t="s">
        <v>2276</v>
      </c>
      <c r="M3559" s="21" t="s">
        <v>2276</v>
      </c>
      <c r="N3559" s="21" t="s">
        <v>2276</v>
      </c>
      <c r="O3559" s="21" t="s">
        <v>2276</v>
      </c>
      <c r="P3559" s="21" t="s">
        <v>2276</v>
      </c>
      <c r="Q3559" s="21" t="s">
        <v>2276</v>
      </c>
      <c r="R3559" s="21" t="s">
        <v>2276</v>
      </c>
      <c r="S3559" s="21" t="s">
        <v>2276</v>
      </c>
      <c r="T3559" s="21" t="s">
        <v>2276</v>
      </c>
      <c r="U3559" s="21" t="s">
        <v>2276</v>
      </c>
      <c r="V3559" s="21" t="s">
        <v>2276</v>
      </c>
      <c r="W3559" s="21" t="s">
        <v>2276</v>
      </c>
      <c r="X3559" s="21" t="s">
        <v>2276</v>
      </c>
      <c r="Y3559" s="21" t="s">
        <v>2276</v>
      </c>
      <c r="Z3559" s="21" t="s">
        <v>2276</v>
      </c>
      <c r="AA3559" s="204"/>
      <c r="AB3559" s="204"/>
    </row>
    <row r="3560" spans="1:28" ht="53" customHeight="1">
      <c r="A3560" s="156" t="str">
        <f>'Reported burning'!A3560</f>
        <v>389a</v>
      </c>
      <c r="B3560" s="156" t="str">
        <f>'Reported burning'!B3560</f>
        <v>389a.5</v>
      </c>
      <c r="C3560" s="156" t="str">
        <f>'Reported burning'!C3560</f>
        <v>Human, deliberate</v>
      </c>
      <c r="D3560" s="156" t="str">
        <f>'Reported burning'!D3560</f>
        <v>Pyrome management</v>
      </c>
      <c r="E3560" s="156" t="str">
        <f>'Reported burning'!E3560</f>
        <v>Fire suppression agent</v>
      </c>
      <c r="F3560" s="156" t="str">
        <f>'Reported burning'!F3560</f>
        <v>Shrubland (Mixed forest &amp; grassland)</v>
      </c>
      <c r="G3560" s="156" t="str">
        <f>'Reported burning'!G3560</f>
        <v>Shrubland (Mixed forest &amp; grassland)</v>
      </c>
      <c r="H3560" s="156" t="str">
        <f>'Reported burning'!H3560</f>
        <v>Presence</v>
      </c>
      <c r="I3560" s="5"/>
      <c r="J3560" s="21" t="s">
        <v>2276</v>
      </c>
      <c r="K3560" s="21" t="s">
        <v>2276</v>
      </c>
      <c r="L3560" s="21" t="s">
        <v>2276</v>
      </c>
      <c r="M3560" s="21" t="s">
        <v>2276</v>
      </c>
      <c r="N3560" s="21" t="s">
        <v>2276</v>
      </c>
      <c r="O3560" s="21" t="s">
        <v>2276</v>
      </c>
      <c r="P3560" s="21" t="s">
        <v>2276</v>
      </c>
      <c r="Q3560" s="21" t="s">
        <v>2276</v>
      </c>
      <c r="R3560" s="21" t="s">
        <v>2276</v>
      </c>
      <c r="S3560" s="21" t="s">
        <v>2276</v>
      </c>
      <c r="T3560" s="21" t="s">
        <v>2276</v>
      </c>
      <c r="U3560" s="21" t="s">
        <v>2276</v>
      </c>
      <c r="V3560" s="21" t="s">
        <v>2276</v>
      </c>
      <c r="W3560" s="21" t="s">
        <v>2276</v>
      </c>
      <c r="X3560" s="21" t="s">
        <v>2276</v>
      </c>
      <c r="Y3560" s="21" t="s">
        <v>2276</v>
      </c>
      <c r="Z3560" s="21" t="s">
        <v>2276</v>
      </c>
      <c r="AA3560" s="204"/>
      <c r="AB3560" s="204"/>
    </row>
    <row r="3561" spans="1:28" ht="53" customHeight="1">
      <c r="A3561" s="152" t="str">
        <f>'Reported burning'!A3561</f>
        <v>389a</v>
      </c>
      <c r="B3561" s="152" t="str">
        <f>'Reported burning'!B3561</f>
        <v>389a.6</v>
      </c>
      <c r="C3561" s="152" t="str">
        <f>'Reported burning'!C3561</f>
        <v>Human, deliberate</v>
      </c>
      <c r="D3561" s="152" t="str">
        <f>'Reported burning'!D3561</f>
        <v>Pyrome management</v>
      </c>
      <c r="E3561" s="152" t="str">
        <f>'Reported burning'!E3561</f>
        <v>Forestry, Traditional</v>
      </c>
      <c r="F3561" s="152" t="str">
        <f>'Reported burning'!F3561</f>
        <v>Shrubland (Mixed forest &amp; grassland)</v>
      </c>
      <c r="G3561" s="152" t="str">
        <f>'Reported burning'!G3561</f>
        <v>Shrubland (Mixed forest &amp; grassland)</v>
      </c>
      <c r="H3561" s="152" t="str">
        <f>'Reported burning'!H3561</f>
        <v>Presence</v>
      </c>
      <c r="I3561" s="204"/>
      <c r="J3561" s="21" t="s">
        <v>2276</v>
      </c>
      <c r="K3561" s="21" t="s">
        <v>2276</v>
      </c>
      <c r="L3561" s="21" t="s">
        <v>2276</v>
      </c>
      <c r="M3561" s="21" t="s">
        <v>2276</v>
      </c>
      <c r="N3561" s="21" t="s">
        <v>2276</v>
      </c>
      <c r="O3561" s="21" t="s">
        <v>2276</v>
      </c>
      <c r="P3561" s="21" t="s">
        <v>2276</v>
      </c>
      <c r="Q3561" s="21" t="s">
        <v>2276</v>
      </c>
      <c r="R3561" s="21" t="s">
        <v>2276</v>
      </c>
      <c r="S3561" s="21" t="s">
        <v>2276</v>
      </c>
      <c r="T3561" s="21" t="s">
        <v>2276</v>
      </c>
      <c r="U3561" s="21" t="s">
        <v>2276</v>
      </c>
      <c r="V3561" s="21" t="s">
        <v>2276</v>
      </c>
      <c r="W3561" s="21" t="s">
        <v>2276</v>
      </c>
      <c r="X3561" s="21" t="s">
        <v>2276</v>
      </c>
      <c r="Y3561" s="21" t="s">
        <v>2276</v>
      </c>
      <c r="Z3561" s="21" t="s">
        <v>2276</v>
      </c>
      <c r="AA3561" s="204"/>
      <c r="AB3561" s="204"/>
    </row>
    <row r="3562" spans="1:28" ht="33.5" customHeight="1">
      <c r="A3562" s="156" t="str">
        <f>'Reported burning'!A3562</f>
        <v>389a</v>
      </c>
      <c r="B3562" s="156" t="str">
        <f>'Reported burning'!B3562</f>
        <v>389a.7</v>
      </c>
      <c r="C3562" s="156" t="str">
        <f>'Reported burning'!C3562</f>
        <v>Human, deliberate</v>
      </c>
      <c r="D3562" s="156" t="str">
        <f>'Reported burning'!D3562</f>
        <v>Conservation</v>
      </c>
      <c r="E3562" s="156" t="str">
        <f>'Reported burning'!E3562</f>
        <v>Biodiversity conservation</v>
      </c>
      <c r="F3562" s="156" t="str">
        <f>'Reported burning'!F3562</f>
        <v>Shrubland (Mixed forest &amp; grassland)</v>
      </c>
      <c r="G3562" s="156" t="str">
        <f>'Reported burning'!G3562</f>
        <v>Shrubland (Mixed forest &amp; grassland)</v>
      </c>
      <c r="H3562" s="156" t="str">
        <f>'Reported burning'!H3562</f>
        <v>Presence</v>
      </c>
      <c r="I3562" s="5"/>
      <c r="J3562" s="75" t="s">
        <v>2276</v>
      </c>
      <c r="K3562" s="75" t="s">
        <v>2276</v>
      </c>
      <c r="L3562" s="75" t="s">
        <v>2276</v>
      </c>
      <c r="M3562" s="75" t="s">
        <v>2276</v>
      </c>
      <c r="N3562" s="75" t="s">
        <v>2276</v>
      </c>
      <c r="O3562" s="75" t="s">
        <v>2276</v>
      </c>
      <c r="P3562" s="75" t="s">
        <v>2276</v>
      </c>
      <c r="Q3562" s="75" t="s">
        <v>2276</v>
      </c>
      <c r="R3562" s="75" t="s">
        <v>2276</v>
      </c>
      <c r="S3562" s="75" t="s">
        <v>2276</v>
      </c>
      <c r="T3562" s="75" t="s">
        <v>2276</v>
      </c>
      <c r="U3562" s="75" t="s">
        <v>2276</v>
      </c>
      <c r="V3562" s="75" t="s">
        <v>2276</v>
      </c>
      <c r="W3562" s="75" t="s">
        <v>2276</v>
      </c>
      <c r="X3562" s="75" t="s">
        <v>2276</v>
      </c>
      <c r="Y3562" s="75" t="s">
        <v>2276</v>
      </c>
      <c r="Z3562" s="75" t="s">
        <v>2276</v>
      </c>
      <c r="AA3562" s="204"/>
      <c r="AB3562" s="204"/>
    </row>
    <row r="3563" spans="1:28" ht="33.5" customHeight="1">
      <c r="A3563" s="156" t="str">
        <f>'Reported burning'!A3563</f>
        <v>389a</v>
      </c>
      <c r="B3563" s="156" t="str">
        <f>'Reported burning'!B3563</f>
        <v>389a.8</v>
      </c>
      <c r="C3563" s="156" t="str">
        <f>'Reported burning'!C3563</f>
        <v>Human, deliberate</v>
      </c>
      <c r="D3563" s="156" t="str">
        <f>'Reported burning'!D3563</f>
        <v>Conservation</v>
      </c>
      <c r="E3563" s="156" t="str">
        <f>'Reported burning'!E3563</f>
        <v>Biodiversity conservation</v>
      </c>
      <c r="F3563" s="156" t="str">
        <f>'Reported burning'!F3563</f>
        <v>Grassland</v>
      </c>
      <c r="G3563" s="156" t="str">
        <f>'Reported burning'!G3563</f>
        <v>Grassland</v>
      </c>
      <c r="H3563" s="156" t="str">
        <f>'Reported burning'!H3563</f>
        <v>Presence</v>
      </c>
      <c r="I3563" s="5"/>
      <c r="J3563" s="75" t="s">
        <v>2276</v>
      </c>
      <c r="K3563" s="75" t="s">
        <v>2276</v>
      </c>
      <c r="L3563" s="75" t="s">
        <v>2276</v>
      </c>
      <c r="M3563" s="75" t="s">
        <v>2276</v>
      </c>
      <c r="N3563" s="75" t="s">
        <v>2276</v>
      </c>
      <c r="O3563" s="75" t="s">
        <v>2276</v>
      </c>
      <c r="P3563" s="75" t="s">
        <v>2276</v>
      </c>
      <c r="Q3563" s="75" t="s">
        <v>2276</v>
      </c>
      <c r="R3563" s="75" t="s">
        <v>2276</v>
      </c>
      <c r="S3563" s="75" t="s">
        <v>2276</v>
      </c>
      <c r="T3563" s="75" t="s">
        <v>2276</v>
      </c>
      <c r="U3563" s="75" t="s">
        <v>2276</v>
      </c>
      <c r="V3563" s="75" t="s">
        <v>2276</v>
      </c>
      <c r="W3563" s="75" t="s">
        <v>2276</v>
      </c>
      <c r="X3563" s="75" t="s">
        <v>2276</v>
      </c>
      <c r="Y3563" s="75" t="s">
        <v>2276</v>
      </c>
      <c r="Z3563" s="75" t="s">
        <v>2276</v>
      </c>
      <c r="AA3563" s="204"/>
      <c r="AB3563" s="204"/>
    </row>
    <row r="3564" spans="1:28" ht="33.5" customHeight="1">
      <c r="A3564" s="156" t="str">
        <f>'Reported burning'!A3564</f>
        <v>389a</v>
      </c>
      <c r="B3564" s="156" t="str">
        <f>'Reported burning'!B3564</f>
        <v>389a.9</v>
      </c>
      <c r="C3564" s="156" t="str">
        <f>'Reported burning'!C3564</f>
        <v>Human, deliberate</v>
      </c>
      <c r="D3564" s="156" t="str">
        <f>'Reported burning'!D3564</f>
        <v>Conservation</v>
      </c>
      <c r="E3564" s="156" t="str">
        <f>'Reported burning'!E3564</f>
        <v>Biodiversity conservation</v>
      </c>
      <c r="F3564" s="156" t="str">
        <f>'Reported burning'!F3564</f>
        <v>Forest</v>
      </c>
      <c r="G3564" s="156" t="str">
        <f>'Reported burning'!G3564</f>
        <v>Forest</v>
      </c>
      <c r="H3564" s="156" t="str">
        <f>'Reported burning'!H3564</f>
        <v>Presence</v>
      </c>
      <c r="I3564" s="5"/>
      <c r="J3564" s="75" t="s">
        <v>2276</v>
      </c>
      <c r="K3564" s="75" t="s">
        <v>2276</v>
      </c>
      <c r="L3564" s="75" t="s">
        <v>2276</v>
      </c>
      <c r="M3564" s="75" t="s">
        <v>2276</v>
      </c>
      <c r="N3564" s="75" t="s">
        <v>2276</v>
      </c>
      <c r="O3564" s="75" t="s">
        <v>2276</v>
      </c>
      <c r="P3564" s="75" t="s">
        <v>2276</v>
      </c>
      <c r="Q3564" s="75" t="s">
        <v>2276</v>
      </c>
      <c r="R3564" s="75" t="s">
        <v>2276</v>
      </c>
      <c r="S3564" s="75" t="s">
        <v>2276</v>
      </c>
      <c r="T3564" s="75" t="s">
        <v>2276</v>
      </c>
      <c r="U3564" s="75" t="s">
        <v>2276</v>
      </c>
      <c r="V3564" s="75" t="s">
        <v>2276</v>
      </c>
      <c r="W3564" s="75" t="s">
        <v>2276</v>
      </c>
      <c r="X3564" s="75" t="s">
        <v>2276</v>
      </c>
      <c r="Y3564" s="75" t="s">
        <v>2276</v>
      </c>
      <c r="Z3564" s="75" t="s">
        <v>2276</v>
      </c>
      <c r="AA3564" s="204"/>
      <c r="AB3564" s="204"/>
    </row>
    <row r="3565" spans="1:28" ht="33.5" customHeight="1">
      <c r="A3565" s="156" t="str">
        <f>'Reported burning'!A3565</f>
        <v>389a</v>
      </c>
      <c r="B3565" s="156" t="str">
        <f>'Reported burning'!B3565</f>
        <v>389a.10</v>
      </c>
      <c r="C3565" s="156" t="str">
        <f>'Reported burning'!C3565</f>
        <v>Human, deliberate</v>
      </c>
      <c r="D3565" s="156" t="str">
        <f>'Reported burning'!D3565</f>
        <v>Pest management</v>
      </c>
      <c r="E3565" s="156" t="str">
        <f>'Reported burning'!E3565</f>
        <v>Biodiversity conservation</v>
      </c>
      <c r="F3565" s="156" t="str">
        <f>'Reported burning'!F3565</f>
        <v>Shrubland (Mixed forest &amp; grassland)</v>
      </c>
      <c r="G3565" s="156" t="str">
        <f>'Reported burning'!G3565</f>
        <v>Shrubland (Mixed forest &amp; grassland)</v>
      </c>
      <c r="H3565" s="156" t="str">
        <f>'Reported burning'!H3565</f>
        <v>Presence</v>
      </c>
      <c r="I3565" s="5"/>
      <c r="J3565" s="75" t="s">
        <v>2276</v>
      </c>
      <c r="K3565" s="75" t="s">
        <v>2276</v>
      </c>
      <c r="L3565" s="75" t="s">
        <v>2276</v>
      </c>
      <c r="M3565" s="75" t="s">
        <v>2276</v>
      </c>
      <c r="N3565" s="75" t="s">
        <v>2276</v>
      </c>
      <c r="O3565" s="75" t="s">
        <v>2276</v>
      </c>
      <c r="P3565" s="75" t="s">
        <v>2276</v>
      </c>
      <c r="Q3565" s="75" t="s">
        <v>2276</v>
      </c>
      <c r="R3565" s="75" t="s">
        <v>2276</v>
      </c>
      <c r="S3565" s="75" t="s">
        <v>2276</v>
      </c>
      <c r="T3565" s="75" t="s">
        <v>2276</v>
      </c>
      <c r="U3565" s="75" t="s">
        <v>2276</v>
      </c>
      <c r="V3565" s="75" t="s">
        <v>2276</v>
      </c>
      <c r="W3565" s="75" t="s">
        <v>2276</v>
      </c>
      <c r="X3565" s="75" t="s">
        <v>2276</v>
      </c>
      <c r="Y3565" s="75" t="s">
        <v>2276</v>
      </c>
      <c r="Z3565" s="75" t="s">
        <v>2276</v>
      </c>
      <c r="AA3565" s="204"/>
      <c r="AB3565" s="204"/>
    </row>
    <row r="3566" spans="1:28" ht="42" customHeight="1">
      <c r="A3566" s="156" t="str">
        <f>'Reported burning'!A3566</f>
        <v>390a</v>
      </c>
      <c r="B3566" s="156" t="str">
        <f>'Reported burning'!B3566</f>
        <v>390a.1</v>
      </c>
      <c r="C3566" s="156" t="str">
        <f>'Reported burning'!C3566</f>
        <v>Human, deliberate</v>
      </c>
      <c r="D3566" s="156" t="str">
        <f>'Reported burning'!D3566</f>
        <v>ND</v>
      </c>
      <c r="E3566" s="156" t="str">
        <f>'Reported burning'!E3566</f>
        <v>ND</v>
      </c>
      <c r="F3566" s="156" t="str">
        <f>'Reported burning'!F3566</f>
        <v>ND</v>
      </c>
      <c r="G3566" s="156" t="str">
        <f>'Reported burning'!G3566</f>
        <v>Forest</v>
      </c>
      <c r="H3566" s="156" t="str">
        <f>'Reported burning'!H3566</f>
        <v>Presence</v>
      </c>
      <c r="I3566" s="5"/>
      <c r="J3566" s="75" t="s">
        <v>2276</v>
      </c>
      <c r="K3566" s="75" t="s">
        <v>2276</v>
      </c>
      <c r="L3566" s="75" t="s">
        <v>2276</v>
      </c>
      <c r="M3566" s="75" t="s">
        <v>2276</v>
      </c>
      <c r="N3566" s="75" t="s">
        <v>2276</v>
      </c>
      <c r="O3566" s="75" t="s">
        <v>2276</v>
      </c>
      <c r="P3566" s="75" t="s">
        <v>2276</v>
      </c>
      <c r="Q3566" s="75" t="s">
        <v>2276</v>
      </c>
      <c r="R3566" s="75" t="s">
        <v>2276</v>
      </c>
      <c r="S3566" s="75" t="s">
        <v>2276</v>
      </c>
      <c r="T3566" s="75" t="s">
        <v>2276</v>
      </c>
      <c r="U3566" s="75" t="s">
        <v>2276</v>
      </c>
      <c r="V3566" s="75" t="s">
        <v>2276</v>
      </c>
      <c r="W3566" s="75" t="s">
        <v>2276</v>
      </c>
      <c r="X3566" s="75" t="s">
        <v>2276</v>
      </c>
      <c r="Y3566" s="75" t="s">
        <v>2276</v>
      </c>
      <c r="Z3566" s="75" t="s">
        <v>2276</v>
      </c>
      <c r="AA3566" s="204"/>
      <c r="AB3566" s="204"/>
    </row>
    <row r="3567" spans="1:28" ht="42" customHeight="1">
      <c r="A3567" s="156" t="str">
        <f>'Reported burning'!A3567</f>
        <v>390a</v>
      </c>
      <c r="B3567" s="156" t="str">
        <f>'Reported burning'!B3567</f>
        <v>390a.2</v>
      </c>
      <c r="C3567" s="156" t="str">
        <f>'Reported burning'!C3567</f>
        <v>Lightning</v>
      </c>
      <c r="D3567" s="156" t="str">
        <f>'Reported burning'!D3567</f>
        <v>ND</v>
      </c>
      <c r="E3567" s="156" t="str">
        <f>'Reported burning'!E3567</f>
        <v>ND</v>
      </c>
      <c r="F3567" s="156" t="str">
        <f>'Reported burning'!F3567</f>
        <v>ND</v>
      </c>
      <c r="G3567" s="156" t="str">
        <f>'Reported burning'!G3567</f>
        <v>Forest</v>
      </c>
      <c r="H3567" s="156" t="str">
        <f>'Reported burning'!H3567</f>
        <v>Presence</v>
      </c>
      <c r="I3567" s="5"/>
      <c r="J3567" s="75" t="s">
        <v>2276</v>
      </c>
      <c r="K3567" s="75" t="s">
        <v>2276</v>
      </c>
      <c r="L3567" s="75" t="s">
        <v>2276</v>
      </c>
      <c r="M3567" s="75" t="s">
        <v>2276</v>
      </c>
      <c r="N3567" s="75" t="s">
        <v>2276</v>
      </c>
      <c r="O3567" s="75" t="s">
        <v>2276</v>
      </c>
      <c r="P3567" s="75" t="s">
        <v>2276</v>
      </c>
      <c r="Q3567" s="75" t="s">
        <v>2276</v>
      </c>
      <c r="R3567" s="75" t="s">
        <v>2276</v>
      </c>
      <c r="S3567" s="75" t="s">
        <v>2276</v>
      </c>
      <c r="T3567" s="75" t="s">
        <v>2276</v>
      </c>
      <c r="U3567" s="75" t="s">
        <v>2276</v>
      </c>
      <c r="V3567" s="75" t="s">
        <v>2276</v>
      </c>
      <c r="W3567" s="75" t="s">
        <v>2276</v>
      </c>
      <c r="X3567" s="75" t="s">
        <v>2276</v>
      </c>
      <c r="Y3567" s="75" t="s">
        <v>2276</v>
      </c>
      <c r="Z3567" s="75" t="s">
        <v>2276</v>
      </c>
      <c r="AA3567" s="204"/>
      <c r="AB3567" s="204"/>
    </row>
    <row r="3568" spans="1:28" ht="42" customHeight="1">
      <c r="A3568" s="156" t="str">
        <f>'Reported burning'!A3568</f>
        <v>390a</v>
      </c>
      <c r="B3568" s="156" t="str">
        <f>'Reported burning'!B3568</f>
        <v>390a.3</v>
      </c>
      <c r="C3568" s="156" t="str">
        <f>'Reported burning'!C3568</f>
        <v>Human, deliberate</v>
      </c>
      <c r="D3568" s="156" t="str">
        <f>'Reported burning'!D3568</f>
        <v>ND</v>
      </c>
      <c r="E3568" s="156" t="str">
        <f>'Reported burning'!E3568</f>
        <v>ND</v>
      </c>
      <c r="F3568" s="156" t="str">
        <f>'Reported burning'!F3568</f>
        <v>ND</v>
      </c>
      <c r="G3568" s="156" t="str">
        <f>'Reported burning'!G3568</f>
        <v>Secondary vegetation</v>
      </c>
      <c r="H3568" s="156" t="str">
        <f>'Reported burning'!H3568</f>
        <v>Presence</v>
      </c>
      <c r="I3568" s="5"/>
      <c r="J3568" s="75" t="s">
        <v>2276</v>
      </c>
      <c r="K3568" s="75" t="s">
        <v>2276</v>
      </c>
      <c r="L3568" s="75" t="s">
        <v>2276</v>
      </c>
      <c r="M3568" s="75" t="s">
        <v>2276</v>
      </c>
      <c r="N3568" s="75" t="s">
        <v>2276</v>
      </c>
      <c r="O3568" s="75" t="s">
        <v>2276</v>
      </c>
      <c r="P3568" s="75" t="s">
        <v>2276</v>
      </c>
      <c r="Q3568" s="75" t="s">
        <v>2276</v>
      </c>
      <c r="R3568" s="75" t="s">
        <v>2276</v>
      </c>
      <c r="S3568" s="75" t="s">
        <v>2276</v>
      </c>
      <c r="T3568" s="75" t="s">
        <v>2276</v>
      </c>
      <c r="U3568" s="75" t="s">
        <v>2276</v>
      </c>
      <c r="V3568" s="75" t="s">
        <v>2276</v>
      </c>
      <c r="W3568" s="75" t="s">
        <v>2276</v>
      </c>
      <c r="X3568" s="75" t="s">
        <v>2276</v>
      </c>
      <c r="Y3568" s="75" t="s">
        <v>2276</v>
      </c>
      <c r="Z3568" s="75" t="s">
        <v>2276</v>
      </c>
      <c r="AA3568" s="204"/>
      <c r="AB3568" s="204"/>
    </row>
    <row r="3569" spans="1:28" ht="42" customHeight="1">
      <c r="A3569" s="152" t="str">
        <f>'Reported burning'!A3569</f>
        <v>390a</v>
      </c>
      <c r="B3569" s="152" t="str">
        <f>'Reported burning'!B3569</f>
        <v>390a.4</v>
      </c>
      <c r="C3569" s="152" t="str">
        <f>'Reported burning'!C3569</f>
        <v>Lightning</v>
      </c>
      <c r="D3569" s="152" t="str">
        <f>'Reported burning'!D3569</f>
        <v>ND</v>
      </c>
      <c r="E3569" s="152" t="str">
        <f>'Reported burning'!E3569</f>
        <v>ND</v>
      </c>
      <c r="F3569" s="152" t="str">
        <f>'Reported burning'!F3569</f>
        <v>ND</v>
      </c>
      <c r="G3569" s="152" t="str">
        <f>'Reported burning'!G3569</f>
        <v>Secondary vegetation</v>
      </c>
      <c r="H3569" s="152" t="str">
        <f>'Reported burning'!H3569</f>
        <v>Presence</v>
      </c>
      <c r="I3569" s="204"/>
      <c r="J3569" s="75" t="s">
        <v>2276</v>
      </c>
      <c r="K3569" s="75" t="s">
        <v>2276</v>
      </c>
      <c r="L3569" s="75" t="s">
        <v>2276</v>
      </c>
      <c r="M3569" s="75" t="s">
        <v>2276</v>
      </c>
      <c r="N3569" s="75" t="s">
        <v>2276</v>
      </c>
      <c r="O3569" s="75" t="s">
        <v>2276</v>
      </c>
      <c r="P3569" s="75" t="s">
        <v>2276</v>
      </c>
      <c r="Q3569" s="75" t="s">
        <v>2276</v>
      </c>
      <c r="R3569" s="75" t="s">
        <v>2276</v>
      </c>
      <c r="S3569" s="75" t="s">
        <v>2276</v>
      </c>
      <c r="T3569" s="75" t="s">
        <v>2276</v>
      </c>
      <c r="U3569" s="75" t="s">
        <v>2276</v>
      </c>
      <c r="V3569" s="75" t="s">
        <v>2276</v>
      </c>
      <c r="W3569" s="75" t="s">
        <v>2276</v>
      </c>
      <c r="X3569" s="75" t="s">
        <v>2276</v>
      </c>
      <c r="Y3569" s="75" t="s">
        <v>2276</v>
      </c>
      <c r="Z3569" s="75" t="s">
        <v>2276</v>
      </c>
      <c r="AA3569" s="204"/>
      <c r="AB3569" s="204"/>
    </row>
    <row r="3570" spans="1:28" ht="46.5" customHeight="1">
      <c r="A3570" s="152" t="str">
        <f>'Reported burning'!A3570</f>
        <v>390b</v>
      </c>
      <c r="B3570" s="152" t="str">
        <f>'Reported burning'!B3570</f>
        <v>390b.1</v>
      </c>
      <c r="C3570" s="152" t="str">
        <f>'Reported burning'!C3570</f>
        <v>All</v>
      </c>
      <c r="D3570" s="152" t="str">
        <f>'Reported burning'!D3570</f>
        <v>ND</v>
      </c>
      <c r="E3570" s="152" t="str">
        <f>'Reported burning'!E3570</f>
        <v>ND</v>
      </c>
      <c r="F3570" s="152" t="str">
        <f>'Reported burning'!F3570</f>
        <v>ND</v>
      </c>
      <c r="G3570" s="152" t="str">
        <f>'Reported burning'!G3570</f>
        <v>Forest</v>
      </c>
      <c r="H3570" s="152" t="str">
        <f>'Reported burning'!H3570</f>
        <v>Presence</v>
      </c>
      <c r="I3570" s="204"/>
      <c r="J3570" s="75" t="s">
        <v>2276</v>
      </c>
      <c r="K3570" s="75" t="s">
        <v>2276</v>
      </c>
      <c r="L3570" s="75" t="s">
        <v>2276</v>
      </c>
      <c r="M3570" s="75" t="s">
        <v>2276</v>
      </c>
      <c r="N3570" s="75" t="s">
        <v>2276</v>
      </c>
      <c r="O3570" s="75" t="s">
        <v>2276</v>
      </c>
      <c r="P3570" s="75" t="s">
        <v>2276</v>
      </c>
      <c r="Q3570" s="75" t="s">
        <v>2276</v>
      </c>
      <c r="R3570" s="75" t="s">
        <v>2276</v>
      </c>
      <c r="S3570" s="75" t="s">
        <v>2276</v>
      </c>
      <c r="T3570" s="75" t="s">
        <v>2276</v>
      </c>
      <c r="U3570" s="75" t="s">
        <v>2276</v>
      </c>
      <c r="V3570" s="75" t="s">
        <v>2276</v>
      </c>
      <c r="W3570" s="75" t="s">
        <v>2276</v>
      </c>
      <c r="X3570" s="75" t="s">
        <v>2276</v>
      </c>
      <c r="Y3570" s="75" t="s">
        <v>2276</v>
      </c>
      <c r="Z3570" s="75" t="s">
        <v>2276</v>
      </c>
      <c r="AA3570" s="204"/>
      <c r="AB3570" s="204"/>
    </row>
    <row r="3571" spans="1:28" ht="43" customHeight="1">
      <c r="A3571" s="152" t="str">
        <f>'Reported burning'!A3571</f>
        <v>391a</v>
      </c>
      <c r="B3571" s="152" t="str">
        <f>'Reported burning'!B3571</f>
        <v>391a.1</v>
      </c>
      <c r="C3571" s="152" t="str">
        <f>'Reported burning'!C3571</f>
        <v>Human, deliberate</v>
      </c>
      <c r="D3571" s="152" t="str">
        <f>'Reported burning'!D3571</f>
        <v>Land clearance</v>
      </c>
      <c r="E3571" s="152" t="str">
        <f>'Reported burning'!E3571</f>
        <v>Cattle, Extensive</v>
      </c>
      <c r="F3571" s="152" t="str">
        <f>'Reported burning'!F3571</f>
        <v>Shrubland (Mixed forest &amp; grassland)</v>
      </c>
      <c r="G3571" s="152" t="str">
        <f>'Reported burning'!G3571</f>
        <v>Shrubland (Mixed forest &amp; grassland)</v>
      </c>
      <c r="H3571" s="152" t="str">
        <f>'Reported burning'!H3571</f>
        <v>Presence</v>
      </c>
      <c r="I3571" s="204"/>
      <c r="J3571" s="75" t="s">
        <v>2276</v>
      </c>
      <c r="K3571" s="75" t="s">
        <v>2276</v>
      </c>
      <c r="L3571" s="75" t="s">
        <v>2276</v>
      </c>
      <c r="M3571" s="75" t="s">
        <v>2276</v>
      </c>
      <c r="N3571" s="75" t="s">
        <v>2276</v>
      </c>
      <c r="O3571" s="75" t="s">
        <v>2276</v>
      </c>
      <c r="P3571" s="75" t="s">
        <v>2276</v>
      </c>
      <c r="Q3571" s="75" t="s">
        <v>2276</v>
      </c>
      <c r="R3571" s="75" t="s">
        <v>2276</v>
      </c>
      <c r="S3571" s="75" t="s">
        <v>2276</v>
      </c>
      <c r="T3571" s="75" t="s">
        <v>2276</v>
      </c>
      <c r="U3571" s="75" t="s">
        <v>2276</v>
      </c>
      <c r="V3571" s="75" t="s">
        <v>2276</v>
      </c>
      <c r="W3571" s="75" t="s">
        <v>2276</v>
      </c>
      <c r="X3571" s="75" t="s">
        <v>2276</v>
      </c>
      <c r="Y3571" s="75" t="s">
        <v>2276</v>
      </c>
      <c r="Z3571" s="75" t="s">
        <v>2276</v>
      </c>
      <c r="AA3571" s="204"/>
      <c r="AB3571" s="204"/>
    </row>
    <row r="3572" spans="1:28" ht="43" customHeight="1">
      <c r="A3572" s="152" t="str">
        <f>'Reported burning'!A3572</f>
        <v>391a</v>
      </c>
      <c r="B3572" s="152" t="str">
        <f>'Reported burning'!B3572</f>
        <v>391a.2</v>
      </c>
      <c r="C3572" s="152" t="str">
        <f>'Reported burning'!C3572</f>
        <v>Human, deliberate</v>
      </c>
      <c r="D3572" s="152" t="str">
        <f>'Reported burning'!D3572</f>
        <v>Harvesting of Timber</v>
      </c>
      <c r="E3572" s="152" t="str">
        <f>'Reported burning'!E3572</f>
        <v>Forestry, Traditional</v>
      </c>
      <c r="F3572" s="152" t="str">
        <f>'Reported burning'!F3572</f>
        <v>Shrubland (Mixed forest &amp; grassland)</v>
      </c>
      <c r="G3572" s="152" t="str">
        <f>'Reported burning'!G3572</f>
        <v>Shrubland (Mixed forest &amp; grassland)</v>
      </c>
      <c r="H3572" s="152" t="str">
        <f>'Reported burning'!H3572</f>
        <v>Presence</v>
      </c>
      <c r="I3572" s="204"/>
      <c r="J3572" s="75" t="s">
        <v>2276</v>
      </c>
      <c r="K3572" s="75" t="s">
        <v>2276</v>
      </c>
      <c r="L3572" s="75" t="s">
        <v>2276</v>
      </c>
      <c r="M3572" s="75" t="s">
        <v>2276</v>
      </c>
      <c r="N3572" s="75" t="s">
        <v>2276</v>
      </c>
      <c r="O3572" s="75" t="s">
        <v>2276</v>
      </c>
      <c r="P3572" s="21" t="s">
        <v>2362</v>
      </c>
      <c r="Q3572" s="75" t="s">
        <v>2276</v>
      </c>
      <c r="R3572" s="21" t="s">
        <v>2362</v>
      </c>
      <c r="S3572" s="75" t="s">
        <v>2276</v>
      </c>
      <c r="T3572" s="75" t="s">
        <v>2276</v>
      </c>
      <c r="U3572" s="75" t="s">
        <v>2276</v>
      </c>
      <c r="V3572" s="75" t="s">
        <v>2276</v>
      </c>
      <c r="W3572" s="75" t="s">
        <v>2276</v>
      </c>
      <c r="X3572" s="75" t="s">
        <v>2276</v>
      </c>
      <c r="Y3572" s="75" t="s">
        <v>2276</v>
      </c>
      <c r="Z3572" s="75" t="s">
        <v>2276</v>
      </c>
      <c r="AA3572" s="82" t="s">
        <v>9391</v>
      </c>
      <c r="AB3572" s="204"/>
    </row>
    <row r="3573" spans="1:28" ht="43" customHeight="1">
      <c r="A3573" s="152" t="str">
        <f>'Reported burning'!A3573</f>
        <v>391a</v>
      </c>
      <c r="B3573" s="152" t="str">
        <f>'Reported burning'!B3573</f>
        <v>391a.3</v>
      </c>
      <c r="C3573" s="152" t="str">
        <f>'Reported burning'!C3573</f>
        <v>Human, deliberate</v>
      </c>
      <c r="D3573" s="152" t="str">
        <f>'Reported burning'!D3573</f>
        <v>Cultural &amp; Spiritual</v>
      </c>
      <c r="E3573" s="152" t="str">
        <f>'Reported burning'!E3573</f>
        <v>ND</v>
      </c>
      <c r="F3573" s="152" t="str">
        <f>'Reported burning'!F3573</f>
        <v>Shrubland (Mixed forest &amp; grassland)</v>
      </c>
      <c r="G3573" s="152" t="str">
        <f>'Reported burning'!G3573</f>
        <v>Shrubland (Mixed forest &amp; grassland)</v>
      </c>
      <c r="H3573" s="152" t="str">
        <f>'Reported burning'!H3573</f>
        <v>Presence</v>
      </c>
      <c r="I3573" s="204"/>
      <c r="J3573" s="75" t="s">
        <v>2276</v>
      </c>
      <c r="K3573" s="75" t="s">
        <v>2276</v>
      </c>
      <c r="L3573" s="75" t="s">
        <v>2276</v>
      </c>
      <c r="M3573" s="75" t="s">
        <v>2276</v>
      </c>
      <c r="N3573" s="75" t="s">
        <v>2276</v>
      </c>
      <c r="O3573" s="75" t="s">
        <v>2276</v>
      </c>
      <c r="P3573" s="75" t="s">
        <v>2276</v>
      </c>
      <c r="Q3573" s="75" t="s">
        <v>2276</v>
      </c>
      <c r="R3573" s="75" t="s">
        <v>2276</v>
      </c>
      <c r="S3573" s="75" t="s">
        <v>2276</v>
      </c>
      <c r="T3573" s="75" t="s">
        <v>2276</v>
      </c>
      <c r="U3573" s="75" t="s">
        <v>2276</v>
      </c>
      <c r="V3573" s="75" t="s">
        <v>2276</v>
      </c>
      <c r="W3573" s="75" t="s">
        <v>2276</v>
      </c>
      <c r="X3573" s="75" t="s">
        <v>2276</v>
      </c>
      <c r="Y3573" s="75" t="s">
        <v>2276</v>
      </c>
      <c r="Z3573" s="75" t="s">
        <v>2276</v>
      </c>
      <c r="AA3573" s="204"/>
      <c r="AB3573" s="204"/>
    </row>
    <row r="3574" spans="1:28" ht="48.5" customHeight="1">
      <c r="A3574" s="156" t="str">
        <f>'Reported burning'!A3574</f>
        <v>391a</v>
      </c>
      <c r="B3574" s="156" t="str">
        <f>'Reported burning'!B3574</f>
        <v>391a.4</v>
      </c>
      <c r="C3574" s="156" t="str">
        <f>'Reported burning'!C3574</f>
        <v>All</v>
      </c>
      <c r="D3574" s="156" t="str">
        <f>'Reported burning'!D3574</f>
        <v>ND</v>
      </c>
      <c r="E3574" s="156" t="str">
        <f>'Reported burning'!E3574</f>
        <v>ND</v>
      </c>
      <c r="F3574" s="156" t="str">
        <f>'Reported burning'!F3574</f>
        <v>Grassland</v>
      </c>
      <c r="G3574" s="156" t="str">
        <f>'Reported burning'!G3574</f>
        <v>Grassland</v>
      </c>
      <c r="H3574" s="156" t="str">
        <f>'Reported burning'!H3574</f>
        <v>Presence</v>
      </c>
      <c r="I3574" s="5"/>
      <c r="J3574" s="21" t="s">
        <v>2370</v>
      </c>
      <c r="K3574" s="75" t="s">
        <v>2276</v>
      </c>
      <c r="L3574" s="75" t="s">
        <v>2276</v>
      </c>
      <c r="M3574" s="75" t="s">
        <v>2276</v>
      </c>
      <c r="N3574" s="75" t="s">
        <v>2276</v>
      </c>
      <c r="O3574" s="75" t="s">
        <v>2276</v>
      </c>
      <c r="P3574" s="75" t="s">
        <v>2276</v>
      </c>
      <c r="Q3574" s="75" t="s">
        <v>2276</v>
      </c>
      <c r="R3574" s="75" t="s">
        <v>2276</v>
      </c>
      <c r="S3574" s="75" t="s">
        <v>2276</v>
      </c>
      <c r="T3574" s="75" t="s">
        <v>2276</v>
      </c>
      <c r="U3574" s="75" t="s">
        <v>2276</v>
      </c>
      <c r="V3574" s="75" t="s">
        <v>2276</v>
      </c>
      <c r="W3574" s="75" t="s">
        <v>2276</v>
      </c>
      <c r="X3574" s="75" t="s">
        <v>2276</v>
      </c>
      <c r="Y3574" s="75" t="s">
        <v>2276</v>
      </c>
      <c r="Z3574" s="75" t="s">
        <v>2276</v>
      </c>
      <c r="AA3574" s="204"/>
      <c r="AB3574" s="204" t="s">
        <v>9394</v>
      </c>
    </row>
    <row r="3575" spans="1:28" ht="39" customHeight="1">
      <c r="A3575" s="156" t="str">
        <f>'Reported burning'!A3575</f>
        <v>391a</v>
      </c>
      <c r="B3575" s="156" t="str">
        <f>'Reported burning'!B3575</f>
        <v>391a.5</v>
      </c>
      <c r="C3575" s="156" t="str">
        <f>'Reported burning'!C3575</f>
        <v>Human, deliberate</v>
      </c>
      <c r="D3575" s="156" t="str">
        <f>'Reported burning'!D3575</f>
        <v>Pasture renewal</v>
      </c>
      <c r="E3575" s="156" t="str">
        <f>'Reported burning'!E3575</f>
        <v>Cattle, Extensive</v>
      </c>
      <c r="F3575" s="156" t="str">
        <f>'Reported burning'!F3575</f>
        <v>Grassland</v>
      </c>
      <c r="G3575" s="156" t="str">
        <f>'Reported burning'!G3575</f>
        <v>Grassland</v>
      </c>
      <c r="H3575" s="156" t="str">
        <f>'Reported burning'!H3575</f>
        <v>Presence</v>
      </c>
      <c r="I3575" s="5"/>
      <c r="J3575" s="75" t="s">
        <v>2276</v>
      </c>
      <c r="K3575" s="75" t="s">
        <v>2276</v>
      </c>
      <c r="L3575" s="75" t="s">
        <v>2276</v>
      </c>
      <c r="M3575" s="75" t="s">
        <v>2276</v>
      </c>
      <c r="N3575" s="75" t="s">
        <v>2276</v>
      </c>
      <c r="O3575" s="75" t="s">
        <v>2276</v>
      </c>
      <c r="P3575" s="75" t="s">
        <v>2276</v>
      </c>
      <c r="Q3575" s="75" t="s">
        <v>2276</v>
      </c>
      <c r="R3575" s="75" t="s">
        <v>2276</v>
      </c>
      <c r="S3575" s="75" t="s">
        <v>2276</v>
      </c>
      <c r="T3575" s="75" t="s">
        <v>2276</v>
      </c>
      <c r="U3575" s="75" t="s">
        <v>2276</v>
      </c>
      <c r="V3575" s="75" t="s">
        <v>2276</v>
      </c>
      <c r="W3575" s="75" t="s">
        <v>2276</v>
      </c>
      <c r="X3575" s="204" t="s">
        <v>34</v>
      </c>
      <c r="Y3575" s="204" t="s">
        <v>425</v>
      </c>
      <c r="Z3575" s="75" t="s">
        <v>2276</v>
      </c>
      <c r="AA3575" s="204"/>
      <c r="AB3575" s="204"/>
    </row>
    <row r="3576" spans="1:28" ht="39" customHeight="1">
      <c r="A3576" s="156" t="str">
        <f>'Reported burning'!A3576</f>
        <v>391a</v>
      </c>
      <c r="B3576" s="156" t="str">
        <f>'Reported burning'!B3576</f>
        <v>391a.6</v>
      </c>
      <c r="C3576" s="156" t="str">
        <f>'Reported burning'!C3576</f>
        <v>Human, deliberate</v>
      </c>
      <c r="D3576" s="156" t="str">
        <f>'Reported burning'!D3576</f>
        <v>Land clearance</v>
      </c>
      <c r="E3576" s="156" t="str">
        <f>'Reported burning'!E3576</f>
        <v>Pastoralism, Migratory</v>
      </c>
      <c r="F3576" s="156" t="str">
        <f>'Reported burning'!F3576</f>
        <v>Shrubland (Mixed forest &amp; grassland)</v>
      </c>
      <c r="G3576" s="156" t="str">
        <f>'Reported burning'!G3576</f>
        <v>Shrubland (Mixed forest &amp; grassland)</v>
      </c>
      <c r="H3576" s="156" t="str">
        <f>'Reported burning'!H3576</f>
        <v>Presence</v>
      </c>
      <c r="I3576" s="5"/>
      <c r="J3576" s="75" t="s">
        <v>2276</v>
      </c>
      <c r="K3576" s="75" t="s">
        <v>2276</v>
      </c>
      <c r="L3576" s="75" t="s">
        <v>2276</v>
      </c>
      <c r="M3576" s="75" t="s">
        <v>2276</v>
      </c>
      <c r="N3576" s="75" t="s">
        <v>2276</v>
      </c>
      <c r="O3576" s="75" t="s">
        <v>2276</v>
      </c>
      <c r="P3576" s="75" t="s">
        <v>2276</v>
      </c>
      <c r="Q3576" s="75" t="s">
        <v>2276</v>
      </c>
      <c r="R3576" s="75" t="s">
        <v>2276</v>
      </c>
      <c r="S3576" s="75" t="s">
        <v>2276</v>
      </c>
      <c r="T3576" s="75" t="s">
        <v>2276</v>
      </c>
      <c r="U3576" s="75" t="s">
        <v>2276</v>
      </c>
      <c r="V3576" s="75" t="s">
        <v>2276</v>
      </c>
      <c r="W3576" s="75" t="s">
        <v>2276</v>
      </c>
      <c r="X3576" s="75" t="s">
        <v>2276</v>
      </c>
      <c r="Y3576" s="75" t="s">
        <v>2276</v>
      </c>
      <c r="Z3576" s="75" t="s">
        <v>2276</v>
      </c>
      <c r="AA3576" s="204"/>
      <c r="AB3576" s="204"/>
    </row>
    <row r="3577" spans="1:28" ht="39" customHeight="1">
      <c r="A3577" s="156" t="str">
        <f>'Reported burning'!A3577</f>
        <v>391a</v>
      </c>
      <c r="B3577" s="156" t="str">
        <f>'Reported burning'!B3577</f>
        <v>391a.7</v>
      </c>
      <c r="C3577" s="156" t="str">
        <f>'Reported burning'!C3577</f>
        <v>Human, deliberate</v>
      </c>
      <c r="D3577" s="156" t="str">
        <f>'Reported burning'!D3577</f>
        <v>Pasture renewal</v>
      </c>
      <c r="E3577" s="156" t="str">
        <f>'Reported burning'!E3577</f>
        <v>Pastoralism, Migratory</v>
      </c>
      <c r="F3577" s="156" t="str">
        <f>'Reported burning'!F3577</f>
        <v>Grassland</v>
      </c>
      <c r="G3577" s="156" t="str">
        <f>'Reported burning'!G3577</f>
        <v>Grassland</v>
      </c>
      <c r="H3577" s="156" t="str">
        <f>'Reported burning'!H3577</f>
        <v>Presence</v>
      </c>
      <c r="I3577" s="5"/>
      <c r="J3577" s="75" t="s">
        <v>2276</v>
      </c>
      <c r="K3577" s="75" t="s">
        <v>2276</v>
      </c>
      <c r="L3577" s="75" t="s">
        <v>2276</v>
      </c>
      <c r="M3577" s="75" t="s">
        <v>2276</v>
      </c>
      <c r="N3577" s="75" t="s">
        <v>2276</v>
      </c>
      <c r="O3577" s="75" t="s">
        <v>2276</v>
      </c>
      <c r="P3577" s="75" t="s">
        <v>2276</v>
      </c>
      <c r="Q3577" s="75" t="s">
        <v>2276</v>
      </c>
      <c r="R3577" s="75" t="s">
        <v>2276</v>
      </c>
      <c r="S3577" s="75" t="s">
        <v>2276</v>
      </c>
      <c r="T3577" s="75" t="s">
        <v>2276</v>
      </c>
      <c r="U3577" s="75" t="s">
        <v>2276</v>
      </c>
      <c r="V3577" s="75" t="s">
        <v>2276</v>
      </c>
      <c r="W3577" s="75" t="s">
        <v>2276</v>
      </c>
      <c r="X3577" s="204" t="s">
        <v>34</v>
      </c>
      <c r="Y3577" s="204" t="s">
        <v>425</v>
      </c>
      <c r="Z3577" s="75" t="s">
        <v>2276</v>
      </c>
      <c r="AA3577" s="204"/>
      <c r="AB3577" s="204"/>
    </row>
    <row r="3578" spans="1:28" ht="52.5" customHeight="1">
      <c r="A3578" s="156" t="str">
        <f>'Reported burning'!A3578</f>
        <v>391a</v>
      </c>
      <c r="B3578" s="156" t="str">
        <f>'Reported burning'!B3578</f>
        <v>391a.8</v>
      </c>
      <c r="C3578" s="156" t="str">
        <f>'Reported burning'!C3578</f>
        <v>Human, deliberate</v>
      </c>
      <c r="D3578" s="156" t="str">
        <f>'Reported burning'!D3578</f>
        <v>Harvesting of NTFP</v>
      </c>
      <c r="E3578" s="156" t="str">
        <f>'Reported burning'!E3578</f>
        <v>Forestry, Traditional</v>
      </c>
      <c r="F3578" s="156" t="str">
        <f>'Reported burning'!F3578</f>
        <v>Shrubland (Mixed forest &amp; grassland)</v>
      </c>
      <c r="G3578" s="156" t="str">
        <f>'Reported burning'!G3578</f>
        <v>Shrubland (Mixed forest &amp; grassland)</v>
      </c>
      <c r="H3578" s="156" t="str">
        <f>'Reported burning'!H3578</f>
        <v>Presence</v>
      </c>
      <c r="I3578" s="5"/>
      <c r="J3578" s="75" t="s">
        <v>2276</v>
      </c>
      <c r="K3578" s="75" t="s">
        <v>2276</v>
      </c>
      <c r="L3578" s="75" t="s">
        <v>2276</v>
      </c>
      <c r="M3578" s="75" t="s">
        <v>2276</v>
      </c>
      <c r="N3578" s="75" t="s">
        <v>2276</v>
      </c>
      <c r="O3578" s="75" t="s">
        <v>2276</v>
      </c>
      <c r="P3578" s="21" t="s">
        <v>2362</v>
      </c>
      <c r="Q3578" s="75" t="s">
        <v>2276</v>
      </c>
      <c r="R3578" s="21" t="s">
        <v>2362</v>
      </c>
      <c r="S3578" s="75" t="s">
        <v>2276</v>
      </c>
      <c r="T3578" s="75" t="s">
        <v>2276</v>
      </c>
      <c r="U3578" s="75" t="s">
        <v>2276</v>
      </c>
      <c r="V3578" s="75" t="s">
        <v>2276</v>
      </c>
      <c r="W3578" s="75" t="s">
        <v>2276</v>
      </c>
      <c r="X3578" s="75" t="s">
        <v>2276</v>
      </c>
      <c r="Y3578" s="75" t="s">
        <v>2276</v>
      </c>
      <c r="Z3578" s="75" t="s">
        <v>2276</v>
      </c>
      <c r="AA3578" s="204"/>
      <c r="AB3578" s="204"/>
    </row>
    <row r="3579" spans="1:28" ht="52.5" customHeight="1">
      <c r="A3579" s="156" t="str">
        <f>'Reported burning'!A3579</f>
        <v>391a</v>
      </c>
      <c r="B3579" s="156" t="str">
        <f>'Reported burning'!B3579</f>
        <v>391a.9</v>
      </c>
      <c r="C3579" s="156" t="str">
        <f>'Reported burning'!C3579</f>
        <v>Human, accidental</v>
      </c>
      <c r="D3579" s="156" t="str">
        <f>'Reported burning'!D3579</f>
        <v>ND</v>
      </c>
      <c r="E3579" s="156" t="str">
        <f>'Reported burning'!E3579</f>
        <v>ND</v>
      </c>
      <c r="F3579" s="156" t="str">
        <f>'Reported burning'!F3579</f>
        <v>Shrubland (Mixed forest &amp; grassland)</v>
      </c>
      <c r="G3579" s="156" t="str">
        <f>'Reported burning'!G3579</f>
        <v>Shrubland (Mixed forest &amp; grassland)</v>
      </c>
      <c r="H3579" s="156" t="str">
        <f>'Reported burning'!H3579</f>
        <v>Presence</v>
      </c>
      <c r="I3579" s="5"/>
      <c r="J3579" s="75" t="s">
        <v>2276</v>
      </c>
      <c r="K3579" s="75" t="s">
        <v>2276</v>
      </c>
      <c r="L3579" s="75" t="s">
        <v>2276</v>
      </c>
      <c r="M3579" s="75" t="s">
        <v>2276</v>
      </c>
      <c r="N3579" s="75" t="s">
        <v>2276</v>
      </c>
      <c r="O3579" s="75" t="s">
        <v>2276</v>
      </c>
      <c r="P3579" s="75" t="s">
        <v>2276</v>
      </c>
      <c r="Q3579" s="75" t="s">
        <v>2276</v>
      </c>
      <c r="R3579" s="75" t="s">
        <v>2276</v>
      </c>
      <c r="S3579" s="75" t="s">
        <v>2276</v>
      </c>
      <c r="T3579" s="75" t="s">
        <v>2276</v>
      </c>
      <c r="U3579" s="75" t="s">
        <v>2276</v>
      </c>
      <c r="V3579" s="75" t="s">
        <v>2276</v>
      </c>
      <c r="W3579" s="75" t="s">
        <v>2276</v>
      </c>
      <c r="X3579" s="75" t="s">
        <v>2276</v>
      </c>
      <c r="Y3579" s="75" t="s">
        <v>2276</v>
      </c>
      <c r="Z3579" s="75" t="s">
        <v>2276</v>
      </c>
      <c r="AA3579" s="204"/>
      <c r="AB3579" s="204"/>
    </row>
    <row r="3580" spans="1:28" ht="52.5" customHeight="1">
      <c r="A3580" s="156" t="str">
        <f>'Reported burning'!A3580</f>
        <v>391a</v>
      </c>
      <c r="B3580" s="156" t="str">
        <f>'Reported burning'!B3580</f>
        <v>391a.10</v>
      </c>
      <c r="C3580" s="156" t="str">
        <f>'Reported burning'!C3580</f>
        <v>Human, deliberate</v>
      </c>
      <c r="D3580" s="156" t="str">
        <f>'Reported burning'!D3580</f>
        <v>Charcoal production</v>
      </c>
      <c r="E3580" s="156" t="str">
        <f>'Reported burning'!E3580</f>
        <v>Forestry, Small-scale</v>
      </c>
      <c r="F3580" s="156" t="str">
        <f>'Reported burning'!F3580</f>
        <v>Shrubland (Mixed forest &amp; grassland)</v>
      </c>
      <c r="G3580" s="156" t="str">
        <f>'Reported burning'!G3580</f>
        <v>Shrubland (Mixed forest &amp; grassland)</v>
      </c>
      <c r="H3580" s="156" t="str">
        <f>'Reported burning'!H3580</f>
        <v>Presence</v>
      </c>
      <c r="I3580" s="5"/>
      <c r="J3580" s="75" t="s">
        <v>2276</v>
      </c>
      <c r="K3580" s="75" t="s">
        <v>2276</v>
      </c>
      <c r="L3580" s="75" t="s">
        <v>2276</v>
      </c>
      <c r="M3580" s="75" t="s">
        <v>2276</v>
      </c>
      <c r="N3580" s="75" t="s">
        <v>2276</v>
      </c>
      <c r="O3580" s="75" t="s">
        <v>2276</v>
      </c>
      <c r="P3580" s="75" t="s">
        <v>2276</v>
      </c>
      <c r="Q3580" s="75" t="s">
        <v>2276</v>
      </c>
      <c r="R3580" s="75" t="s">
        <v>2276</v>
      </c>
      <c r="S3580" s="75" t="s">
        <v>2276</v>
      </c>
      <c r="T3580" s="75" t="s">
        <v>2276</v>
      </c>
      <c r="U3580" s="75" t="s">
        <v>2276</v>
      </c>
      <c r="V3580" s="75" t="s">
        <v>2276</v>
      </c>
      <c r="W3580" s="75" t="s">
        <v>2276</v>
      </c>
      <c r="X3580" s="75" t="s">
        <v>2276</v>
      </c>
      <c r="Y3580" s="75" t="s">
        <v>2276</v>
      </c>
      <c r="Z3580" s="75" t="s">
        <v>2276</v>
      </c>
      <c r="AA3580" s="204"/>
      <c r="AB3580" s="204"/>
    </row>
    <row r="3581" spans="1:28" ht="54.5" customHeight="1">
      <c r="A3581" s="156" t="str">
        <f>'Reported burning'!A3581</f>
        <v>392a</v>
      </c>
      <c r="B3581" s="156" t="str">
        <f>'Reported burning'!B3581</f>
        <v>392a.1</v>
      </c>
      <c r="C3581" s="156" t="str">
        <f>'Reported burning'!C3581</f>
        <v>Human, deliberate</v>
      </c>
      <c r="D3581" s="156" t="str">
        <f>'Reported burning'!D3581</f>
        <v>Forest clearance</v>
      </c>
      <c r="E3581" s="156" t="str">
        <f>'Reported burning'!E3581</f>
        <v>Cropping, Intensive</v>
      </c>
      <c r="F3581" s="156" t="str">
        <f>'Reported burning'!F3581</f>
        <v>Forest</v>
      </c>
      <c r="G3581" s="156" t="str">
        <f>'Reported burning'!G3581</f>
        <v>Forest</v>
      </c>
      <c r="H3581" s="156" t="str">
        <f>'Reported burning'!H3581</f>
        <v>Presence</v>
      </c>
      <c r="I3581" s="5"/>
      <c r="J3581" s="75" t="s">
        <v>2276</v>
      </c>
      <c r="K3581" s="75" t="s">
        <v>2276</v>
      </c>
      <c r="L3581" s="75" t="s">
        <v>2276</v>
      </c>
      <c r="M3581" s="75" t="s">
        <v>2276</v>
      </c>
      <c r="N3581" s="75" t="s">
        <v>2276</v>
      </c>
      <c r="O3581" s="75" t="s">
        <v>2276</v>
      </c>
      <c r="P3581" s="75" t="s">
        <v>2276</v>
      </c>
      <c r="Q3581" s="75" t="s">
        <v>2276</v>
      </c>
      <c r="R3581" s="75" t="s">
        <v>2276</v>
      </c>
      <c r="S3581" s="75" t="s">
        <v>2276</v>
      </c>
      <c r="T3581" s="75" t="s">
        <v>2276</v>
      </c>
      <c r="U3581" s="75" t="s">
        <v>2276</v>
      </c>
      <c r="V3581" s="75" t="s">
        <v>2276</v>
      </c>
      <c r="W3581" s="75" t="s">
        <v>2276</v>
      </c>
      <c r="X3581" s="75" t="s">
        <v>2276</v>
      </c>
      <c r="Y3581" s="75" t="s">
        <v>2276</v>
      </c>
      <c r="Z3581" s="75" t="s">
        <v>2276</v>
      </c>
      <c r="AA3581" s="204"/>
      <c r="AB3581" s="204"/>
    </row>
    <row r="3582" spans="1:28" ht="54.5" customHeight="1">
      <c r="A3582" s="156" t="str">
        <f>'Reported burning'!A3582</f>
        <v>392a</v>
      </c>
      <c r="B3582" s="156" t="str">
        <f>'Reported burning'!B3582</f>
        <v>392a.2</v>
      </c>
      <c r="C3582" s="156" t="str">
        <f>'Reported burning'!C3582</f>
        <v>Human, deliberate</v>
      </c>
      <c r="D3582" s="156" t="str">
        <f>'Reported burning'!D3582</f>
        <v>Forest clearance</v>
      </c>
      <c r="E3582" s="156" t="str">
        <f>'Reported burning'!E3582</f>
        <v>Forestry, Industrial</v>
      </c>
      <c r="F3582" s="156" t="str">
        <f>'Reported burning'!F3582</f>
        <v>Forest</v>
      </c>
      <c r="G3582" s="156" t="str">
        <f>'Reported burning'!G3582</f>
        <v>Forest</v>
      </c>
      <c r="H3582" s="156" t="str">
        <f>'Reported burning'!H3582</f>
        <v>Presence</v>
      </c>
      <c r="I3582" s="5"/>
      <c r="J3582" s="75" t="s">
        <v>2276</v>
      </c>
      <c r="K3582" s="75" t="s">
        <v>2276</v>
      </c>
      <c r="L3582" s="75" t="s">
        <v>2276</v>
      </c>
      <c r="M3582" s="75" t="s">
        <v>2276</v>
      </c>
      <c r="N3582" s="75" t="s">
        <v>2276</v>
      </c>
      <c r="O3582" s="75" t="s">
        <v>2276</v>
      </c>
      <c r="P3582" s="75" t="s">
        <v>2276</v>
      </c>
      <c r="Q3582" s="75" t="s">
        <v>2276</v>
      </c>
      <c r="R3582" s="75" t="s">
        <v>2276</v>
      </c>
      <c r="S3582" s="75" t="s">
        <v>2276</v>
      </c>
      <c r="T3582" s="75" t="s">
        <v>2276</v>
      </c>
      <c r="U3582" s="75" t="s">
        <v>2276</v>
      </c>
      <c r="V3582" s="75" t="s">
        <v>2276</v>
      </c>
      <c r="W3582" s="75" t="s">
        <v>2276</v>
      </c>
      <c r="X3582" s="75" t="s">
        <v>2276</v>
      </c>
      <c r="Y3582" s="75" t="s">
        <v>2276</v>
      </c>
      <c r="Z3582" s="75" t="s">
        <v>2276</v>
      </c>
      <c r="AA3582" s="204"/>
      <c r="AB3582" s="204"/>
    </row>
    <row r="3583" spans="1:28" ht="54.5" customHeight="1">
      <c r="A3583" s="156" t="str">
        <f>'Reported burning'!A3583</f>
        <v>392a</v>
      </c>
      <c r="B3583" s="156" t="str">
        <f>'Reported burning'!B3583</f>
        <v>392a.3</v>
      </c>
      <c r="C3583" s="156" t="str">
        <f>'Reported burning'!C3583</f>
        <v>Human, deliberate</v>
      </c>
      <c r="D3583" s="156" t="str">
        <f>'Reported burning'!D3583</f>
        <v>ND</v>
      </c>
      <c r="E3583" s="156" t="str">
        <f>'Reported burning'!E3583</f>
        <v>Mixed cropping-livestock small holder, Subsistence-oriented</v>
      </c>
      <c r="F3583" s="156" t="str">
        <f>'Reported burning'!F3583</f>
        <v>ND</v>
      </c>
      <c r="G3583" s="156" t="str">
        <f>'Reported burning'!G3583</f>
        <v>Grassland</v>
      </c>
      <c r="H3583" s="156" t="str">
        <f>'Reported burning'!H3583</f>
        <v>Presence</v>
      </c>
      <c r="I3583" s="5"/>
      <c r="J3583" s="75" t="s">
        <v>2276</v>
      </c>
      <c r="K3583" s="75" t="s">
        <v>2276</v>
      </c>
      <c r="L3583" s="75" t="s">
        <v>2276</v>
      </c>
      <c r="M3583" s="75" t="s">
        <v>2276</v>
      </c>
      <c r="N3583" s="75" t="s">
        <v>2276</v>
      </c>
      <c r="O3583" s="75" t="s">
        <v>2276</v>
      </c>
      <c r="P3583" s="75" t="s">
        <v>2276</v>
      </c>
      <c r="Q3583" s="75" t="s">
        <v>2276</v>
      </c>
      <c r="R3583" s="75" t="s">
        <v>2276</v>
      </c>
      <c r="S3583" s="75" t="s">
        <v>2276</v>
      </c>
      <c r="T3583" s="75" t="s">
        <v>2276</v>
      </c>
      <c r="U3583" s="75" t="s">
        <v>2276</v>
      </c>
      <c r="V3583" s="75" t="s">
        <v>2276</v>
      </c>
      <c r="W3583" s="75" t="s">
        <v>2276</v>
      </c>
      <c r="X3583" s="75" t="s">
        <v>2276</v>
      </c>
      <c r="Y3583" s="75" t="s">
        <v>2276</v>
      </c>
      <c r="Z3583" s="75" t="s">
        <v>2276</v>
      </c>
      <c r="AA3583" s="204"/>
      <c r="AB3583" s="204"/>
    </row>
    <row r="3584" spans="1:28" ht="54.5" customHeight="1">
      <c r="A3584" s="156" t="str">
        <f>'Reported burning'!A3584</f>
        <v>392a</v>
      </c>
      <c r="B3584" s="156" t="str">
        <f>'Reported burning'!B3584</f>
        <v>392a.4</v>
      </c>
      <c r="C3584" s="156" t="str">
        <f>'Reported burning'!C3584</f>
        <v>Human, deliberate</v>
      </c>
      <c r="D3584" s="156" t="str">
        <f>'Reported burning'!D3584</f>
        <v>ND</v>
      </c>
      <c r="E3584" s="156" t="str">
        <f>'Reported burning'!E3584</f>
        <v>Cropping, Swidden</v>
      </c>
      <c r="F3584" s="156" t="str">
        <f>'Reported burning'!F3584</f>
        <v>ND</v>
      </c>
      <c r="G3584" s="156" t="str">
        <f>'Reported burning'!G3584</f>
        <v>Shrubland (Mixed forest &amp; grassland)</v>
      </c>
      <c r="H3584" s="156" t="str">
        <f>'Reported burning'!H3584</f>
        <v>Presence</v>
      </c>
      <c r="I3584" s="5"/>
      <c r="J3584" s="75" t="s">
        <v>2276</v>
      </c>
      <c r="K3584" s="75" t="s">
        <v>2276</v>
      </c>
      <c r="L3584" s="75" t="s">
        <v>2276</v>
      </c>
      <c r="M3584" s="75" t="s">
        <v>2276</v>
      </c>
      <c r="N3584" s="75" t="s">
        <v>2276</v>
      </c>
      <c r="O3584" s="75" t="s">
        <v>2276</v>
      </c>
      <c r="P3584" s="75" t="s">
        <v>2276</v>
      </c>
      <c r="Q3584" s="75" t="s">
        <v>2276</v>
      </c>
      <c r="R3584" s="75" t="s">
        <v>2276</v>
      </c>
      <c r="S3584" s="75" t="s">
        <v>2276</v>
      </c>
      <c r="T3584" s="75" t="s">
        <v>2276</v>
      </c>
      <c r="U3584" s="75" t="s">
        <v>2276</v>
      </c>
      <c r="V3584" s="75" t="s">
        <v>2276</v>
      </c>
      <c r="W3584" s="75" t="s">
        <v>2276</v>
      </c>
      <c r="X3584" s="75" t="s">
        <v>2276</v>
      </c>
      <c r="Y3584" s="75" t="s">
        <v>2276</v>
      </c>
      <c r="Z3584" s="75" t="s">
        <v>2276</v>
      </c>
      <c r="AA3584" s="204"/>
      <c r="AB3584" s="204"/>
    </row>
    <row r="3585" spans="1:28" s="203" customFormat="1" ht="54.5" customHeight="1">
      <c r="A3585" s="156" t="str">
        <f>'Reported burning'!A3585</f>
        <v>392a</v>
      </c>
      <c r="B3585" s="156" t="str">
        <f>'Reported burning'!B3585</f>
        <v>392a.5</v>
      </c>
      <c r="C3585" s="156" t="str">
        <f>'Reported burning'!C3585</f>
        <v>All</v>
      </c>
      <c r="D3585" s="156" t="str">
        <f>'Reported burning'!D3585</f>
        <v>ND</v>
      </c>
      <c r="E3585" s="156" t="str">
        <f>'Reported burning'!E3585</f>
        <v>ND</v>
      </c>
      <c r="F3585" s="156" t="str">
        <f>'Reported burning'!F3585</f>
        <v>ND</v>
      </c>
      <c r="G3585" s="156" t="str">
        <f>'Reported burning'!G3585</f>
        <v>Shrubland (Mixed forest &amp; grassland)</v>
      </c>
      <c r="H3585" s="156" t="str">
        <f>'Reported burning'!H3585</f>
        <v>Presence</v>
      </c>
      <c r="I3585" s="5"/>
      <c r="J3585" s="75" t="s">
        <v>2276</v>
      </c>
      <c r="K3585" s="75" t="s">
        <v>2276</v>
      </c>
      <c r="L3585" s="75" t="s">
        <v>2276</v>
      </c>
      <c r="M3585" s="75" t="s">
        <v>2276</v>
      </c>
      <c r="N3585" s="75" t="s">
        <v>2276</v>
      </c>
      <c r="O3585" s="75" t="s">
        <v>2276</v>
      </c>
      <c r="P3585" s="75" t="s">
        <v>2276</v>
      </c>
      <c r="Q3585" s="75" t="s">
        <v>2276</v>
      </c>
      <c r="R3585" s="75" t="s">
        <v>2276</v>
      </c>
      <c r="S3585" s="75" t="s">
        <v>2276</v>
      </c>
      <c r="T3585" s="75" t="s">
        <v>2276</v>
      </c>
      <c r="U3585" s="75" t="s">
        <v>2276</v>
      </c>
      <c r="V3585" s="75" t="s">
        <v>2276</v>
      </c>
      <c r="W3585" s="75" t="s">
        <v>2276</v>
      </c>
      <c r="X3585" s="75" t="s">
        <v>2276</v>
      </c>
      <c r="Y3585" s="75" t="s">
        <v>2276</v>
      </c>
      <c r="Z3585" s="75" t="s">
        <v>2276</v>
      </c>
      <c r="AA3585" s="204"/>
      <c r="AB3585" s="204"/>
    </row>
    <row r="3586" spans="1:28" ht="54.5" customHeight="1">
      <c r="A3586" s="156" t="str">
        <f>'Reported burning'!A3586</f>
        <v>392a</v>
      </c>
      <c r="B3586" s="156" t="str">
        <f>'Reported burning'!B3586</f>
        <v>392a.6</v>
      </c>
      <c r="C3586" s="156" t="str">
        <f>'Reported burning'!C3586</f>
        <v>All</v>
      </c>
      <c r="D3586" s="156" t="str">
        <f>'Reported burning'!D3586</f>
        <v>Arson</v>
      </c>
      <c r="E3586" s="156" t="str">
        <f>'Reported burning'!E3586</f>
        <v>Cropping, Swidden</v>
      </c>
      <c r="F3586" s="156" t="str">
        <f>'Reported burning'!F3586</f>
        <v>ND</v>
      </c>
      <c r="G3586" s="156" t="str">
        <f>'Reported burning'!G3586</f>
        <v>Cropland</v>
      </c>
      <c r="H3586" s="156" t="str">
        <f>'Reported burning'!H3586</f>
        <v>Presence</v>
      </c>
      <c r="I3586" s="5"/>
      <c r="J3586" s="75" t="s">
        <v>2276</v>
      </c>
      <c r="K3586" s="75" t="s">
        <v>2276</v>
      </c>
      <c r="L3586" s="75" t="s">
        <v>2276</v>
      </c>
      <c r="M3586" s="75" t="s">
        <v>2276</v>
      </c>
      <c r="N3586" s="75" t="s">
        <v>2276</v>
      </c>
      <c r="O3586" s="75" t="s">
        <v>2276</v>
      </c>
      <c r="P3586" s="75" t="s">
        <v>2276</v>
      </c>
      <c r="Q3586" s="75" t="s">
        <v>2276</v>
      </c>
      <c r="R3586" s="75" t="s">
        <v>2276</v>
      </c>
      <c r="S3586" s="75" t="s">
        <v>2276</v>
      </c>
      <c r="T3586" s="75" t="s">
        <v>2276</v>
      </c>
      <c r="U3586" s="75" t="s">
        <v>2276</v>
      </c>
      <c r="V3586" s="75" t="s">
        <v>2276</v>
      </c>
      <c r="W3586" s="75" t="s">
        <v>2276</v>
      </c>
      <c r="X3586" s="75" t="s">
        <v>2276</v>
      </c>
      <c r="Y3586" s="75" t="s">
        <v>2276</v>
      </c>
      <c r="Z3586" s="75" t="s">
        <v>2276</v>
      </c>
      <c r="AA3586" s="204"/>
      <c r="AB3586" s="204"/>
    </row>
    <row r="3587" spans="1:28" ht="54.5" customHeight="1">
      <c r="A3587" s="156" t="str">
        <f>'Reported burning'!A3587</f>
        <v>392a</v>
      </c>
      <c r="B3587" s="156" t="str">
        <f>'Reported burning'!B3587</f>
        <v>392a.7</v>
      </c>
      <c r="C3587" s="156" t="str">
        <f>'Reported burning'!C3587</f>
        <v>All</v>
      </c>
      <c r="D3587" s="156" t="str">
        <f>'Reported burning'!D3587</f>
        <v>Arson</v>
      </c>
      <c r="E3587" s="156" t="str">
        <f>'Reported burning'!E3587</f>
        <v>Cropping, Swidden</v>
      </c>
      <c r="F3587" s="156" t="str">
        <f>'Reported burning'!F3587</f>
        <v>ND</v>
      </c>
      <c r="G3587" s="156" t="str">
        <f>'Reported burning'!G3587</f>
        <v>Plantation forest</v>
      </c>
      <c r="H3587" s="156" t="str">
        <f>'Reported burning'!H3587</f>
        <v>Presence</v>
      </c>
      <c r="I3587" s="5"/>
      <c r="J3587" s="75" t="s">
        <v>2276</v>
      </c>
      <c r="K3587" s="75" t="s">
        <v>2276</v>
      </c>
      <c r="L3587" s="75" t="s">
        <v>2276</v>
      </c>
      <c r="M3587" s="75" t="s">
        <v>2276</v>
      </c>
      <c r="N3587" s="75" t="s">
        <v>2276</v>
      </c>
      <c r="O3587" s="75" t="s">
        <v>2276</v>
      </c>
      <c r="P3587" s="75" t="s">
        <v>2276</v>
      </c>
      <c r="Q3587" s="75" t="s">
        <v>2276</v>
      </c>
      <c r="R3587" s="75" t="s">
        <v>2276</v>
      </c>
      <c r="S3587" s="75" t="s">
        <v>2276</v>
      </c>
      <c r="T3587" s="75" t="s">
        <v>2276</v>
      </c>
      <c r="U3587" s="75" t="s">
        <v>2276</v>
      </c>
      <c r="V3587" s="75" t="s">
        <v>2276</v>
      </c>
      <c r="W3587" s="75" t="s">
        <v>2276</v>
      </c>
      <c r="X3587" s="75" t="s">
        <v>2276</v>
      </c>
      <c r="Y3587" s="75" t="s">
        <v>2276</v>
      </c>
      <c r="Z3587" s="75" t="s">
        <v>2276</v>
      </c>
      <c r="AA3587" s="204"/>
      <c r="AB3587" s="204"/>
    </row>
    <row r="3588" spans="1:28" ht="54.5" customHeight="1">
      <c r="A3588" s="156" t="str">
        <f>'Reported burning'!A3588</f>
        <v>392a</v>
      </c>
      <c r="B3588" s="156" t="str">
        <f>'Reported burning'!B3588</f>
        <v>392a.8</v>
      </c>
      <c r="C3588" s="156" t="str">
        <f>'Reported burning'!C3588</f>
        <v>All</v>
      </c>
      <c r="D3588" s="156" t="str">
        <f>'Reported burning'!D3588</f>
        <v>Arson</v>
      </c>
      <c r="E3588" s="156" t="str">
        <f>'Reported burning'!E3588</f>
        <v>Cropping, Intensive</v>
      </c>
      <c r="F3588" s="156" t="str">
        <f>'Reported burning'!F3588</f>
        <v>ND</v>
      </c>
      <c r="G3588" s="156" t="str">
        <f>'Reported burning'!G3588</f>
        <v>Shrubland (Mixed forest &amp; grassland)</v>
      </c>
      <c r="H3588" s="156" t="str">
        <f>'Reported burning'!H3588</f>
        <v>Presence</v>
      </c>
      <c r="I3588" s="5"/>
      <c r="J3588" s="75" t="s">
        <v>2276</v>
      </c>
      <c r="K3588" s="75" t="s">
        <v>2276</v>
      </c>
      <c r="L3588" s="75" t="s">
        <v>2276</v>
      </c>
      <c r="M3588" s="75" t="s">
        <v>2276</v>
      </c>
      <c r="N3588" s="75" t="s">
        <v>2276</v>
      </c>
      <c r="O3588" s="75" t="s">
        <v>2276</v>
      </c>
      <c r="P3588" s="75" t="s">
        <v>2276</v>
      </c>
      <c r="Q3588" s="75" t="s">
        <v>2276</v>
      </c>
      <c r="R3588" s="75" t="s">
        <v>2276</v>
      </c>
      <c r="S3588" s="75" t="s">
        <v>2276</v>
      </c>
      <c r="T3588" s="75" t="s">
        <v>2276</v>
      </c>
      <c r="U3588" s="75" t="s">
        <v>2276</v>
      </c>
      <c r="V3588" s="75" t="s">
        <v>2276</v>
      </c>
      <c r="W3588" s="75" t="s">
        <v>2276</v>
      </c>
      <c r="X3588" s="75" t="s">
        <v>2276</v>
      </c>
      <c r="Y3588" s="75" t="s">
        <v>2276</v>
      </c>
      <c r="Z3588" s="75" t="s">
        <v>2276</v>
      </c>
      <c r="AA3588" s="204"/>
      <c r="AB3588" s="204"/>
    </row>
    <row r="3589" spans="1:28" ht="54.5" customHeight="1">
      <c r="A3589" s="156" t="str">
        <f>'Reported burning'!A3589</f>
        <v>392b</v>
      </c>
      <c r="B3589" s="156" t="str">
        <f>'Reported burning'!B3589</f>
        <v>392b.1</v>
      </c>
      <c r="C3589" s="156" t="str">
        <f>'Reported burning'!C3589</f>
        <v>All</v>
      </c>
      <c r="D3589" s="156" t="str">
        <f>'Reported burning'!D3589</f>
        <v>ND</v>
      </c>
      <c r="E3589" s="156" t="str">
        <f>'Reported burning'!E3589</f>
        <v>ND</v>
      </c>
      <c r="F3589" s="156" t="str">
        <f>'Reported burning'!F3589</f>
        <v>ND</v>
      </c>
      <c r="G3589" s="156" t="str">
        <f>'Reported burning'!G3589</f>
        <v>ND</v>
      </c>
      <c r="H3589" s="156" t="str">
        <f>'Reported burning'!H3589</f>
        <v>Presence</v>
      </c>
      <c r="I3589" s="5"/>
      <c r="J3589" s="75" t="s">
        <v>2276</v>
      </c>
      <c r="K3589" s="75" t="s">
        <v>2276</v>
      </c>
      <c r="L3589" s="75" t="s">
        <v>2276</v>
      </c>
      <c r="M3589" s="75" t="s">
        <v>2276</v>
      </c>
      <c r="N3589" s="75" t="s">
        <v>2276</v>
      </c>
      <c r="O3589" s="75" t="s">
        <v>2276</v>
      </c>
      <c r="P3589" s="75" t="s">
        <v>2276</v>
      </c>
      <c r="Q3589" s="75" t="s">
        <v>2276</v>
      </c>
      <c r="R3589" s="75" t="s">
        <v>2276</v>
      </c>
      <c r="S3589" s="75" t="s">
        <v>2276</v>
      </c>
      <c r="T3589" s="75" t="s">
        <v>2276</v>
      </c>
      <c r="U3589" s="75" t="s">
        <v>2276</v>
      </c>
      <c r="V3589" s="75" t="s">
        <v>2276</v>
      </c>
      <c r="W3589" s="75" t="s">
        <v>2276</v>
      </c>
      <c r="X3589" s="75" t="s">
        <v>2276</v>
      </c>
      <c r="Y3589" s="75" t="s">
        <v>2276</v>
      </c>
      <c r="Z3589" s="75" t="s">
        <v>2276</v>
      </c>
      <c r="AA3589" s="204"/>
      <c r="AB3589" s="204"/>
    </row>
    <row r="3590" spans="1:28" ht="45" customHeight="1">
      <c r="A3590" s="156" t="str">
        <f>'Reported burning'!A3590</f>
        <v>393a</v>
      </c>
      <c r="B3590" s="156" t="str">
        <f>'Reported burning'!B3590</f>
        <v>393a.1</v>
      </c>
      <c r="C3590" s="156" t="str">
        <f>'Reported burning'!C3590</f>
        <v>Human, deliberate</v>
      </c>
      <c r="D3590" s="156" t="str">
        <f>'Reported burning'!D3590</f>
        <v>Crop field preparation</v>
      </c>
      <c r="E3590" s="156" t="str">
        <f>'Reported burning'!E3590</f>
        <v>Cropping, Swidden</v>
      </c>
      <c r="F3590" s="156" t="str">
        <f>'Reported burning'!F3590</f>
        <v>Secondary vegetation</v>
      </c>
      <c r="G3590" s="156" t="str">
        <f>'Reported burning'!G3590</f>
        <v>Secondary vegetation</v>
      </c>
      <c r="H3590" s="156" t="str">
        <f>'Reported burning'!H3590</f>
        <v>Presence</v>
      </c>
      <c r="I3590" s="5"/>
      <c r="J3590" s="75" t="s">
        <v>2276</v>
      </c>
      <c r="K3590" s="75" t="s">
        <v>2276</v>
      </c>
      <c r="L3590" s="75" t="s">
        <v>2276</v>
      </c>
      <c r="M3590" s="75" t="s">
        <v>2276</v>
      </c>
      <c r="N3590" s="75" t="s">
        <v>2276</v>
      </c>
      <c r="O3590" s="75" t="s">
        <v>2276</v>
      </c>
      <c r="P3590" s="75" t="s">
        <v>2276</v>
      </c>
      <c r="Q3590" s="75" t="s">
        <v>2276</v>
      </c>
      <c r="R3590" s="75" t="s">
        <v>2276</v>
      </c>
      <c r="S3590" s="75" t="s">
        <v>2276</v>
      </c>
      <c r="T3590" s="75" t="s">
        <v>2276</v>
      </c>
      <c r="U3590" s="75" t="s">
        <v>2276</v>
      </c>
      <c r="V3590" s="75" t="s">
        <v>2276</v>
      </c>
      <c r="W3590" s="75" t="s">
        <v>2276</v>
      </c>
      <c r="X3590" s="75" t="s">
        <v>2276</v>
      </c>
      <c r="Y3590" s="75" t="s">
        <v>2276</v>
      </c>
      <c r="Z3590" s="75" t="s">
        <v>2276</v>
      </c>
      <c r="AA3590" s="204"/>
      <c r="AB3590" s="204"/>
    </row>
    <row r="3591" spans="1:28" ht="45" customHeight="1">
      <c r="A3591" s="156" t="str">
        <f>'Reported burning'!A3591</f>
        <v>393b</v>
      </c>
      <c r="B3591" s="156" t="str">
        <f>'Reported burning'!B3591</f>
        <v>393b.1</v>
      </c>
      <c r="C3591" s="156" t="str">
        <f>'Reported burning'!C3591</f>
        <v>Human, deliberate</v>
      </c>
      <c r="D3591" s="156" t="str">
        <f>'Reported burning'!D3591</f>
        <v>Crop field preparation</v>
      </c>
      <c r="E3591" s="156" t="str">
        <f>'Reported burning'!E3591</f>
        <v>Cropping, Swidden</v>
      </c>
      <c r="F3591" s="156" t="str">
        <f>'Reported burning'!F3591</f>
        <v>Secondary vegetation</v>
      </c>
      <c r="G3591" s="156" t="str">
        <f>'Reported burning'!G3591</f>
        <v>Secondary vegetation</v>
      </c>
      <c r="H3591" s="156" t="str">
        <f>'Reported burning'!H3591</f>
        <v>Presence</v>
      </c>
      <c r="I3591" s="5"/>
      <c r="J3591" s="75" t="s">
        <v>2276</v>
      </c>
      <c r="K3591" s="75" t="s">
        <v>2276</v>
      </c>
      <c r="L3591" s="75" t="s">
        <v>2276</v>
      </c>
      <c r="M3591" s="75" t="s">
        <v>2276</v>
      </c>
      <c r="N3591" s="75" t="s">
        <v>2276</v>
      </c>
      <c r="O3591" s="75" t="s">
        <v>2276</v>
      </c>
      <c r="P3591" s="75" t="s">
        <v>2276</v>
      </c>
      <c r="Q3591" s="75" t="s">
        <v>2276</v>
      </c>
      <c r="R3591" s="75" t="s">
        <v>2276</v>
      </c>
      <c r="S3591" s="75" t="s">
        <v>2276</v>
      </c>
      <c r="T3591" s="75" t="s">
        <v>2276</v>
      </c>
      <c r="U3591" s="75" t="s">
        <v>2276</v>
      </c>
      <c r="V3591" s="75" t="s">
        <v>2276</v>
      </c>
      <c r="W3591" s="75" t="s">
        <v>2276</v>
      </c>
      <c r="X3591" s="75" t="s">
        <v>2276</v>
      </c>
      <c r="Y3591" s="75" t="s">
        <v>2276</v>
      </c>
      <c r="Z3591" s="75" t="s">
        <v>2276</v>
      </c>
      <c r="AA3591" s="204"/>
      <c r="AB3591" s="204"/>
    </row>
    <row r="3592" spans="1:28" ht="45" customHeight="1">
      <c r="A3592" s="156" t="str">
        <f>'Reported burning'!A3592</f>
        <v>393c</v>
      </c>
      <c r="B3592" s="156" t="str">
        <f>'Reported burning'!B3592</f>
        <v>393c.1</v>
      </c>
      <c r="C3592" s="156" t="str">
        <f>'Reported burning'!C3592</f>
        <v>Human, deliberate</v>
      </c>
      <c r="D3592" s="156" t="str">
        <f>'Reported burning'!D3592</f>
        <v>Crop field preparation</v>
      </c>
      <c r="E3592" s="156" t="str">
        <f>'Reported burning'!E3592</f>
        <v>Cropping, Swidden</v>
      </c>
      <c r="F3592" s="156" t="str">
        <f>'Reported burning'!F3592</f>
        <v>Secondary vegetation</v>
      </c>
      <c r="G3592" s="156" t="str">
        <f>'Reported burning'!G3592</f>
        <v>Secondary vegetation</v>
      </c>
      <c r="H3592" s="156" t="str">
        <f>'Reported burning'!H3592</f>
        <v>Presence</v>
      </c>
      <c r="I3592" s="5"/>
      <c r="J3592" s="75" t="s">
        <v>2276</v>
      </c>
      <c r="K3592" s="75" t="s">
        <v>2276</v>
      </c>
      <c r="L3592" s="75" t="s">
        <v>2276</v>
      </c>
      <c r="M3592" s="75" t="s">
        <v>2276</v>
      </c>
      <c r="N3592" s="75" t="s">
        <v>2276</v>
      </c>
      <c r="O3592" s="75" t="s">
        <v>2276</v>
      </c>
      <c r="P3592" s="75" t="s">
        <v>2276</v>
      </c>
      <c r="Q3592" s="75" t="s">
        <v>2276</v>
      </c>
      <c r="R3592" s="75" t="s">
        <v>2276</v>
      </c>
      <c r="S3592" s="75" t="s">
        <v>2276</v>
      </c>
      <c r="T3592" s="75" t="s">
        <v>2276</v>
      </c>
      <c r="U3592" s="75" t="s">
        <v>2276</v>
      </c>
      <c r="V3592" s="75" t="s">
        <v>2276</v>
      </c>
      <c r="W3592" s="75" t="s">
        <v>2276</v>
      </c>
      <c r="X3592" s="75" t="s">
        <v>2276</v>
      </c>
      <c r="Y3592" s="75" t="s">
        <v>2276</v>
      </c>
      <c r="Z3592" s="75" t="s">
        <v>2276</v>
      </c>
      <c r="AA3592" s="204"/>
      <c r="AB3592" s="204"/>
    </row>
    <row r="3593" spans="1:28" ht="45" customHeight="1">
      <c r="A3593" s="156" t="str">
        <f>'Reported burning'!A3593</f>
        <v>393d</v>
      </c>
      <c r="B3593" s="156" t="str">
        <f>'Reported burning'!B3593</f>
        <v>393d.1</v>
      </c>
      <c r="C3593" s="156" t="str">
        <f>'Reported burning'!C3593</f>
        <v>Human, deliberate</v>
      </c>
      <c r="D3593" s="156" t="str">
        <f>'Reported burning'!D3593</f>
        <v>Crop field preparation</v>
      </c>
      <c r="E3593" s="156" t="str">
        <f>'Reported burning'!E3593</f>
        <v>Cropping, Swidden</v>
      </c>
      <c r="F3593" s="156" t="str">
        <f>'Reported burning'!F3593</f>
        <v>Secondary vegetation</v>
      </c>
      <c r="G3593" s="156" t="str">
        <f>'Reported burning'!G3593</f>
        <v>Secondary vegetation</v>
      </c>
      <c r="H3593" s="156" t="str">
        <f>'Reported burning'!H3593</f>
        <v>Presence</v>
      </c>
      <c r="I3593" s="5"/>
      <c r="J3593" s="75" t="s">
        <v>2276</v>
      </c>
      <c r="K3593" s="75" t="s">
        <v>2276</v>
      </c>
      <c r="L3593" s="75" t="s">
        <v>2276</v>
      </c>
      <c r="M3593" s="75" t="s">
        <v>2276</v>
      </c>
      <c r="N3593" s="75" t="s">
        <v>2276</v>
      </c>
      <c r="O3593" s="75" t="s">
        <v>2276</v>
      </c>
      <c r="P3593" s="75" t="s">
        <v>2276</v>
      </c>
      <c r="Q3593" s="75" t="s">
        <v>2276</v>
      </c>
      <c r="R3593" s="75" t="s">
        <v>2276</v>
      </c>
      <c r="S3593" s="75" t="s">
        <v>2276</v>
      </c>
      <c r="T3593" s="75" t="s">
        <v>2276</v>
      </c>
      <c r="U3593" s="75" t="s">
        <v>2276</v>
      </c>
      <c r="V3593" s="75" t="s">
        <v>2276</v>
      </c>
      <c r="W3593" s="75" t="s">
        <v>2276</v>
      </c>
      <c r="X3593" s="75" t="s">
        <v>2276</v>
      </c>
      <c r="Y3593" s="75" t="s">
        <v>2276</v>
      </c>
      <c r="Z3593" s="75" t="s">
        <v>2276</v>
      </c>
      <c r="AA3593" s="204"/>
      <c r="AB3593" s="204"/>
    </row>
    <row r="3594" spans="1:28" ht="45" customHeight="1">
      <c r="A3594" s="156" t="str">
        <f>'Reported burning'!A3594</f>
        <v>393e</v>
      </c>
      <c r="B3594" s="156" t="str">
        <f>'Reported burning'!B3594</f>
        <v>393e.1</v>
      </c>
      <c r="C3594" s="156" t="str">
        <f>'Reported burning'!C3594</f>
        <v>Human, deliberate</v>
      </c>
      <c r="D3594" s="156" t="str">
        <f>'Reported burning'!D3594</f>
        <v>Crop field preparation</v>
      </c>
      <c r="E3594" s="156" t="str">
        <f>'Reported burning'!E3594</f>
        <v>Cropping, Swidden</v>
      </c>
      <c r="F3594" s="156" t="str">
        <f>'Reported burning'!F3594</f>
        <v>Secondary vegetation</v>
      </c>
      <c r="G3594" s="156" t="str">
        <f>'Reported burning'!G3594</f>
        <v>Secondary vegetation</v>
      </c>
      <c r="H3594" s="156" t="str">
        <f>'Reported burning'!H3594</f>
        <v>Presence</v>
      </c>
      <c r="I3594" s="5"/>
      <c r="J3594" s="75" t="s">
        <v>2276</v>
      </c>
      <c r="K3594" s="75" t="s">
        <v>2276</v>
      </c>
      <c r="L3594" s="75" t="s">
        <v>2276</v>
      </c>
      <c r="M3594" s="75" t="s">
        <v>2276</v>
      </c>
      <c r="N3594" s="75" t="s">
        <v>2276</v>
      </c>
      <c r="O3594" s="75" t="s">
        <v>2276</v>
      </c>
      <c r="P3594" s="75" t="s">
        <v>2276</v>
      </c>
      <c r="Q3594" s="75" t="s">
        <v>2276</v>
      </c>
      <c r="R3594" s="75" t="s">
        <v>2276</v>
      </c>
      <c r="S3594" s="75" t="s">
        <v>2276</v>
      </c>
      <c r="T3594" s="75" t="s">
        <v>2276</v>
      </c>
      <c r="U3594" s="75" t="s">
        <v>2276</v>
      </c>
      <c r="V3594" s="75" t="s">
        <v>2276</v>
      </c>
      <c r="W3594" s="75" t="s">
        <v>2276</v>
      </c>
      <c r="X3594" s="75" t="s">
        <v>2276</v>
      </c>
      <c r="Y3594" s="75" t="s">
        <v>2276</v>
      </c>
      <c r="Z3594" s="75" t="s">
        <v>2276</v>
      </c>
      <c r="AA3594" s="204"/>
      <c r="AB3594" s="204"/>
    </row>
    <row r="3595" spans="1:28" ht="45" customHeight="1">
      <c r="A3595" s="156" t="str">
        <f>'Reported burning'!A3595</f>
        <v>393a</v>
      </c>
      <c r="B3595" s="156" t="str">
        <f>'Reported burning'!B3595</f>
        <v>393a.2</v>
      </c>
      <c r="C3595" s="156" t="str">
        <f>'Reported burning'!C3595</f>
        <v>Human, deliberate</v>
      </c>
      <c r="D3595" s="156" t="str">
        <f>'Reported burning'!D3595</f>
        <v>All</v>
      </c>
      <c r="E3595" s="156" t="str">
        <f>'Reported burning'!E3595</f>
        <v>Agroforestry, Subsistence-oriented</v>
      </c>
      <c r="F3595" s="156" t="str">
        <f>'Reported burning'!F3595</f>
        <v>Plantation forest</v>
      </c>
      <c r="G3595" s="156" t="str">
        <f>'Reported burning'!G3595</f>
        <v>Plantation forest</v>
      </c>
      <c r="H3595" s="156" t="str">
        <f>'Reported burning'!H3595</f>
        <v>Absence</v>
      </c>
      <c r="I3595" s="5"/>
      <c r="J3595" s="21">
        <v>0</v>
      </c>
      <c r="K3595" s="21">
        <v>0</v>
      </c>
      <c r="L3595" s="21">
        <v>0</v>
      </c>
      <c r="M3595" s="21">
        <v>0</v>
      </c>
      <c r="N3595" s="21">
        <v>0</v>
      </c>
      <c r="O3595" s="21">
        <v>0</v>
      </c>
      <c r="P3595" s="21">
        <v>0</v>
      </c>
      <c r="Q3595" s="21">
        <v>0</v>
      </c>
      <c r="R3595" s="21">
        <v>0</v>
      </c>
      <c r="S3595" s="21">
        <v>0</v>
      </c>
      <c r="T3595" s="21">
        <v>0</v>
      </c>
      <c r="U3595" s="21">
        <v>0</v>
      </c>
      <c r="V3595" s="21">
        <v>0</v>
      </c>
      <c r="W3595" s="75" t="s">
        <v>2276</v>
      </c>
      <c r="X3595" s="75" t="s">
        <v>2276</v>
      </c>
      <c r="Y3595" s="75" t="s">
        <v>2276</v>
      </c>
      <c r="Z3595" s="75" t="s">
        <v>2276</v>
      </c>
      <c r="AA3595" s="204"/>
      <c r="AB3595" s="204"/>
    </row>
    <row r="3596" spans="1:28" ht="45" customHeight="1">
      <c r="A3596" s="156" t="str">
        <f>'Reported burning'!A3596</f>
        <v>393b</v>
      </c>
      <c r="B3596" s="156" t="str">
        <f>'Reported burning'!B3596</f>
        <v>393b.2</v>
      </c>
      <c r="C3596" s="156" t="str">
        <f>'Reported burning'!C3596</f>
        <v>Human, deliberate</v>
      </c>
      <c r="D3596" s="156" t="str">
        <f>'Reported burning'!D3596</f>
        <v>All</v>
      </c>
      <c r="E3596" s="156" t="str">
        <f>'Reported burning'!E3596</f>
        <v>Agroforestry, Subsistence-oriented</v>
      </c>
      <c r="F3596" s="156" t="str">
        <f>'Reported burning'!F3596</f>
        <v>Plantation forest</v>
      </c>
      <c r="G3596" s="156" t="str">
        <f>'Reported burning'!G3596</f>
        <v>Plantation forest</v>
      </c>
      <c r="H3596" s="156" t="str">
        <f>'Reported burning'!H3596</f>
        <v>Absence</v>
      </c>
      <c r="I3596" s="5"/>
      <c r="J3596" s="21">
        <v>0</v>
      </c>
      <c r="K3596" s="21">
        <v>0</v>
      </c>
      <c r="L3596" s="21">
        <v>0</v>
      </c>
      <c r="M3596" s="21">
        <v>0</v>
      </c>
      <c r="N3596" s="21">
        <v>0</v>
      </c>
      <c r="O3596" s="21">
        <v>0</v>
      </c>
      <c r="P3596" s="21">
        <v>0</v>
      </c>
      <c r="Q3596" s="21">
        <v>0</v>
      </c>
      <c r="R3596" s="21">
        <v>0</v>
      </c>
      <c r="S3596" s="21">
        <v>0</v>
      </c>
      <c r="T3596" s="21">
        <v>0</v>
      </c>
      <c r="U3596" s="21">
        <v>0</v>
      </c>
      <c r="V3596" s="21">
        <v>0</v>
      </c>
      <c r="W3596" s="75" t="s">
        <v>2276</v>
      </c>
      <c r="X3596" s="75" t="s">
        <v>2276</v>
      </c>
      <c r="Y3596" s="75" t="s">
        <v>2276</v>
      </c>
      <c r="Z3596" s="75" t="s">
        <v>2276</v>
      </c>
      <c r="AA3596" s="204"/>
      <c r="AB3596" s="204"/>
    </row>
    <row r="3597" spans="1:28" ht="45" customHeight="1">
      <c r="A3597" s="156" t="str">
        <f>'Reported burning'!A3597</f>
        <v>393c</v>
      </c>
      <c r="B3597" s="156" t="str">
        <f>'Reported burning'!B3597</f>
        <v>393c.2</v>
      </c>
      <c r="C3597" s="156" t="str">
        <f>'Reported burning'!C3597</f>
        <v>Human, deliberate</v>
      </c>
      <c r="D3597" s="156" t="str">
        <f>'Reported burning'!D3597</f>
        <v>All</v>
      </c>
      <c r="E3597" s="156" t="str">
        <f>'Reported burning'!E3597</f>
        <v>Agroforestry, Subsistence-oriented</v>
      </c>
      <c r="F3597" s="156" t="str">
        <f>'Reported burning'!F3597</f>
        <v>Plantation forest</v>
      </c>
      <c r="G3597" s="156" t="str">
        <f>'Reported burning'!G3597</f>
        <v>Plantation forest</v>
      </c>
      <c r="H3597" s="156" t="str">
        <f>'Reported burning'!H3597</f>
        <v>Absence</v>
      </c>
      <c r="I3597" s="5"/>
      <c r="J3597" s="21">
        <v>0</v>
      </c>
      <c r="K3597" s="21">
        <v>0</v>
      </c>
      <c r="L3597" s="21">
        <v>0</v>
      </c>
      <c r="M3597" s="21">
        <v>0</v>
      </c>
      <c r="N3597" s="21">
        <v>0</v>
      </c>
      <c r="O3597" s="21">
        <v>0</v>
      </c>
      <c r="P3597" s="21">
        <v>0</v>
      </c>
      <c r="Q3597" s="21">
        <v>0</v>
      </c>
      <c r="R3597" s="21">
        <v>0</v>
      </c>
      <c r="S3597" s="21">
        <v>0</v>
      </c>
      <c r="T3597" s="21">
        <v>0</v>
      </c>
      <c r="U3597" s="21">
        <v>0</v>
      </c>
      <c r="V3597" s="21">
        <v>0</v>
      </c>
      <c r="W3597" s="75" t="s">
        <v>2276</v>
      </c>
      <c r="X3597" s="75" t="s">
        <v>2276</v>
      </c>
      <c r="Y3597" s="75" t="s">
        <v>2276</v>
      </c>
      <c r="Z3597" s="75" t="s">
        <v>2276</v>
      </c>
      <c r="AA3597" s="204"/>
      <c r="AB3597" s="204"/>
    </row>
    <row r="3598" spans="1:28" ht="45" customHeight="1">
      <c r="A3598" s="156" t="str">
        <f>'Reported burning'!A3598</f>
        <v>393d</v>
      </c>
      <c r="B3598" s="156" t="str">
        <f>'Reported burning'!B3598</f>
        <v>393d.2</v>
      </c>
      <c r="C3598" s="156" t="str">
        <f>'Reported burning'!C3598</f>
        <v>Human, deliberate</v>
      </c>
      <c r="D3598" s="156" t="str">
        <f>'Reported burning'!D3598</f>
        <v>All</v>
      </c>
      <c r="E3598" s="156" t="str">
        <f>'Reported burning'!E3598</f>
        <v>Agroforestry, Subsistence-oriented</v>
      </c>
      <c r="F3598" s="156" t="str">
        <f>'Reported burning'!F3598</f>
        <v>Plantation forest</v>
      </c>
      <c r="G3598" s="156" t="str">
        <f>'Reported burning'!G3598</f>
        <v>Plantation forest</v>
      </c>
      <c r="H3598" s="156" t="str">
        <f>'Reported burning'!H3598</f>
        <v>Absence</v>
      </c>
      <c r="I3598" s="5"/>
      <c r="J3598" s="21">
        <v>0</v>
      </c>
      <c r="K3598" s="21">
        <v>0</v>
      </c>
      <c r="L3598" s="21">
        <v>0</v>
      </c>
      <c r="M3598" s="21">
        <v>0</v>
      </c>
      <c r="N3598" s="21">
        <v>0</v>
      </c>
      <c r="O3598" s="21">
        <v>0</v>
      </c>
      <c r="P3598" s="21">
        <v>0</v>
      </c>
      <c r="Q3598" s="21">
        <v>0</v>
      </c>
      <c r="R3598" s="21">
        <v>0</v>
      </c>
      <c r="S3598" s="21">
        <v>0</v>
      </c>
      <c r="T3598" s="21">
        <v>0</v>
      </c>
      <c r="U3598" s="21">
        <v>0</v>
      </c>
      <c r="V3598" s="21">
        <v>0</v>
      </c>
      <c r="W3598" s="75" t="s">
        <v>2276</v>
      </c>
      <c r="X3598" s="75" t="s">
        <v>2276</v>
      </c>
      <c r="Y3598" s="75" t="s">
        <v>2276</v>
      </c>
      <c r="Z3598" s="75" t="s">
        <v>2276</v>
      </c>
      <c r="AA3598" s="204"/>
      <c r="AB3598" s="204"/>
    </row>
    <row r="3599" spans="1:28" ht="45" customHeight="1">
      <c r="A3599" s="156" t="str">
        <f>'Reported burning'!A3599</f>
        <v>393e</v>
      </c>
      <c r="B3599" s="156" t="str">
        <f>'Reported burning'!B3599</f>
        <v>393e.2</v>
      </c>
      <c r="C3599" s="156" t="str">
        <f>'Reported burning'!C3599</f>
        <v>Human, deliberate</v>
      </c>
      <c r="D3599" s="156" t="str">
        <f>'Reported burning'!D3599</f>
        <v>All</v>
      </c>
      <c r="E3599" s="156" t="str">
        <f>'Reported burning'!E3599</f>
        <v>Agroforestry, Subsistence-oriented</v>
      </c>
      <c r="F3599" s="156" t="str">
        <f>'Reported burning'!F3599</f>
        <v>Plantation forest</v>
      </c>
      <c r="G3599" s="156" t="str">
        <f>'Reported burning'!G3599</f>
        <v>Plantation forest</v>
      </c>
      <c r="H3599" s="156" t="str">
        <f>'Reported burning'!H3599</f>
        <v>Absence</v>
      </c>
      <c r="I3599" s="5"/>
      <c r="J3599" s="21">
        <v>0</v>
      </c>
      <c r="K3599" s="21">
        <v>0</v>
      </c>
      <c r="L3599" s="21">
        <v>0</v>
      </c>
      <c r="M3599" s="21">
        <v>0</v>
      </c>
      <c r="N3599" s="21">
        <v>0</v>
      </c>
      <c r="O3599" s="21">
        <v>0</v>
      </c>
      <c r="P3599" s="21">
        <v>0</v>
      </c>
      <c r="Q3599" s="21">
        <v>0</v>
      </c>
      <c r="R3599" s="21">
        <v>0</v>
      </c>
      <c r="S3599" s="21">
        <v>0</v>
      </c>
      <c r="T3599" s="21">
        <v>0</v>
      </c>
      <c r="U3599" s="21">
        <v>0</v>
      </c>
      <c r="V3599" s="21">
        <v>0</v>
      </c>
      <c r="W3599" s="75" t="s">
        <v>2276</v>
      </c>
      <c r="X3599" s="75" t="s">
        <v>2276</v>
      </c>
      <c r="Y3599" s="75" t="s">
        <v>2276</v>
      </c>
      <c r="Z3599" s="75" t="s">
        <v>2276</v>
      </c>
      <c r="AA3599" s="204"/>
      <c r="AB3599" s="204"/>
    </row>
    <row r="3600" spans="1:28" ht="45" customHeight="1">
      <c r="A3600" s="156" t="str">
        <f>'Reported burning'!A3600</f>
        <v>393a</v>
      </c>
      <c r="B3600" s="156" t="str">
        <f>'Reported burning'!B3600</f>
        <v>393a.3</v>
      </c>
      <c r="C3600" s="156" t="str">
        <f>'Reported burning'!C3600</f>
        <v>Human, deliberate</v>
      </c>
      <c r="D3600" s="156" t="str">
        <f>'Reported burning'!D3600</f>
        <v>All</v>
      </c>
      <c r="E3600" s="156" t="str">
        <f>'Reported burning'!E3600</f>
        <v>Agroforestry, Market-oriented</v>
      </c>
      <c r="F3600" s="156" t="str">
        <f>'Reported burning'!F3600</f>
        <v>Plantation forest</v>
      </c>
      <c r="G3600" s="156" t="str">
        <f>'Reported burning'!G3600</f>
        <v>Plantation forest</v>
      </c>
      <c r="H3600" s="156" t="str">
        <f>'Reported burning'!H3600</f>
        <v>Absence</v>
      </c>
      <c r="I3600" s="5"/>
      <c r="J3600" s="21">
        <v>0</v>
      </c>
      <c r="K3600" s="21">
        <v>0</v>
      </c>
      <c r="L3600" s="21">
        <v>0</v>
      </c>
      <c r="M3600" s="21">
        <v>0</v>
      </c>
      <c r="N3600" s="21">
        <v>0</v>
      </c>
      <c r="O3600" s="21">
        <v>0</v>
      </c>
      <c r="P3600" s="21">
        <v>0</v>
      </c>
      <c r="Q3600" s="21">
        <v>0</v>
      </c>
      <c r="R3600" s="21">
        <v>0</v>
      </c>
      <c r="S3600" s="21">
        <v>0</v>
      </c>
      <c r="T3600" s="21">
        <v>0</v>
      </c>
      <c r="U3600" s="21">
        <v>0</v>
      </c>
      <c r="V3600" s="21">
        <v>0</v>
      </c>
      <c r="W3600" s="75" t="s">
        <v>2276</v>
      </c>
      <c r="X3600" s="75" t="s">
        <v>2276</v>
      </c>
      <c r="Y3600" s="75" t="s">
        <v>2276</v>
      </c>
      <c r="Z3600" s="75" t="s">
        <v>2276</v>
      </c>
      <c r="AA3600" s="204"/>
      <c r="AB3600" s="204"/>
    </row>
    <row r="3601" spans="1:28" ht="45" customHeight="1">
      <c r="A3601" s="156" t="str">
        <f>'Reported burning'!A3601</f>
        <v>393b</v>
      </c>
      <c r="B3601" s="156" t="str">
        <f>'Reported burning'!B3601</f>
        <v>393b.3</v>
      </c>
      <c r="C3601" s="156" t="str">
        <f>'Reported burning'!C3601</f>
        <v>Human, deliberate</v>
      </c>
      <c r="D3601" s="156" t="str">
        <f>'Reported burning'!D3601</f>
        <v>All</v>
      </c>
      <c r="E3601" s="156" t="str">
        <f>'Reported burning'!E3601</f>
        <v>Agroforestry, Market-oriented</v>
      </c>
      <c r="F3601" s="156" t="str">
        <f>'Reported burning'!F3601</f>
        <v>Plantation forest</v>
      </c>
      <c r="G3601" s="156" t="str">
        <f>'Reported burning'!G3601</f>
        <v>Plantation forest</v>
      </c>
      <c r="H3601" s="156" t="str">
        <f>'Reported burning'!H3601</f>
        <v>Absence</v>
      </c>
      <c r="I3601" s="5"/>
      <c r="J3601" s="21">
        <v>0</v>
      </c>
      <c r="K3601" s="21">
        <v>0</v>
      </c>
      <c r="L3601" s="21">
        <v>0</v>
      </c>
      <c r="M3601" s="21">
        <v>0</v>
      </c>
      <c r="N3601" s="21">
        <v>0</v>
      </c>
      <c r="O3601" s="21">
        <v>0</v>
      </c>
      <c r="P3601" s="21">
        <v>0</v>
      </c>
      <c r="Q3601" s="21">
        <v>0</v>
      </c>
      <c r="R3601" s="21">
        <v>0</v>
      </c>
      <c r="S3601" s="21">
        <v>0</v>
      </c>
      <c r="T3601" s="21">
        <v>0</v>
      </c>
      <c r="U3601" s="21">
        <v>0</v>
      </c>
      <c r="V3601" s="21">
        <v>0</v>
      </c>
      <c r="W3601" s="75" t="s">
        <v>2276</v>
      </c>
      <c r="X3601" s="75" t="s">
        <v>2276</v>
      </c>
      <c r="Y3601" s="75" t="s">
        <v>2276</v>
      </c>
      <c r="Z3601" s="75" t="s">
        <v>2276</v>
      </c>
      <c r="AA3601" s="204"/>
      <c r="AB3601" s="204"/>
    </row>
    <row r="3602" spans="1:28" ht="45" customHeight="1">
      <c r="A3602" s="156" t="str">
        <f>'Reported burning'!A3602</f>
        <v>393c</v>
      </c>
      <c r="B3602" s="156" t="str">
        <f>'Reported burning'!B3602</f>
        <v>393c.3</v>
      </c>
      <c r="C3602" s="156" t="str">
        <f>'Reported burning'!C3602</f>
        <v>Human, deliberate</v>
      </c>
      <c r="D3602" s="156" t="str">
        <f>'Reported burning'!D3602</f>
        <v>All</v>
      </c>
      <c r="E3602" s="156" t="str">
        <f>'Reported burning'!E3602</f>
        <v>Agroforestry, Market-oriented</v>
      </c>
      <c r="F3602" s="156" t="str">
        <f>'Reported burning'!F3602</f>
        <v>Plantation forest</v>
      </c>
      <c r="G3602" s="156" t="str">
        <f>'Reported burning'!G3602</f>
        <v>Plantation forest</v>
      </c>
      <c r="H3602" s="156" t="str">
        <f>'Reported burning'!H3602</f>
        <v>Absence</v>
      </c>
      <c r="I3602" s="5"/>
      <c r="J3602" s="21">
        <v>0</v>
      </c>
      <c r="K3602" s="21">
        <v>0</v>
      </c>
      <c r="L3602" s="21">
        <v>0</v>
      </c>
      <c r="M3602" s="21">
        <v>0</v>
      </c>
      <c r="N3602" s="21">
        <v>0</v>
      </c>
      <c r="O3602" s="21">
        <v>0</v>
      </c>
      <c r="P3602" s="21">
        <v>0</v>
      </c>
      <c r="Q3602" s="21">
        <v>0</v>
      </c>
      <c r="R3602" s="21">
        <v>0</v>
      </c>
      <c r="S3602" s="21">
        <v>0</v>
      </c>
      <c r="T3602" s="21">
        <v>0</v>
      </c>
      <c r="U3602" s="21">
        <v>0</v>
      </c>
      <c r="V3602" s="21">
        <v>0</v>
      </c>
      <c r="W3602" s="75" t="s">
        <v>2276</v>
      </c>
      <c r="X3602" s="75" t="s">
        <v>2276</v>
      </c>
      <c r="Y3602" s="75" t="s">
        <v>2276</v>
      </c>
      <c r="Z3602" s="75" t="s">
        <v>2276</v>
      </c>
      <c r="AA3602" s="204"/>
      <c r="AB3602" s="204"/>
    </row>
    <row r="3603" spans="1:28" ht="45" customHeight="1">
      <c r="A3603" s="156" t="str">
        <f>'Reported burning'!A3603</f>
        <v>393d</v>
      </c>
      <c r="B3603" s="156" t="str">
        <f>'Reported burning'!B3603</f>
        <v>393d.3</v>
      </c>
      <c r="C3603" s="156" t="str">
        <f>'Reported burning'!C3603</f>
        <v>Human, deliberate</v>
      </c>
      <c r="D3603" s="156" t="str">
        <f>'Reported burning'!D3603</f>
        <v>All</v>
      </c>
      <c r="E3603" s="156" t="str">
        <f>'Reported burning'!E3603</f>
        <v>Agroforestry, Market-oriented</v>
      </c>
      <c r="F3603" s="156" t="str">
        <f>'Reported burning'!F3603</f>
        <v>Plantation forest</v>
      </c>
      <c r="G3603" s="156" t="str">
        <f>'Reported burning'!G3603</f>
        <v>Plantation forest</v>
      </c>
      <c r="H3603" s="156" t="str">
        <f>'Reported burning'!H3603</f>
        <v>Absence</v>
      </c>
      <c r="I3603" s="5"/>
      <c r="J3603" s="21">
        <v>0</v>
      </c>
      <c r="K3603" s="21">
        <v>0</v>
      </c>
      <c r="L3603" s="21">
        <v>0</v>
      </c>
      <c r="M3603" s="21">
        <v>0</v>
      </c>
      <c r="N3603" s="21">
        <v>0</v>
      </c>
      <c r="O3603" s="21">
        <v>0</v>
      </c>
      <c r="P3603" s="21">
        <v>0</v>
      </c>
      <c r="Q3603" s="21">
        <v>0</v>
      </c>
      <c r="R3603" s="21">
        <v>0</v>
      </c>
      <c r="S3603" s="21">
        <v>0</v>
      </c>
      <c r="T3603" s="21">
        <v>0</v>
      </c>
      <c r="U3603" s="21">
        <v>0</v>
      </c>
      <c r="V3603" s="21">
        <v>0</v>
      </c>
      <c r="W3603" s="75" t="s">
        <v>2276</v>
      </c>
      <c r="X3603" s="75" t="s">
        <v>2276</v>
      </c>
      <c r="Y3603" s="75" t="s">
        <v>2276</v>
      </c>
      <c r="Z3603" s="75" t="s">
        <v>2276</v>
      </c>
      <c r="AA3603" s="204"/>
      <c r="AB3603" s="204"/>
    </row>
    <row r="3604" spans="1:28" ht="45" customHeight="1">
      <c r="A3604" s="156" t="str">
        <f>'Reported burning'!A3604</f>
        <v>393e</v>
      </c>
      <c r="B3604" s="156" t="str">
        <f>'Reported burning'!B3604</f>
        <v>393e.3</v>
      </c>
      <c r="C3604" s="156" t="str">
        <f>'Reported burning'!C3604</f>
        <v>Human, deliberate</v>
      </c>
      <c r="D3604" s="156" t="str">
        <f>'Reported burning'!D3604</f>
        <v>All</v>
      </c>
      <c r="E3604" s="156" t="str">
        <f>'Reported burning'!E3604</f>
        <v>Agroforestry, Market-oriented</v>
      </c>
      <c r="F3604" s="156" t="str">
        <f>'Reported burning'!F3604</f>
        <v>Plantation forest</v>
      </c>
      <c r="G3604" s="156" t="str">
        <f>'Reported burning'!G3604</f>
        <v>Plantation forest</v>
      </c>
      <c r="H3604" s="156" t="str">
        <f>'Reported burning'!H3604</f>
        <v>Absence</v>
      </c>
      <c r="I3604" s="5"/>
      <c r="J3604" s="21">
        <v>0</v>
      </c>
      <c r="K3604" s="21">
        <v>0</v>
      </c>
      <c r="L3604" s="21">
        <v>0</v>
      </c>
      <c r="M3604" s="21">
        <v>0</v>
      </c>
      <c r="N3604" s="21">
        <v>0</v>
      </c>
      <c r="O3604" s="21">
        <v>0</v>
      </c>
      <c r="P3604" s="21">
        <v>0</v>
      </c>
      <c r="Q3604" s="21">
        <v>0</v>
      </c>
      <c r="R3604" s="21">
        <v>0</v>
      </c>
      <c r="S3604" s="21">
        <v>0</v>
      </c>
      <c r="T3604" s="21">
        <v>0</v>
      </c>
      <c r="U3604" s="21">
        <v>0</v>
      </c>
      <c r="V3604" s="21">
        <v>0</v>
      </c>
      <c r="W3604" s="75" t="s">
        <v>2276</v>
      </c>
      <c r="X3604" s="75" t="s">
        <v>2276</v>
      </c>
      <c r="Y3604" s="75" t="s">
        <v>2276</v>
      </c>
      <c r="Z3604" s="75" t="s">
        <v>2276</v>
      </c>
      <c r="AA3604" s="204"/>
      <c r="AB3604" s="204"/>
    </row>
    <row r="3605" spans="1:28" ht="34.5" customHeight="1">
      <c r="A3605" s="152" t="str">
        <f>'Reported burning'!A3605</f>
        <v>394a</v>
      </c>
      <c r="B3605" s="152" t="str">
        <f>'Reported burning'!B3605</f>
        <v>394a.1</v>
      </c>
      <c r="C3605" s="152" t="str">
        <f>'Reported burning'!C3605</f>
        <v>Human, deliberate</v>
      </c>
      <c r="D3605" s="152" t="str">
        <f>'Reported burning'!D3605</f>
        <v>Forest clearance</v>
      </c>
      <c r="E3605" s="152" t="str">
        <f>'Reported burning'!E3605</f>
        <v>ND</v>
      </c>
      <c r="F3605" s="152" t="str">
        <f>'Reported burning'!F3605</f>
        <v>ND</v>
      </c>
      <c r="G3605" s="152" t="str">
        <f>'Reported burning'!G3605</f>
        <v>Shrubland (Mixed forest &amp; grassland)</v>
      </c>
      <c r="H3605" s="152" t="str">
        <f>'Reported burning'!H3605</f>
        <v>Presence</v>
      </c>
      <c r="I3605" s="204"/>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204" t="s">
        <v>189</v>
      </c>
      <c r="Y3605" s="204" t="s">
        <v>425</v>
      </c>
      <c r="Z3605" s="204" t="s">
        <v>2655</v>
      </c>
      <c r="AA3605" s="4" t="s">
        <v>9484</v>
      </c>
      <c r="AB3605" s="204"/>
    </row>
    <row r="3606" spans="1:28" s="203" customFormat="1" ht="34.5" customHeight="1">
      <c r="A3606" s="152" t="str">
        <f>'Reported burning'!A3606</f>
        <v>394a</v>
      </c>
      <c r="B3606" s="152" t="str">
        <f>'Reported burning'!B3606</f>
        <v>394a.2</v>
      </c>
      <c r="C3606" s="152" t="str">
        <f>'Reported burning'!C3606</f>
        <v>Human, escaped</v>
      </c>
      <c r="D3606" s="152" t="str">
        <f>'Reported burning'!D3606</f>
        <v>Domestic</v>
      </c>
      <c r="E3606" s="152" t="str">
        <f>'Reported burning'!E3606</f>
        <v>Forestry, Traditional</v>
      </c>
      <c r="F3606" s="152" t="str">
        <f>'Reported burning'!F3606</f>
        <v>ND</v>
      </c>
      <c r="G3606" s="152" t="str">
        <f>'Reported burning'!G3606</f>
        <v>Forest</v>
      </c>
      <c r="H3606" s="152" t="str">
        <f>'Reported burning'!H3606</f>
        <v>Presence</v>
      </c>
      <c r="I3606" s="5"/>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204" t="s">
        <v>189</v>
      </c>
      <c r="Y3606" s="204" t="s">
        <v>425</v>
      </c>
      <c r="Z3606" s="204" t="s">
        <v>2655</v>
      </c>
      <c r="AA3606" s="4" t="s">
        <v>9484</v>
      </c>
      <c r="AB3606" s="204"/>
    </row>
    <row r="3607" spans="1:28" s="203" customFormat="1" ht="34.5" customHeight="1">
      <c r="A3607" s="152" t="str">
        <f>'Reported burning'!A3607</f>
        <v>394a</v>
      </c>
      <c r="B3607" s="152" t="str">
        <f>'Reported burning'!B3607</f>
        <v>394a.3</v>
      </c>
      <c r="C3607" s="152" t="str">
        <f>'Reported burning'!C3607</f>
        <v>Human, accidental</v>
      </c>
      <c r="D3607" s="152" t="str">
        <f>'Reported burning'!D3607</f>
        <v>Hunting</v>
      </c>
      <c r="E3607" s="152" t="str">
        <f>'Reported burning'!E3607</f>
        <v>Forestry, Traditional</v>
      </c>
      <c r="F3607" s="152" t="str">
        <f>'Reported burning'!F3607</f>
        <v>ND</v>
      </c>
      <c r="G3607" s="152" t="str">
        <f>'Reported burning'!G3607</f>
        <v>Forest</v>
      </c>
      <c r="H3607" s="152" t="str">
        <f>'Reported burning'!H3607</f>
        <v>Presence</v>
      </c>
      <c r="I3607" s="5"/>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204" t="s">
        <v>189</v>
      </c>
      <c r="Y3607" s="204" t="s">
        <v>425</v>
      </c>
      <c r="Z3607" s="204" t="s">
        <v>2655</v>
      </c>
      <c r="AA3607" s="4" t="s">
        <v>9484</v>
      </c>
      <c r="AB3607" s="204"/>
    </row>
    <row r="3608" spans="1:28" ht="34.5" customHeight="1">
      <c r="A3608" s="156" t="str">
        <f>'Reported burning'!A3608</f>
        <v>394a</v>
      </c>
      <c r="B3608" s="156" t="str">
        <f>'Reported burning'!B3608</f>
        <v>394a.4</v>
      </c>
      <c r="C3608" s="156" t="str">
        <f>'Reported burning'!C3608</f>
        <v>Human, accidental</v>
      </c>
      <c r="D3608" s="156" t="str">
        <f>'Reported burning'!D3608</f>
        <v>ND</v>
      </c>
      <c r="E3608" s="156" t="str">
        <f>'Reported burning'!E3608</f>
        <v>Cropping, Monoculture, Market-oriented</v>
      </c>
      <c r="F3608" s="156" t="str">
        <f>'Reported burning'!F3608</f>
        <v>ND</v>
      </c>
      <c r="G3608" s="156" t="str">
        <f>'Reported burning'!G3608</f>
        <v>Forest</v>
      </c>
      <c r="H3608" s="156" t="str">
        <f>'Reported burning'!H3608</f>
        <v>Presence</v>
      </c>
      <c r="I3608" s="5"/>
      <c r="J3608" s="75" t="s">
        <v>2276</v>
      </c>
      <c r="K3608" s="75" t="s">
        <v>2276</v>
      </c>
      <c r="L3608" s="75" t="s">
        <v>2276</v>
      </c>
      <c r="M3608" s="75" t="s">
        <v>2276</v>
      </c>
      <c r="N3608" s="75" t="s">
        <v>2276</v>
      </c>
      <c r="O3608" s="75" t="s">
        <v>2276</v>
      </c>
      <c r="P3608" s="75" t="s">
        <v>2276</v>
      </c>
      <c r="Q3608" s="75" t="s">
        <v>2276</v>
      </c>
      <c r="R3608" s="75" t="s">
        <v>2276</v>
      </c>
      <c r="S3608" s="75" t="s">
        <v>2276</v>
      </c>
      <c r="T3608" s="75" t="s">
        <v>2276</v>
      </c>
      <c r="U3608" s="75" t="s">
        <v>2276</v>
      </c>
      <c r="V3608" s="75" t="s">
        <v>2276</v>
      </c>
      <c r="W3608" s="75" t="s">
        <v>2276</v>
      </c>
      <c r="X3608" s="204" t="s">
        <v>189</v>
      </c>
      <c r="Y3608" s="204" t="s">
        <v>425</v>
      </c>
      <c r="Z3608" s="204" t="s">
        <v>2655</v>
      </c>
      <c r="AA3608" s="4" t="s">
        <v>9484</v>
      </c>
      <c r="AB3608" s="204"/>
    </row>
    <row r="3609" spans="1:28" ht="34.5" customHeight="1">
      <c r="A3609" s="156" t="str">
        <f>'Reported burning'!A3609</f>
        <v>394b</v>
      </c>
      <c r="B3609" s="156" t="str">
        <f>'Reported burning'!B3609</f>
        <v>394b.1</v>
      </c>
      <c r="C3609" s="156" t="str">
        <f>'Reported burning'!C3609</f>
        <v>Lightning</v>
      </c>
      <c r="D3609" s="156" t="str">
        <f>'Reported burning'!D3609</f>
        <v>ND</v>
      </c>
      <c r="E3609" s="156" t="str">
        <f>'Reported burning'!E3609</f>
        <v>Unoccupied</v>
      </c>
      <c r="F3609" s="156" t="str">
        <f>'Reported burning'!F3609</f>
        <v>ND</v>
      </c>
      <c r="G3609" s="156" t="str">
        <f>'Reported burning'!G3609</f>
        <v>Forest</v>
      </c>
      <c r="H3609" s="156" t="str">
        <f>'Reported burning'!H3609</f>
        <v>Presence</v>
      </c>
      <c r="I3609" s="5"/>
      <c r="J3609" s="75" t="s">
        <v>2276</v>
      </c>
      <c r="K3609" s="75" t="s">
        <v>2276</v>
      </c>
      <c r="L3609" s="75" t="s">
        <v>2276</v>
      </c>
      <c r="M3609" s="75" t="s">
        <v>2276</v>
      </c>
      <c r="N3609" s="75" t="s">
        <v>2276</v>
      </c>
      <c r="O3609" s="75" t="s">
        <v>2276</v>
      </c>
      <c r="P3609" s="75" t="s">
        <v>2276</v>
      </c>
      <c r="Q3609" s="75" t="s">
        <v>2276</v>
      </c>
      <c r="R3609" s="75" t="s">
        <v>2276</v>
      </c>
      <c r="S3609" s="75" t="s">
        <v>2276</v>
      </c>
      <c r="T3609" s="75" t="s">
        <v>2276</v>
      </c>
      <c r="U3609" s="75" t="s">
        <v>2276</v>
      </c>
      <c r="V3609" s="75" t="s">
        <v>2276</v>
      </c>
      <c r="W3609" s="75" t="s">
        <v>2276</v>
      </c>
      <c r="X3609" s="204" t="s">
        <v>189</v>
      </c>
      <c r="Y3609" s="204" t="s">
        <v>425</v>
      </c>
      <c r="Z3609" s="204" t="s">
        <v>2655</v>
      </c>
      <c r="AA3609" s="204"/>
      <c r="AB3609" s="204"/>
    </row>
    <row r="3610" spans="1:28" ht="34.5" customHeight="1">
      <c r="A3610" s="156" t="str">
        <f>'Reported burning'!A3610</f>
        <v>394c</v>
      </c>
      <c r="B3610" s="156" t="str">
        <f>'Reported burning'!B3610</f>
        <v>394c.1</v>
      </c>
      <c r="C3610" s="156" t="str">
        <f>'Reported burning'!C3610</f>
        <v>Lightning</v>
      </c>
      <c r="D3610" s="156" t="str">
        <f>'Reported burning'!D3610</f>
        <v>ND</v>
      </c>
      <c r="E3610" s="156" t="str">
        <f>'Reported burning'!E3610</f>
        <v>Unoccupied</v>
      </c>
      <c r="F3610" s="156" t="str">
        <f>'Reported burning'!F3610</f>
        <v>ND</v>
      </c>
      <c r="G3610" s="156" t="str">
        <f>'Reported burning'!G3610</f>
        <v>Forest</v>
      </c>
      <c r="H3610" s="156" t="str">
        <f>'Reported burning'!H3610</f>
        <v>Presence</v>
      </c>
      <c r="I3610" s="5"/>
      <c r="J3610" s="75" t="s">
        <v>2276</v>
      </c>
      <c r="K3610" s="75" t="s">
        <v>2276</v>
      </c>
      <c r="L3610" s="75" t="s">
        <v>2276</v>
      </c>
      <c r="M3610" s="75" t="s">
        <v>2276</v>
      </c>
      <c r="N3610" s="75" t="s">
        <v>2276</v>
      </c>
      <c r="O3610" s="75" t="s">
        <v>2276</v>
      </c>
      <c r="P3610" s="75" t="s">
        <v>2276</v>
      </c>
      <c r="Q3610" s="75" t="s">
        <v>2276</v>
      </c>
      <c r="R3610" s="75" t="s">
        <v>2276</v>
      </c>
      <c r="S3610" s="75" t="s">
        <v>2276</v>
      </c>
      <c r="T3610" s="75" t="s">
        <v>2276</v>
      </c>
      <c r="U3610" s="75" t="s">
        <v>2276</v>
      </c>
      <c r="V3610" s="75" t="s">
        <v>2276</v>
      </c>
      <c r="W3610" s="75" t="s">
        <v>2276</v>
      </c>
      <c r="X3610" s="204" t="s">
        <v>189</v>
      </c>
      <c r="Y3610" s="204" t="s">
        <v>425</v>
      </c>
      <c r="Z3610" s="204" t="s">
        <v>2655</v>
      </c>
      <c r="AA3610" s="204"/>
      <c r="AB3610" s="204"/>
    </row>
    <row r="3611" spans="1:28" ht="34.5" customHeight="1">
      <c r="A3611" s="156" t="str">
        <f>'Reported burning'!A3611</f>
        <v>394d</v>
      </c>
      <c r="B3611" s="156" t="str">
        <f>'Reported burning'!B3611</f>
        <v>394d.1</v>
      </c>
      <c r="C3611" s="156" t="str">
        <f>'Reported burning'!C3611</f>
        <v>Lightning</v>
      </c>
      <c r="D3611" s="156" t="str">
        <f>'Reported burning'!D3611</f>
        <v>ND</v>
      </c>
      <c r="E3611" s="156" t="str">
        <f>'Reported burning'!E3611</f>
        <v>Unoccupied</v>
      </c>
      <c r="F3611" s="156" t="str">
        <f>'Reported burning'!F3611</f>
        <v>ND</v>
      </c>
      <c r="G3611" s="156" t="str">
        <f>'Reported burning'!G3611</f>
        <v>Forest</v>
      </c>
      <c r="H3611" s="156" t="str">
        <f>'Reported burning'!H3611</f>
        <v>Presence</v>
      </c>
      <c r="I3611" s="5"/>
      <c r="J3611" s="75" t="s">
        <v>2276</v>
      </c>
      <c r="K3611" s="75" t="s">
        <v>2276</v>
      </c>
      <c r="L3611" s="75" t="s">
        <v>2276</v>
      </c>
      <c r="M3611" s="75" t="s">
        <v>2276</v>
      </c>
      <c r="N3611" s="75" t="s">
        <v>2276</v>
      </c>
      <c r="O3611" s="75" t="s">
        <v>2276</v>
      </c>
      <c r="P3611" s="75" t="s">
        <v>2276</v>
      </c>
      <c r="Q3611" s="75" t="s">
        <v>2276</v>
      </c>
      <c r="R3611" s="75" t="s">
        <v>2276</v>
      </c>
      <c r="S3611" s="75" t="s">
        <v>2276</v>
      </c>
      <c r="T3611" s="75" t="s">
        <v>2276</v>
      </c>
      <c r="U3611" s="75" t="s">
        <v>2276</v>
      </c>
      <c r="V3611" s="75" t="s">
        <v>2276</v>
      </c>
      <c r="W3611" s="75" t="s">
        <v>2276</v>
      </c>
      <c r="X3611" s="204" t="s">
        <v>189</v>
      </c>
      <c r="Y3611" s="204" t="s">
        <v>425</v>
      </c>
      <c r="Z3611" s="204" t="s">
        <v>2655</v>
      </c>
      <c r="AA3611" s="204"/>
      <c r="AB3611" s="204"/>
    </row>
    <row r="3612" spans="1:28" ht="35" customHeight="1">
      <c r="A3612" s="156" t="str">
        <f>'Reported burning'!A3612</f>
        <v>394e</v>
      </c>
      <c r="B3612" s="156" t="str">
        <f>'Reported burning'!B3612</f>
        <v>394e.1</v>
      </c>
      <c r="C3612" s="156" t="str">
        <f>'Reported burning'!C3612</f>
        <v>Lightning</v>
      </c>
      <c r="D3612" s="156" t="str">
        <f>'Reported burning'!D3612</f>
        <v>ND</v>
      </c>
      <c r="E3612" s="156" t="str">
        <f>'Reported burning'!E3612</f>
        <v>Unoccupied</v>
      </c>
      <c r="F3612" s="156" t="str">
        <f>'Reported burning'!F3612</f>
        <v>ND</v>
      </c>
      <c r="G3612" s="156" t="str">
        <f>'Reported burning'!G3612</f>
        <v>Forest</v>
      </c>
      <c r="H3612" s="156" t="str">
        <f>'Reported burning'!H3612</f>
        <v>Presence</v>
      </c>
      <c r="I3612" s="5"/>
      <c r="J3612" s="75" t="s">
        <v>2276</v>
      </c>
      <c r="K3612" s="75" t="s">
        <v>2276</v>
      </c>
      <c r="L3612" s="75" t="s">
        <v>2276</v>
      </c>
      <c r="M3612" s="75" t="s">
        <v>2276</v>
      </c>
      <c r="N3612" s="75" t="s">
        <v>2276</v>
      </c>
      <c r="O3612" s="75" t="s">
        <v>2276</v>
      </c>
      <c r="P3612" s="75" t="s">
        <v>2276</v>
      </c>
      <c r="Q3612" s="75" t="s">
        <v>2276</v>
      </c>
      <c r="R3612" s="75" t="s">
        <v>2276</v>
      </c>
      <c r="S3612" s="75" t="s">
        <v>2276</v>
      </c>
      <c r="T3612" s="75" t="s">
        <v>2276</v>
      </c>
      <c r="U3612" s="75" t="s">
        <v>2276</v>
      </c>
      <c r="V3612" s="75" t="s">
        <v>2276</v>
      </c>
      <c r="W3612" s="75" t="s">
        <v>2276</v>
      </c>
      <c r="X3612" s="204" t="s">
        <v>189</v>
      </c>
      <c r="Y3612" s="204" t="s">
        <v>425</v>
      </c>
      <c r="Z3612" s="204" t="s">
        <v>2655</v>
      </c>
      <c r="AA3612" s="204"/>
      <c r="AB3612" s="204"/>
    </row>
    <row r="3613" spans="1:28" ht="41" customHeight="1">
      <c r="A3613" s="156" t="str">
        <f>'Reported burning'!A3613</f>
        <v>395a</v>
      </c>
      <c r="B3613" s="156" t="str">
        <f>'Reported burning'!B3613</f>
        <v>395a.1</v>
      </c>
      <c r="C3613" s="156" t="str">
        <f>'Reported burning'!C3613</f>
        <v>Human, deliberate</v>
      </c>
      <c r="D3613" s="156" t="str">
        <f>'Reported burning'!D3613</f>
        <v>Pyrome management</v>
      </c>
      <c r="E3613" s="156" t="str">
        <f>'Reported burning'!E3613</f>
        <v>Forestry, Industrial</v>
      </c>
      <c r="F3613" s="156" t="str">
        <f>'Reported burning'!F3613</f>
        <v>Grassland</v>
      </c>
      <c r="G3613" s="156" t="str">
        <f>'Reported burning'!G3613</f>
        <v>Grassland</v>
      </c>
      <c r="H3613" s="156" t="str">
        <f>'Reported burning'!H3613</f>
        <v>Presence</v>
      </c>
      <c r="I3613" s="5"/>
      <c r="J3613" s="75" t="s">
        <v>2276</v>
      </c>
      <c r="K3613" s="75" t="s">
        <v>2276</v>
      </c>
      <c r="L3613" s="75" t="s">
        <v>2276</v>
      </c>
      <c r="M3613" s="75" t="s">
        <v>2276</v>
      </c>
      <c r="N3613" s="75" t="s">
        <v>2276</v>
      </c>
      <c r="O3613" s="75" t="s">
        <v>2276</v>
      </c>
      <c r="P3613" s="75" t="s">
        <v>2276</v>
      </c>
      <c r="Q3613" s="75" t="s">
        <v>2276</v>
      </c>
      <c r="R3613" s="75" t="s">
        <v>2276</v>
      </c>
      <c r="S3613" s="75" t="s">
        <v>2276</v>
      </c>
      <c r="T3613" s="75" t="s">
        <v>2276</v>
      </c>
      <c r="U3613" s="75" t="s">
        <v>2276</v>
      </c>
      <c r="V3613" s="75" t="s">
        <v>2276</v>
      </c>
      <c r="W3613" s="75" t="s">
        <v>2276</v>
      </c>
      <c r="X3613" s="75" t="s">
        <v>2276</v>
      </c>
      <c r="Y3613" s="75" t="s">
        <v>2276</v>
      </c>
      <c r="Z3613" s="75" t="s">
        <v>2276</v>
      </c>
      <c r="AA3613" s="204"/>
      <c r="AB3613" s="204"/>
    </row>
    <row r="3614" spans="1:28" ht="48.5" customHeight="1">
      <c r="A3614" s="156" t="str">
        <f>'Reported burning'!A3614</f>
        <v>396a</v>
      </c>
      <c r="B3614" s="156" t="str">
        <f>'Reported burning'!B3614</f>
        <v>396a.1</v>
      </c>
      <c r="C3614" s="156" t="str">
        <f>'Reported burning'!C3614</f>
        <v>Human, deliberate</v>
      </c>
      <c r="D3614" s="156" t="str">
        <f>'Reported burning'!D3614</f>
        <v>Land clearance</v>
      </c>
      <c r="E3614" s="156" t="str">
        <f>'Reported burning'!E3614</f>
        <v>Cropping, Monoculture, Market-oriented</v>
      </c>
      <c r="F3614" s="156" t="str">
        <f>'Reported burning'!F3614</f>
        <v>Secondary vegetation</v>
      </c>
      <c r="G3614" s="156" t="str">
        <f>'Reported burning'!G3614</f>
        <v>Secondary vegetation</v>
      </c>
      <c r="H3614" s="156" t="str">
        <f>'Reported burning'!H3614</f>
        <v>Presence</v>
      </c>
      <c r="I3614" s="5"/>
      <c r="J3614" s="75" t="s">
        <v>2276</v>
      </c>
      <c r="K3614" s="75" t="s">
        <v>2276</v>
      </c>
      <c r="L3614" s="75" t="s">
        <v>2276</v>
      </c>
      <c r="M3614" s="75" t="s">
        <v>2276</v>
      </c>
      <c r="N3614" s="75" t="s">
        <v>2276</v>
      </c>
      <c r="O3614" s="75" t="s">
        <v>2276</v>
      </c>
      <c r="P3614" s="75" t="s">
        <v>2276</v>
      </c>
      <c r="Q3614" s="75" t="s">
        <v>2276</v>
      </c>
      <c r="R3614" s="75" t="s">
        <v>2276</v>
      </c>
      <c r="S3614" s="75" t="s">
        <v>2276</v>
      </c>
      <c r="T3614" s="75" t="s">
        <v>2276</v>
      </c>
      <c r="U3614" s="75" t="s">
        <v>2276</v>
      </c>
      <c r="V3614" s="75" t="s">
        <v>2276</v>
      </c>
      <c r="W3614" s="75" t="s">
        <v>2276</v>
      </c>
      <c r="X3614" s="75" t="s">
        <v>2276</v>
      </c>
      <c r="Y3614" s="75" t="s">
        <v>2276</v>
      </c>
      <c r="Z3614" s="75" t="s">
        <v>2276</v>
      </c>
      <c r="AA3614" s="204"/>
      <c r="AB3614" s="204"/>
    </row>
    <row r="3615" spans="1:28" ht="48.5" customHeight="1">
      <c r="A3615" s="156" t="str">
        <f>'Reported burning'!A3615</f>
        <v>396b</v>
      </c>
      <c r="B3615" s="156" t="str">
        <f>'Reported burning'!B3615</f>
        <v>396b.1</v>
      </c>
      <c r="C3615" s="156" t="str">
        <f>'Reported burning'!C3615</f>
        <v>Human, deliberate</v>
      </c>
      <c r="D3615" s="156" t="str">
        <f>'Reported burning'!D3615</f>
        <v>Forest clearance</v>
      </c>
      <c r="E3615" s="156" t="str">
        <f>'Reported burning'!E3615</f>
        <v>Cropping, Monoculture, Market-oriented</v>
      </c>
      <c r="F3615" s="156" t="str">
        <f>'Reported burning'!F3615</f>
        <v>Forest</v>
      </c>
      <c r="G3615" s="156" t="str">
        <f>'Reported burning'!G3615</f>
        <v>Forest</v>
      </c>
      <c r="H3615" s="156" t="str">
        <f>'Reported burning'!H3615</f>
        <v>Presence</v>
      </c>
      <c r="I3615" s="5"/>
      <c r="J3615" s="75" t="s">
        <v>2276</v>
      </c>
      <c r="K3615" s="75" t="s">
        <v>2276</v>
      </c>
      <c r="L3615" s="75" t="s">
        <v>2276</v>
      </c>
      <c r="M3615" s="75" t="s">
        <v>2276</v>
      </c>
      <c r="N3615" s="75" t="s">
        <v>2276</v>
      </c>
      <c r="O3615" s="75" t="s">
        <v>2276</v>
      </c>
      <c r="P3615" s="75" t="s">
        <v>2276</v>
      </c>
      <c r="Q3615" s="75" t="s">
        <v>2276</v>
      </c>
      <c r="R3615" s="75" t="s">
        <v>2276</v>
      </c>
      <c r="S3615" s="75" t="s">
        <v>2276</v>
      </c>
      <c r="T3615" s="75" t="s">
        <v>2276</v>
      </c>
      <c r="U3615" s="75" t="s">
        <v>2276</v>
      </c>
      <c r="V3615" s="75" t="s">
        <v>2276</v>
      </c>
      <c r="W3615" s="75" t="s">
        <v>2276</v>
      </c>
      <c r="X3615" s="75" t="s">
        <v>2276</v>
      </c>
      <c r="Y3615" s="75" t="s">
        <v>2276</v>
      </c>
      <c r="Z3615" s="75" t="s">
        <v>2276</v>
      </c>
      <c r="AA3615" s="204"/>
      <c r="AB3615" s="204"/>
    </row>
    <row r="3616" spans="1:28" ht="59" customHeight="1">
      <c r="A3616" s="156" t="str">
        <f>'Reported burning'!A3616</f>
        <v>396b</v>
      </c>
      <c r="B3616" s="156" t="str">
        <f>'Reported burning'!B3616</f>
        <v>396b.2</v>
      </c>
      <c r="C3616" s="156" t="str">
        <f>'Reported burning'!C3616</f>
        <v>Human, deliberate</v>
      </c>
      <c r="D3616" s="156" t="str">
        <f>'Reported burning'!D3616</f>
        <v>Land clearance</v>
      </c>
      <c r="E3616" s="156" t="str">
        <f>'Reported burning'!E3616</f>
        <v>Agroforestry, Market-oriented</v>
      </c>
      <c r="F3616" s="156" t="str">
        <f>'Reported burning'!F3616</f>
        <v>Forest</v>
      </c>
      <c r="G3616" s="156" t="str">
        <f>'Reported burning'!G3616</f>
        <v>Forest</v>
      </c>
      <c r="H3616" s="156" t="str">
        <f>'Reported burning'!H3616</f>
        <v>Presence</v>
      </c>
      <c r="I3616" s="5"/>
      <c r="J3616" s="75" t="s">
        <v>2276</v>
      </c>
      <c r="K3616" s="75" t="s">
        <v>2276</v>
      </c>
      <c r="L3616" s="75" t="s">
        <v>2276</v>
      </c>
      <c r="M3616" s="75" t="s">
        <v>2276</v>
      </c>
      <c r="N3616" s="75" t="s">
        <v>2276</v>
      </c>
      <c r="O3616" s="75" t="s">
        <v>2276</v>
      </c>
      <c r="P3616" s="75" t="s">
        <v>2276</v>
      </c>
      <c r="Q3616" s="75" t="s">
        <v>2276</v>
      </c>
      <c r="R3616" s="75" t="s">
        <v>2276</v>
      </c>
      <c r="S3616" s="75" t="s">
        <v>2276</v>
      </c>
      <c r="T3616" s="75" t="s">
        <v>2276</v>
      </c>
      <c r="U3616" s="75" t="s">
        <v>2276</v>
      </c>
      <c r="V3616" s="75" t="s">
        <v>2276</v>
      </c>
      <c r="W3616" s="75" t="s">
        <v>2276</v>
      </c>
      <c r="X3616" s="75" t="s">
        <v>2276</v>
      </c>
      <c r="Y3616" s="75" t="s">
        <v>2276</v>
      </c>
      <c r="Z3616" s="75" t="s">
        <v>2276</v>
      </c>
      <c r="AA3616" s="204"/>
      <c r="AB3616" s="204"/>
    </row>
    <row r="3617" spans="1:28" ht="59" customHeight="1">
      <c r="A3617" s="156" t="str">
        <f>'Reported burning'!A3617</f>
        <v>397a</v>
      </c>
      <c r="B3617" s="156" t="str">
        <f>'Reported burning'!B3617</f>
        <v>397a.1</v>
      </c>
      <c r="C3617" s="156" t="str">
        <f>'Reported burning'!C3617</f>
        <v>Human, deliberate</v>
      </c>
      <c r="D3617" s="156" t="str">
        <f>'Reported burning'!D3617</f>
        <v>Forest clearance</v>
      </c>
      <c r="E3617" s="156" t="str">
        <f>'Reported burning'!E3617</f>
        <v>Cropping, Intensive</v>
      </c>
      <c r="F3617" s="156" t="str">
        <f>'Reported burning'!F3617</f>
        <v>Forest</v>
      </c>
      <c r="G3617" s="156" t="str">
        <f>'Reported burning'!G3617</f>
        <v>Forest</v>
      </c>
      <c r="H3617" s="156" t="str">
        <f>'Reported burning'!H3617</f>
        <v>Presence</v>
      </c>
      <c r="I3617" s="5"/>
      <c r="J3617" s="75" t="s">
        <v>2276</v>
      </c>
      <c r="K3617" s="75" t="s">
        <v>2276</v>
      </c>
      <c r="L3617" s="75" t="s">
        <v>2276</v>
      </c>
      <c r="M3617" s="75" t="s">
        <v>2276</v>
      </c>
      <c r="N3617" s="75" t="s">
        <v>2276</v>
      </c>
      <c r="O3617" s="75" t="s">
        <v>2276</v>
      </c>
      <c r="P3617" s="75" t="s">
        <v>2276</v>
      </c>
      <c r="Q3617" s="75" t="s">
        <v>2276</v>
      </c>
      <c r="R3617" s="75" t="s">
        <v>2276</v>
      </c>
      <c r="S3617" s="75" t="s">
        <v>2276</v>
      </c>
      <c r="T3617" s="75" t="s">
        <v>2276</v>
      </c>
      <c r="U3617" s="75" t="s">
        <v>2276</v>
      </c>
      <c r="V3617" s="75" t="s">
        <v>2276</v>
      </c>
      <c r="W3617" s="75" t="s">
        <v>2276</v>
      </c>
      <c r="X3617" s="75" t="s">
        <v>2276</v>
      </c>
      <c r="Y3617" s="75" t="s">
        <v>2276</v>
      </c>
      <c r="Z3617" s="75" t="s">
        <v>2276</v>
      </c>
      <c r="AA3617" s="19" t="s">
        <v>9510</v>
      </c>
      <c r="AB3617" s="204"/>
    </row>
    <row r="3618" spans="1:28" ht="59" customHeight="1">
      <c r="A3618" s="156" t="str">
        <f>'Reported burning'!A3618</f>
        <v>397a</v>
      </c>
      <c r="B3618" s="156" t="str">
        <f>'Reported burning'!B3618</f>
        <v>397a.2</v>
      </c>
      <c r="C3618" s="156" t="str">
        <f>'Reported burning'!C3618</f>
        <v>Human, deliberate</v>
      </c>
      <c r="D3618" s="156" t="str">
        <f>'Reported burning'!D3618</f>
        <v>Forest clearance</v>
      </c>
      <c r="E3618" s="156" t="str">
        <f>'Reported burning'!F3617</f>
        <v>Forest</v>
      </c>
      <c r="F3618" s="156" t="str">
        <f>'Reported burning'!F3618</f>
        <v>Forest</v>
      </c>
      <c r="G3618" s="156" t="str">
        <f>'Reported burning'!G3618</f>
        <v>Forest</v>
      </c>
      <c r="H3618" s="156" t="str">
        <f>'Reported burning'!H3618</f>
        <v>Presence</v>
      </c>
      <c r="I3618" s="5"/>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75" t="s">
        <v>2276</v>
      </c>
      <c r="Y3618" s="75" t="s">
        <v>2276</v>
      </c>
      <c r="Z3618" s="75" t="s">
        <v>2276</v>
      </c>
      <c r="AA3618" s="19" t="s">
        <v>9510</v>
      </c>
      <c r="AB3618" s="204"/>
    </row>
    <row r="3619" spans="1:28" ht="59" customHeight="1">
      <c r="A3619" s="156" t="str">
        <f>'Reported burning'!A3619</f>
        <v>397a</v>
      </c>
      <c r="B3619" s="156" t="str">
        <f>'Reported burning'!B3619</f>
        <v>397a.3</v>
      </c>
      <c r="C3619" s="156" t="str">
        <f>'Reported burning'!C3619</f>
        <v>Human, deliberate</v>
      </c>
      <c r="D3619" s="156" t="str">
        <f>'Reported burning'!D3619</f>
        <v>Crop field preparation</v>
      </c>
      <c r="E3619" s="156" t="str">
        <f>'Reported burning'!E3619</f>
        <v>Cropping, Swidden</v>
      </c>
      <c r="F3619" s="156" t="str">
        <f>'Reported burning'!F3619</f>
        <v>Forest</v>
      </c>
      <c r="G3619" s="156" t="str">
        <f>'Reported burning'!G3619</f>
        <v>Forest</v>
      </c>
      <c r="H3619" s="156" t="str">
        <f>'Reported burning'!H3619</f>
        <v>Presence</v>
      </c>
      <c r="I3619" s="5"/>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75" t="s">
        <v>2276</v>
      </c>
      <c r="Y3619" s="75" t="s">
        <v>2276</v>
      </c>
      <c r="Z3619" s="75" t="s">
        <v>2276</v>
      </c>
      <c r="AA3619" s="19" t="s">
        <v>9510</v>
      </c>
      <c r="AB3619" s="204"/>
    </row>
    <row r="3620" spans="1:28" ht="59" customHeight="1">
      <c r="A3620" s="156" t="str">
        <f>'Reported burning'!A3620</f>
        <v>397b</v>
      </c>
      <c r="B3620" s="156" t="str">
        <f>'Reported burning'!B3620</f>
        <v>397b.1</v>
      </c>
      <c r="C3620" s="156" t="str">
        <f>'Reported burning'!C3620</f>
        <v>Human, deliberate</v>
      </c>
      <c r="D3620" s="156" t="str">
        <f>'Reported burning'!D3620</f>
        <v>Forest clearance</v>
      </c>
      <c r="E3620" s="156" t="str">
        <f>'Reported burning'!E3620</f>
        <v>Cropping, Intensive</v>
      </c>
      <c r="F3620" s="156" t="str">
        <f>'Reported burning'!F3620</f>
        <v>Forest</v>
      </c>
      <c r="G3620" s="156" t="str">
        <f>'Reported burning'!G3620</f>
        <v>Forest</v>
      </c>
      <c r="H3620" s="156" t="str">
        <f>'Reported burning'!H3620</f>
        <v>Presence</v>
      </c>
      <c r="I3620" s="5"/>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75" t="s">
        <v>2276</v>
      </c>
      <c r="AA3620" s="19" t="s">
        <v>9510</v>
      </c>
      <c r="AB3620" s="204"/>
    </row>
    <row r="3621" spans="1:28" ht="59" customHeight="1">
      <c r="A3621" s="156" t="str">
        <f>'Reported burning'!A3621</f>
        <v>397b</v>
      </c>
      <c r="B3621" s="156" t="str">
        <f>'Reported burning'!B3621</f>
        <v>397b.2</v>
      </c>
      <c r="C3621" s="156" t="str">
        <f>'Reported burning'!C3621</f>
        <v>Human, deliberate</v>
      </c>
      <c r="D3621" s="156" t="str">
        <f>'Reported burning'!D3621</f>
        <v>Forest clearance</v>
      </c>
      <c r="E3621" s="156" t="str">
        <f>'Reported burning'!E3621</f>
        <v>Cropping, Monoculture, Market-oriented</v>
      </c>
      <c r="F3621" s="156" t="str">
        <f>'Reported burning'!F3621</f>
        <v>Forest</v>
      </c>
      <c r="G3621" s="156" t="str">
        <f>'Reported burning'!G3621</f>
        <v>Forest</v>
      </c>
      <c r="H3621" s="156" t="str">
        <f>'Reported burning'!H3621</f>
        <v>Presence</v>
      </c>
      <c r="I3621" s="5"/>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75" t="s">
        <v>2276</v>
      </c>
      <c r="AA3621" s="19" t="s">
        <v>9510</v>
      </c>
      <c r="AB3621" s="204"/>
    </row>
    <row r="3622" spans="1:28" ht="63.5" customHeight="1">
      <c r="A3622" s="156" t="str">
        <f>'Reported burning'!A3622</f>
        <v>397b</v>
      </c>
      <c r="B3622" s="156" t="str">
        <f>'Reported burning'!B3622</f>
        <v>397b.3</v>
      </c>
      <c r="C3622" s="156" t="str">
        <f>'Reported burning'!C3622</f>
        <v>Human, deliberate</v>
      </c>
      <c r="D3622" s="156" t="str">
        <f>'Reported burning'!D3622</f>
        <v>Crop field preparation</v>
      </c>
      <c r="E3622" s="156" t="str">
        <f>'Reported burning'!E3622</f>
        <v>Cropping, Swidden</v>
      </c>
      <c r="F3622" s="156" t="str">
        <f>'Reported burning'!F3622</f>
        <v>Forest</v>
      </c>
      <c r="G3622" s="156" t="str">
        <f>'Reported burning'!G3622</f>
        <v>Forest</v>
      </c>
      <c r="H3622" s="156" t="str">
        <f>'Reported burning'!H3622</f>
        <v>Presence</v>
      </c>
      <c r="I3622" s="5"/>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75" t="s">
        <v>2276</v>
      </c>
      <c r="Z3622" s="75" t="s">
        <v>2276</v>
      </c>
      <c r="AA3622" s="19" t="s">
        <v>9510</v>
      </c>
      <c r="AB3622" s="204"/>
    </row>
    <row r="3623" spans="1:28" ht="63.5" customHeight="1">
      <c r="A3623" s="156" t="str">
        <f>'Reported burning'!A3623</f>
        <v>398a</v>
      </c>
      <c r="B3623" s="156" t="str">
        <f>'Reported burning'!B3623</f>
        <v>398a.1</v>
      </c>
      <c r="C3623" s="156" t="str">
        <f>'Reported burning'!C3623</f>
        <v>All</v>
      </c>
      <c r="D3623" s="156" t="str">
        <f>'Reported burning'!D3623</f>
        <v>All</v>
      </c>
      <c r="E3623" s="156" t="str">
        <f>'Reported burning'!E3623</f>
        <v>ND</v>
      </c>
      <c r="F3623" s="156" t="str">
        <f>'Reported burning'!F3623</f>
        <v>ND</v>
      </c>
      <c r="G3623" s="156" t="str">
        <f>'Reported burning'!G3623</f>
        <v>Plantation forest</v>
      </c>
      <c r="H3623" s="156" t="str">
        <f>'Reported burning'!H3623</f>
        <v>Presence</v>
      </c>
      <c r="I3623" s="5"/>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204" t="s">
        <v>34</v>
      </c>
      <c r="Y3623" s="204" t="s">
        <v>68</v>
      </c>
      <c r="Z3623" s="204" t="s">
        <v>76</v>
      </c>
      <c r="AA3623" s="204"/>
      <c r="AB3623" s="204"/>
    </row>
    <row r="3624" spans="1:28" ht="63.5" customHeight="1">
      <c r="A3624" s="156" t="str">
        <f>'Reported burning'!A3624</f>
        <v>398a</v>
      </c>
      <c r="B3624" s="156" t="str">
        <f>'Reported burning'!B3624</f>
        <v>398a.2</v>
      </c>
      <c r="C3624" s="156" t="str">
        <f>'Reported burning'!C3624</f>
        <v>Human, deliberate</v>
      </c>
      <c r="D3624" s="156" t="str">
        <f>'Reported burning'!D3624</f>
        <v>Arson</v>
      </c>
      <c r="E3624" s="156" t="str">
        <f>'Reported burning'!E3624</f>
        <v>ND</v>
      </c>
      <c r="F3624" s="156" t="str">
        <f>'Reported burning'!F3624</f>
        <v>ND</v>
      </c>
      <c r="G3624" s="156" t="str">
        <f>'Reported burning'!G3624</f>
        <v>Plantation forest</v>
      </c>
      <c r="H3624" s="156" t="str">
        <f>'Reported burning'!H3624</f>
        <v>Presence</v>
      </c>
      <c r="I3624" s="5"/>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204" t="s">
        <v>404</v>
      </c>
      <c r="Y3624" s="204" t="s">
        <v>68</v>
      </c>
      <c r="Z3624" s="204" t="s">
        <v>76</v>
      </c>
      <c r="AA3624" s="204"/>
      <c r="AB3624" s="204"/>
    </row>
    <row r="3625" spans="1:28" ht="63.5" customHeight="1">
      <c r="A3625" s="156" t="str">
        <f>'Reported burning'!A3625</f>
        <v>398a</v>
      </c>
      <c r="B3625" s="156" t="str">
        <f>'Reported burning'!B3625</f>
        <v>398a.3</v>
      </c>
      <c r="C3625" s="156" t="str">
        <f>'Reported burning'!C3625</f>
        <v>Human, escaped</v>
      </c>
      <c r="D3625" s="156" t="str">
        <f>'Reported burning'!D3625</f>
        <v>Pasture renewal</v>
      </c>
      <c r="E3625" s="156" t="str">
        <f>'Reported burning'!E3625</f>
        <v>Cattle, Extensive</v>
      </c>
      <c r="F3625" s="156" t="str">
        <f>'Reported burning'!F3625</f>
        <v>Grassland</v>
      </c>
      <c r="G3625" s="156" t="str">
        <f>'Reported burning'!G3625</f>
        <v>Plantation forest</v>
      </c>
      <c r="H3625" s="156" t="str">
        <f>'Reported burning'!H3625</f>
        <v>Presence</v>
      </c>
      <c r="I3625" s="5"/>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75" t="s">
        <v>2276</v>
      </c>
      <c r="Z3625" s="75" t="s">
        <v>2276</v>
      </c>
      <c r="AA3625" s="204"/>
      <c r="AB3625" s="204"/>
    </row>
    <row r="3626" spans="1:28" ht="63.5" customHeight="1">
      <c r="A3626" s="156" t="str">
        <f>'Reported burning'!A3626</f>
        <v>398a</v>
      </c>
      <c r="B3626" s="156" t="str">
        <f>'Reported burning'!B3626</f>
        <v>398a.4</v>
      </c>
      <c r="C3626" s="156" t="str">
        <f>'Reported burning'!C3626</f>
        <v>Human, escaped</v>
      </c>
      <c r="D3626" s="156" t="str">
        <f>'Reported burning'!D3626</f>
        <v>Crop field preparation</v>
      </c>
      <c r="E3626" s="156" t="str">
        <f>'Reported burning'!E3626</f>
        <v>Cropping, Swidden</v>
      </c>
      <c r="F3626" s="156" t="str">
        <f>'Reported burning'!F3626</f>
        <v>Secondary vegetation</v>
      </c>
      <c r="G3626" s="156" t="str">
        <f>'Reported burning'!G3626</f>
        <v>Plantation forest</v>
      </c>
      <c r="H3626" s="156" t="str">
        <f>'Reported burning'!H3626</f>
        <v>Presence</v>
      </c>
      <c r="I3626" s="5"/>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204"/>
      <c r="AB3626" s="4" t="s">
        <v>9528</v>
      </c>
    </row>
    <row r="3627" spans="1:28" ht="63.5" customHeight="1">
      <c r="A3627" s="156" t="str">
        <f>'Reported burning'!A3627</f>
        <v>398a</v>
      </c>
      <c r="B3627" s="156" t="str">
        <f>'Reported burning'!B3627</f>
        <v>398a.5</v>
      </c>
      <c r="C3627" s="156" t="str">
        <f>'Reported burning'!C3627</f>
        <v>Human, escaped</v>
      </c>
      <c r="D3627" s="156" t="str">
        <f>'Reported burning'!D3627</f>
        <v>Crop residue burning</v>
      </c>
      <c r="E3627" s="156" t="str">
        <f>'Reported burning'!E3627</f>
        <v>Cropping, Swidden</v>
      </c>
      <c r="F3627" s="156" t="str">
        <f>'Reported burning'!F3627</f>
        <v>Cropland</v>
      </c>
      <c r="G3627" s="156" t="str">
        <f>'Reported burning'!G3627</f>
        <v>Plantation forest</v>
      </c>
      <c r="H3627" s="156" t="str">
        <f>'Reported burning'!H3627</f>
        <v>Presence</v>
      </c>
      <c r="I3627" s="5"/>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204"/>
      <c r="AB3627" s="4" t="s">
        <v>9528</v>
      </c>
    </row>
    <row r="3628" spans="1:28" ht="63.5" customHeight="1">
      <c r="A3628" s="156" t="str">
        <f>'Reported burning'!A3628</f>
        <v>398a</v>
      </c>
      <c r="B3628" s="156" t="str">
        <f>'Reported burning'!B3628</f>
        <v>398a.6</v>
      </c>
      <c r="C3628" s="156" t="str">
        <f>'Reported burning'!C3628</f>
        <v>Human, escaped</v>
      </c>
      <c r="D3628" s="156" t="str">
        <f>'Reported burning'!D3628</f>
        <v>Hunting</v>
      </c>
      <c r="E3628" s="156" t="str">
        <f>'Reported burning'!E3628</f>
        <v>Forestry, Traditional</v>
      </c>
      <c r="F3628" s="156" t="str">
        <f>'Reported burning'!F3628</f>
        <v>ND</v>
      </c>
      <c r="G3628" s="156" t="str">
        <f>'Reported burning'!G3628</f>
        <v>Plantation forest</v>
      </c>
      <c r="H3628" s="156" t="str">
        <f>'Reported burning'!H3628</f>
        <v>Presence</v>
      </c>
      <c r="I3628" s="5"/>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204"/>
      <c r="AB3628" s="204"/>
    </row>
    <row r="3629" spans="1:28" ht="63.5" customHeight="1">
      <c r="A3629" s="156" t="str">
        <f>'Reported burning'!A3629</f>
        <v>398a</v>
      </c>
      <c r="B3629" s="156" t="str">
        <f>'Reported burning'!B3629</f>
        <v>398a.7</v>
      </c>
      <c r="C3629" s="156" t="str">
        <f>'Reported burning'!C3629</f>
        <v>Human, escaped</v>
      </c>
      <c r="D3629" s="156" t="str">
        <f>'Reported burning'!D3629</f>
        <v>Charcoal production</v>
      </c>
      <c r="E3629" s="156" t="str">
        <f>'Reported burning'!E3629</f>
        <v>Forestry, Small-scale</v>
      </c>
      <c r="F3629" s="156" t="str">
        <f>'Reported burning'!F3629</f>
        <v>ND</v>
      </c>
      <c r="G3629" s="156" t="str">
        <f>'Reported burning'!G3629</f>
        <v>Plantation forest</v>
      </c>
      <c r="H3629" s="156" t="str">
        <f>'Reported burning'!H3629</f>
        <v>Presence</v>
      </c>
      <c r="I3629" s="5"/>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204"/>
      <c r="AB3629" s="204"/>
    </row>
    <row r="3630" spans="1:28" ht="63.5" customHeight="1">
      <c r="A3630" s="156" t="str">
        <f>'Reported burning'!A3630</f>
        <v>398a</v>
      </c>
      <c r="B3630" s="156" t="str">
        <f>'Reported burning'!B3630</f>
        <v>398a.8</v>
      </c>
      <c r="C3630" s="156" t="str">
        <f>'Reported burning'!C3630</f>
        <v>Human, escaped</v>
      </c>
      <c r="D3630" s="156" t="str">
        <f>'Reported burning'!D3630</f>
        <v>Forest management</v>
      </c>
      <c r="E3630" s="156" t="str">
        <f>'Reported burning'!E3630</f>
        <v>Forestry, Industrial</v>
      </c>
      <c r="F3630" s="156" t="str">
        <f>'Reported burning'!F3630</f>
        <v>Plantation forest</v>
      </c>
      <c r="G3630" s="156" t="str">
        <f>'Reported burning'!G3630</f>
        <v>Plantation forest</v>
      </c>
      <c r="H3630" s="156" t="str">
        <f>'Reported burning'!H3630</f>
        <v>Presence</v>
      </c>
      <c r="I3630" s="5"/>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204"/>
      <c r="AB3630" s="204"/>
    </row>
    <row r="3631" spans="1:28" ht="47.5" customHeight="1">
      <c r="A3631" s="156" t="str">
        <f>'Reported burning'!A3631</f>
        <v>399a</v>
      </c>
      <c r="B3631" s="156" t="str">
        <f>'Reported burning'!B3631</f>
        <v>399a.1</v>
      </c>
      <c r="C3631" s="156" t="str">
        <f>'Reported burning'!C3631</f>
        <v>All</v>
      </c>
      <c r="D3631" s="156" t="str">
        <f>'Reported burning'!D3631</f>
        <v>ND</v>
      </c>
      <c r="E3631" s="156" t="str">
        <f>'Reported burning'!E3631</f>
        <v>ND</v>
      </c>
      <c r="F3631" s="156" t="str">
        <f>'Reported burning'!F3631</f>
        <v>ND</v>
      </c>
      <c r="G3631" s="156" t="str">
        <f>'Reported burning'!G3631</f>
        <v>Plantation forest</v>
      </c>
      <c r="H3631" s="156" t="str">
        <f>'Reported burning'!H3631</f>
        <v>Presence</v>
      </c>
      <c r="I3631" s="5"/>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204"/>
      <c r="AB3631" s="204"/>
    </row>
    <row r="3632" spans="1:28" ht="47.5" customHeight="1">
      <c r="A3632" s="156" t="str">
        <f>'Reported burning'!A3632</f>
        <v>399a</v>
      </c>
      <c r="B3632" s="156" t="str">
        <f>'Reported burning'!B3632</f>
        <v>399a.2</v>
      </c>
      <c r="C3632" s="156" t="str">
        <f>'Reported burning'!C3632</f>
        <v>All</v>
      </c>
      <c r="D3632" s="156" t="str">
        <f>'Reported burning'!D3632</f>
        <v>ND</v>
      </c>
      <c r="E3632" s="156" t="str">
        <f>'Reported burning'!E3632</f>
        <v>ND</v>
      </c>
      <c r="F3632" s="156" t="str">
        <f>'Reported burning'!F3632</f>
        <v>ND</v>
      </c>
      <c r="G3632" s="156" t="str">
        <f>'Reported burning'!G3632</f>
        <v>Cropland</v>
      </c>
      <c r="H3632" s="156" t="str">
        <f>'Reported burning'!H3632</f>
        <v>Presence</v>
      </c>
      <c r="I3632" s="5"/>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204"/>
      <c r="AB3632" s="204"/>
    </row>
    <row r="3633" spans="1:28" ht="47.5" customHeight="1">
      <c r="A3633" s="156" t="str">
        <f>'Reported burning'!A3633</f>
        <v>399a</v>
      </c>
      <c r="B3633" s="156" t="str">
        <f>'Reported burning'!B3633</f>
        <v>399a.3</v>
      </c>
      <c r="C3633" s="156" t="str">
        <f>'Reported burning'!C3633</f>
        <v>All</v>
      </c>
      <c r="D3633" s="156" t="str">
        <f>'Reported burning'!D3633</f>
        <v>ND</v>
      </c>
      <c r="E3633" s="156" t="str">
        <f>'Reported burning'!E3633</f>
        <v>ND</v>
      </c>
      <c r="F3633" s="156" t="str">
        <f>'Reported burning'!F3633</f>
        <v>ND</v>
      </c>
      <c r="G3633" s="156" t="str">
        <f>'Reported burning'!G3633</f>
        <v>Shrubland (Mixed forest &amp; grassland)</v>
      </c>
      <c r="H3633" s="156" t="str">
        <f>'Reported burning'!H3633</f>
        <v>Presence</v>
      </c>
      <c r="I3633" s="5"/>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204" t="s">
        <v>9543</v>
      </c>
      <c r="AB3633" s="204"/>
    </row>
    <row r="3634" spans="1:28" ht="47.5" customHeight="1">
      <c r="A3634" s="156" t="str">
        <f>'Reported burning'!A3634</f>
        <v>399a</v>
      </c>
      <c r="B3634" s="156" t="str">
        <f>'Reported burning'!B3634</f>
        <v>399a.4</v>
      </c>
      <c r="C3634" s="156" t="str">
        <f>'Reported burning'!C3634</f>
        <v>All</v>
      </c>
      <c r="D3634" s="156" t="str">
        <f>'Reported burning'!D3634</f>
        <v>ND</v>
      </c>
      <c r="E3634" s="156" t="str">
        <f>'Reported burning'!E3634</f>
        <v>Unoccupied</v>
      </c>
      <c r="F3634" s="156" t="str">
        <f>'Reported burning'!F3634</f>
        <v>ND</v>
      </c>
      <c r="G3634" s="156" t="str">
        <f>'Reported burning'!G3634</f>
        <v>Forest</v>
      </c>
      <c r="H3634" s="156" t="str">
        <f>'Reported burning'!H3634</f>
        <v>Presence</v>
      </c>
      <c r="I3634" s="5"/>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204"/>
      <c r="AB3634" s="204"/>
    </row>
    <row r="3635" spans="1:28" ht="47.5" customHeight="1">
      <c r="A3635" s="156" t="str">
        <f>'Reported burning'!A3635</f>
        <v>399a</v>
      </c>
      <c r="B3635" s="156" t="str">
        <f>'Reported burning'!B3635</f>
        <v>399a.5</v>
      </c>
      <c r="C3635" s="156" t="str">
        <f>'Reported burning'!C3635</f>
        <v>Human, deliberate</v>
      </c>
      <c r="D3635" s="156" t="str">
        <f>'Reported burning'!D3635</f>
        <v>Forest clearance</v>
      </c>
      <c r="E3635" s="156" t="str">
        <f>'Reported burning'!E3635</f>
        <v>Cropping, Monoculture, Subsistence-oriented</v>
      </c>
      <c r="F3635" s="156" t="str">
        <f>'Reported burning'!F3635</f>
        <v>Forest</v>
      </c>
      <c r="G3635" s="156" t="str">
        <f>'Reported burning'!G3635</f>
        <v>Forest</v>
      </c>
      <c r="H3635" s="156" t="str">
        <f>'Reported burning'!H3635</f>
        <v>Presence</v>
      </c>
      <c r="I3635" s="5"/>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4" t="s">
        <v>9542</v>
      </c>
      <c r="AB3635" s="204"/>
    </row>
    <row r="3636" spans="1:28" ht="47.5" customHeight="1">
      <c r="A3636" s="156" t="str">
        <f>'Reported burning'!A3636</f>
        <v>399a</v>
      </c>
      <c r="B3636" s="156" t="str">
        <f>'Reported burning'!B3636</f>
        <v>399a.6</v>
      </c>
      <c r="C3636" s="156" t="str">
        <f>'Reported burning'!C3636</f>
        <v>Human, deliberate</v>
      </c>
      <c r="D3636" s="156" t="str">
        <f>'Reported burning'!D3636</f>
        <v>Forest clearance</v>
      </c>
      <c r="E3636" s="156" t="str">
        <f>'Reported burning'!E3636</f>
        <v>Cropping, Intensive</v>
      </c>
      <c r="F3636" s="156" t="str">
        <f>'Reported burning'!F3636</f>
        <v>Forest</v>
      </c>
      <c r="G3636" s="156" t="str">
        <f>'Reported burning'!G3636</f>
        <v>Forest</v>
      </c>
      <c r="H3636" s="156" t="str">
        <f>'Reported burning'!H3636</f>
        <v>Presence</v>
      </c>
      <c r="I3636" s="5"/>
      <c r="J3636" s="75" t="s">
        <v>2276</v>
      </c>
      <c r="K3636" s="75" t="s">
        <v>2276</v>
      </c>
      <c r="L3636" s="75" t="s">
        <v>2276</v>
      </c>
      <c r="M3636" s="75" t="s">
        <v>2276</v>
      </c>
      <c r="N3636" s="75" t="s">
        <v>2276</v>
      </c>
      <c r="O3636" s="75" t="s">
        <v>2276</v>
      </c>
      <c r="P3636" s="75" t="s">
        <v>2276</v>
      </c>
      <c r="Q3636" s="75" t="s">
        <v>2276</v>
      </c>
      <c r="R3636" s="75" t="s">
        <v>2276</v>
      </c>
      <c r="S3636" s="75" t="s">
        <v>2276</v>
      </c>
      <c r="T3636" s="75" t="s">
        <v>2276</v>
      </c>
      <c r="U3636" s="75" t="s">
        <v>2276</v>
      </c>
      <c r="V3636" s="75" t="s">
        <v>2276</v>
      </c>
      <c r="W3636" s="75" t="s">
        <v>2276</v>
      </c>
      <c r="X3636" s="75" t="s">
        <v>2276</v>
      </c>
      <c r="Y3636" s="75" t="s">
        <v>2276</v>
      </c>
      <c r="Z3636" s="75" t="s">
        <v>2276</v>
      </c>
      <c r="AA3636" s="203"/>
      <c r="AB3636" s="204"/>
    </row>
    <row r="3637" spans="1:28" ht="47.5" customHeight="1">
      <c r="A3637" s="156" t="str">
        <f>'Reported burning'!A3637</f>
        <v>399a</v>
      </c>
      <c r="B3637" s="156" t="str">
        <f>'Reported burning'!B3637</f>
        <v>399a.6</v>
      </c>
      <c r="C3637" s="156" t="str">
        <f>'Reported burning'!C3637</f>
        <v>Human, deliberate</v>
      </c>
      <c r="D3637" s="156" t="str">
        <f>'Reported burning'!D3637</f>
        <v>Arson</v>
      </c>
      <c r="E3637" s="156" t="str">
        <f>'Reported burning'!E3637</f>
        <v>Cropping, Intensive</v>
      </c>
      <c r="F3637" s="156" t="str">
        <f>'Reported burning'!F3637</f>
        <v>Cropland</v>
      </c>
      <c r="G3637" s="156" t="str">
        <f>'Reported burning'!G3637</f>
        <v>Cropland</v>
      </c>
      <c r="H3637" s="156" t="str">
        <f>'Reported burning'!H3637</f>
        <v>Presence</v>
      </c>
      <c r="I3637" s="5"/>
      <c r="J3637" s="75" t="s">
        <v>2276</v>
      </c>
      <c r="K3637" s="75" t="s">
        <v>2276</v>
      </c>
      <c r="L3637" s="75" t="s">
        <v>2276</v>
      </c>
      <c r="M3637" s="75" t="s">
        <v>2276</v>
      </c>
      <c r="N3637" s="75" t="s">
        <v>2276</v>
      </c>
      <c r="O3637" s="75" t="s">
        <v>2276</v>
      </c>
      <c r="P3637" s="75" t="s">
        <v>2276</v>
      </c>
      <c r="Q3637" s="75" t="s">
        <v>2276</v>
      </c>
      <c r="R3637" s="75" t="s">
        <v>2276</v>
      </c>
      <c r="S3637" s="75" t="s">
        <v>2276</v>
      </c>
      <c r="T3637" s="75" t="s">
        <v>2276</v>
      </c>
      <c r="U3637" s="75" t="s">
        <v>2276</v>
      </c>
      <c r="V3637" s="75" t="s">
        <v>2276</v>
      </c>
      <c r="W3637" s="75" t="s">
        <v>2276</v>
      </c>
      <c r="X3637" s="75" t="s">
        <v>2276</v>
      </c>
      <c r="Y3637" s="75" t="s">
        <v>2276</v>
      </c>
      <c r="Z3637" s="75" t="s">
        <v>2276</v>
      </c>
      <c r="AA3637" s="82" t="s">
        <v>9541</v>
      </c>
      <c r="AB3637" s="204"/>
    </row>
    <row r="3638" spans="1:28" ht="47.5" customHeight="1">
      <c r="A3638" s="156" t="str">
        <f>'Reported burning'!A3638</f>
        <v>399a</v>
      </c>
      <c r="B3638" s="156" t="str">
        <f>'Reported burning'!B3638</f>
        <v>399a.7</v>
      </c>
      <c r="C3638" s="156" t="str">
        <f>'Reported burning'!C3638</f>
        <v>Human, deliberate</v>
      </c>
      <c r="D3638" s="156" t="str">
        <f>'Reported burning'!D3638</f>
        <v>Land clearance</v>
      </c>
      <c r="E3638" s="156" t="str">
        <f>'Reported burning'!E3638</f>
        <v>Cropping, Monoculture, Subsistence-oriented</v>
      </c>
      <c r="F3638" s="156" t="str">
        <f>'Reported burning'!F3638</f>
        <v>Shrubland (Mixed forest &amp; grassland)</v>
      </c>
      <c r="G3638" s="156" t="str">
        <f>'Reported burning'!G3638</f>
        <v>Shrubland (Mixed forest &amp; grassland)</v>
      </c>
      <c r="H3638" s="156" t="str">
        <f>'Reported burning'!H3638</f>
        <v>Presence</v>
      </c>
      <c r="I3638" s="5"/>
      <c r="J3638" s="75" t="s">
        <v>2276</v>
      </c>
      <c r="K3638" s="75" t="s">
        <v>2276</v>
      </c>
      <c r="L3638" s="75" t="s">
        <v>2276</v>
      </c>
      <c r="M3638" s="75" t="s">
        <v>2276</v>
      </c>
      <c r="N3638" s="75" t="s">
        <v>2276</v>
      </c>
      <c r="O3638" s="75" t="s">
        <v>2276</v>
      </c>
      <c r="P3638" s="75" t="s">
        <v>2276</v>
      </c>
      <c r="Q3638" s="75" t="s">
        <v>2276</v>
      </c>
      <c r="R3638" s="75" t="s">
        <v>2276</v>
      </c>
      <c r="S3638" s="75" t="s">
        <v>2276</v>
      </c>
      <c r="T3638" s="75" t="s">
        <v>2276</v>
      </c>
      <c r="U3638" s="75" t="s">
        <v>2276</v>
      </c>
      <c r="V3638" s="75" t="s">
        <v>2276</v>
      </c>
      <c r="W3638" s="75" t="s">
        <v>2276</v>
      </c>
      <c r="X3638" s="75" t="s">
        <v>2276</v>
      </c>
      <c r="Y3638" s="75" t="s">
        <v>2276</v>
      </c>
      <c r="Z3638" s="75" t="s">
        <v>2276</v>
      </c>
      <c r="AA3638" s="4" t="s">
        <v>9545</v>
      </c>
      <c r="AB3638" s="204"/>
    </row>
    <row r="3639" spans="1:28" ht="59" customHeight="1">
      <c r="A3639" s="156" t="str">
        <f>'Reported burning'!A3639</f>
        <v>400a</v>
      </c>
      <c r="B3639" s="156" t="str">
        <f>'Reported burning'!B3639</f>
        <v>400a.1</v>
      </c>
      <c r="C3639" s="156" t="str">
        <f>'Reported burning'!C3639</f>
        <v>All</v>
      </c>
      <c r="D3639" s="156" t="str">
        <f>'Reported burning'!D3639</f>
        <v>ND</v>
      </c>
      <c r="E3639" s="156" t="str">
        <f>'Reported burning'!E3639</f>
        <v>ND</v>
      </c>
      <c r="F3639" s="156" t="str">
        <f>'Reported burning'!F3639</f>
        <v>ND</v>
      </c>
      <c r="G3639" s="156" t="str">
        <f>'Reported burning'!G3639</f>
        <v>Forest</v>
      </c>
      <c r="H3639" s="156" t="str">
        <f>'Reported burning'!H3639</f>
        <v>Presence</v>
      </c>
      <c r="I3639" s="5"/>
      <c r="J3639" s="75" t="s">
        <v>2276</v>
      </c>
      <c r="K3639" s="75" t="s">
        <v>2276</v>
      </c>
      <c r="L3639" s="75" t="s">
        <v>2276</v>
      </c>
      <c r="M3639" s="75" t="s">
        <v>2276</v>
      </c>
      <c r="N3639" s="75" t="s">
        <v>2276</v>
      </c>
      <c r="O3639" s="75" t="s">
        <v>2276</v>
      </c>
      <c r="P3639" s="75" t="s">
        <v>2276</v>
      </c>
      <c r="Q3639" s="75" t="s">
        <v>2276</v>
      </c>
      <c r="R3639" s="75" t="s">
        <v>2276</v>
      </c>
      <c r="S3639" s="75" t="s">
        <v>2276</v>
      </c>
      <c r="T3639" s="75" t="s">
        <v>2276</v>
      </c>
      <c r="U3639" s="75" t="s">
        <v>2276</v>
      </c>
      <c r="V3639" s="241" t="s">
        <v>2276</v>
      </c>
      <c r="W3639" s="75" t="s">
        <v>2276</v>
      </c>
      <c r="X3639" s="75" t="s">
        <v>2276</v>
      </c>
      <c r="Y3639" s="204"/>
      <c r="Z3639" s="204"/>
      <c r="AA3639" s="204"/>
      <c r="AB3639" s="204"/>
    </row>
    <row r="3640" spans="1:28" ht="59" customHeight="1">
      <c r="A3640" s="156" t="str">
        <f>'Reported burning'!A3640</f>
        <v>400a</v>
      </c>
      <c r="B3640" s="156" t="str">
        <f>'Reported burning'!B3640</f>
        <v>400a.2</v>
      </c>
      <c r="C3640" s="156" t="str">
        <f>'Reported burning'!C3640</f>
        <v>All</v>
      </c>
      <c r="D3640" s="156" t="str">
        <f>'Reported burning'!D3640</f>
        <v>ND</v>
      </c>
      <c r="E3640" s="156" t="str">
        <f>'Reported burning'!E3640</f>
        <v>ND</v>
      </c>
      <c r="F3640" s="156" t="str">
        <f>'Reported burning'!F3640</f>
        <v>ND</v>
      </c>
      <c r="G3640" s="156" t="str">
        <f>'Reported burning'!G3640</f>
        <v>Grassland</v>
      </c>
      <c r="H3640" s="156" t="str">
        <f>'Reported burning'!H3640</f>
        <v>Presence</v>
      </c>
      <c r="I3640" s="5"/>
      <c r="J3640" s="75" t="s">
        <v>2276</v>
      </c>
      <c r="K3640" s="75" t="s">
        <v>2276</v>
      </c>
      <c r="L3640" s="75" t="s">
        <v>2276</v>
      </c>
      <c r="M3640" s="75" t="s">
        <v>2276</v>
      </c>
      <c r="N3640" s="75" t="s">
        <v>2276</v>
      </c>
      <c r="O3640" s="75" t="s">
        <v>2276</v>
      </c>
      <c r="P3640" s="75" t="s">
        <v>2276</v>
      </c>
      <c r="Q3640" s="75" t="s">
        <v>2276</v>
      </c>
      <c r="R3640" s="75" t="s">
        <v>2276</v>
      </c>
      <c r="S3640" s="75" t="s">
        <v>2276</v>
      </c>
      <c r="T3640" s="75" t="s">
        <v>2276</v>
      </c>
      <c r="U3640" s="75" t="s">
        <v>2276</v>
      </c>
      <c r="V3640" s="241" t="s">
        <v>2276</v>
      </c>
      <c r="W3640" s="75" t="s">
        <v>2276</v>
      </c>
      <c r="X3640" s="75" t="s">
        <v>2276</v>
      </c>
      <c r="Y3640" s="204"/>
      <c r="Z3640" s="204"/>
      <c r="AA3640" s="204"/>
      <c r="AB3640" s="204"/>
    </row>
    <row r="3641" spans="1:28" ht="59" customHeight="1">
      <c r="A3641" s="156" t="str">
        <f>'Reported burning'!A3641</f>
        <v>400a</v>
      </c>
      <c r="B3641" s="156" t="str">
        <f>'Reported burning'!B3641</f>
        <v>400a.3</v>
      </c>
      <c r="C3641" s="156" t="str">
        <f>'Reported burning'!C3641</f>
        <v>All</v>
      </c>
      <c r="D3641" s="156" t="str">
        <f>'Reported burning'!D3641</f>
        <v>ND</v>
      </c>
      <c r="E3641" s="156" t="str">
        <f>'Reported burning'!E3641</f>
        <v>ND</v>
      </c>
      <c r="F3641" s="156" t="str">
        <f>'Reported burning'!F3641</f>
        <v>ND</v>
      </c>
      <c r="G3641" s="156" t="str">
        <f>'Reported burning'!G3641</f>
        <v>Plantation forest</v>
      </c>
      <c r="H3641" s="156" t="str">
        <f>'Reported burning'!H3641</f>
        <v>Presence</v>
      </c>
      <c r="I3641" s="5"/>
      <c r="J3641" s="75" t="s">
        <v>2276</v>
      </c>
      <c r="K3641" s="75" t="s">
        <v>2276</v>
      </c>
      <c r="L3641" s="75" t="s">
        <v>2276</v>
      </c>
      <c r="M3641" s="75" t="s">
        <v>2276</v>
      </c>
      <c r="N3641" s="75" t="s">
        <v>2276</v>
      </c>
      <c r="O3641" s="75" t="s">
        <v>2276</v>
      </c>
      <c r="P3641" s="75" t="s">
        <v>2276</v>
      </c>
      <c r="Q3641" s="75" t="s">
        <v>2276</v>
      </c>
      <c r="R3641" s="75" t="s">
        <v>2276</v>
      </c>
      <c r="S3641" s="75" t="s">
        <v>2276</v>
      </c>
      <c r="T3641" s="75" t="s">
        <v>2276</v>
      </c>
      <c r="U3641" s="75" t="s">
        <v>2276</v>
      </c>
      <c r="V3641" s="241" t="s">
        <v>2276</v>
      </c>
      <c r="W3641" s="75" t="s">
        <v>2276</v>
      </c>
      <c r="X3641" s="75" t="s">
        <v>2276</v>
      </c>
      <c r="Y3641" s="204"/>
      <c r="Z3641" s="204"/>
      <c r="AA3641" s="204"/>
      <c r="AB3641" s="204"/>
    </row>
    <row r="3642" spans="1:28" ht="59" customHeight="1">
      <c r="A3642" s="156" t="str">
        <f>'Reported burning'!A3642</f>
        <v>400a</v>
      </c>
      <c r="B3642" s="156" t="str">
        <f>'Reported burning'!B3642</f>
        <v>400a.4</v>
      </c>
      <c r="C3642" s="156" t="str">
        <f>'Reported burning'!C3642</f>
        <v>All</v>
      </c>
      <c r="D3642" s="156" t="str">
        <f>'Reported burning'!D3642</f>
        <v>ND</v>
      </c>
      <c r="E3642" s="156" t="str">
        <f>'Reported burning'!E3642</f>
        <v>Cropping, Swidden</v>
      </c>
      <c r="F3642" s="156" t="str">
        <f>'Reported burning'!F3642</f>
        <v>ND</v>
      </c>
      <c r="G3642" s="156" t="str">
        <f>'Reported burning'!G3642</f>
        <v>Cropland</v>
      </c>
      <c r="H3642" s="156" t="str">
        <f>'Reported burning'!H3642</f>
        <v>Presence</v>
      </c>
      <c r="I3642" s="5"/>
      <c r="J3642" s="75" t="s">
        <v>2276</v>
      </c>
      <c r="K3642" s="75" t="s">
        <v>2276</v>
      </c>
      <c r="L3642" s="75" t="s">
        <v>2276</v>
      </c>
      <c r="M3642" s="75" t="s">
        <v>2276</v>
      </c>
      <c r="N3642" s="75" t="s">
        <v>2276</v>
      </c>
      <c r="O3642" s="75" t="s">
        <v>2276</v>
      </c>
      <c r="P3642" s="75" t="s">
        <v>2276</v>
      </c>
      <c r="Q3642" s="75" t="s">
        <v>2276</v>
      </c>
      <c r="R3642" s="75" t="s">
        <v>2276</v>
      </c>
      <c r="S3642" s="75" t="s">
        <v>2276</v>
      </c>
      <c r="T3642" s="75" t="s">
        <v>2276</v>
      </c>
      <c r="U3642" s="75" t="s">
        <v>2276</v>
      </c>
      <c r="V3642" s="241" t="s">
        <v>2276</v>
      </c>
      <c r="W3642" s="75" t="s">
        <v>2276</v>
      </c>
      <c r="X3642" s="75" t="s">
        <v>2276</v>
      </c>
      <c r="Y3642" s="204"/>
      <c r="Z3642" s="204"/>
      <c r="AA3642" s="204"/>
      <c r="AB3642" s="204"/>
    </row>
    <row r="3643" spans="1:28" ht="59" customHeight="1">
      <c r="A3643" s="156" t="str">
        <f>'Reported burning'!A3643</f>
        <v>400a</v>
      </c>
      <c r="B3643" s="156" t="str">
        <f>'Reported burning'!B3643</f>
        <v>400a.5</v>
      </c>
      <c r="C3643" s="156" t="str">
        <f>'Reported burning'!C3643</f>
        <v>All</v>
      </c>
      <c r="D3643" s="156" t="str">
        <f>'Reported burning'!D3643</f>
        <v>ND</v>
      </c>
      <c r="E3643" s="156" t="str">
        <f>'Reported burning'!E3643</f>
        <v>Cropping, Intensive</v>
      </c>
      <c r="F3643" s="156" t="str">
        <f>'Reported burning'!F3643</f>
        <v>ND</v>
      </c>
      <c r="G3643" s="156" t="str">
        <f>'Reported burning'!G3643</f>
        <v>Cropland</v>
      </c>
      <c r="H3643" s="156" t="str">
        <f>'Reported burning'!H3643</f>
        <v>Presence</v>
      </c>
      <c r="I3643" s="5"/>
      <c r="J3643" s="75" t="s">
        <v>2276</v>
      </c>
      <c r="K3643" s="75" t="s">
        <v>2276</v>
      </c>
      <c r="L3643" s="75" t="s">
        <v>2276</v>
      </c>
      <c r="M3643" s="75" t="s">
        <v>2276</v>
      </c>
      <c r="N3643" s="75" t="s">
        <v>2276</v>
      </c>
      <c r="O3643" s="75" t="s">
        <v>2276</v>
      </c>
      <c r="P3643" s="75" t="s">
        <v>2276</v>
      </c>
      <c r="Q3643" s="75" t="s">
        <v>2276</v>
      </c>
      <c r="R3643" s="75" t="s">
        <v>2276</v>
      </c>
      <c r="S3643" s="75" t="s">
        <v>2276</v>
      </c>
      <c r="T3643" s="75" t="s">
        <v>2276</v>
      </c>
      <c r="U3643" s="75" t="s">
        <v>2276</v>
      </c>
      <c r="V3643" s="241" t="s">
        <v>2276</v>
      </c>
      <c r="W3643" s="75" t="s">
        <v>2276</v>
      </c>
      <c r="X3643" s="75" t="s">
        <v>2276</v>
      </c>
      <c r="Y3643" s="204"/>
      <c r="Z3643" s="204"/>
      <c r="AA3643" s="204"/>
      <c r="AB3643" s="204"/>
    </row>
    <row r="3644" spans="1:28" s="203" customFormat="1" ht="59" customHeight="1">
      <c r="A3644" s="156" t="str">
        <f>'Reported burning'!A3644</f>
        <v>400b</v>
      </c>
      <c r="B3644" s="156" t="str">
        <f>'Reported burning'!B3644</f>
        <v>400b.1</v>
      </c>
      <c r="C3644" s="156" t="str">
        <f>'Reported burning'!C3644</f>
        <v>All</v>
      </c>
      <c r="D3644" s="156" t="str">
        <f>'Reported burning'!D3644</f>
        <v>ND</v>
      </c>
      <c r="E3644" s="156" t="str">
        <f>'Reported burning'!E3644</f>
        <v>ND</v>
      </c>
      <c r="F3644" s="156" t="str">
        <f>'Reported burning'!F3644</f>
        <v>ND</v>
      </c>
      <c r="G3644" s="156" t="str">
        <f>'Reported burning'!G3644</f>
        <v>Forest</v>
      </c>
      <c r="H3644" s="156" t="str">
        <f>'Reported burning'!H3644</f>
        <v>Presence</v>
      </c>
      <c r="I3644" s="5"/>
      <c r="J3644" s="75" t="s">
        <v>2276</v>
      </c>
      <c r="K3644" s="75" t="s">
        <v>2276</v>
      </c>
      <c r="L3644" s="75" t="s">
        <v>2276</v>
      </c>
      <c r="M3644" s="75" t="s">
        <v>2276</v>
      </c>
      <c r="N3644" s="75" t="s">
        <v>2276</v>
      </c>
      <c r="O3644" s="75" t="s">
        <v>2276</v>
      </c>
      <c r="P3644" s="75" t="s">
        <v>2276</v>
      </c>
      <c r="Q3644" s="75" t="s">
        <v>2276</v>
      </c>
      <c r="R3644" s="75" t="s">
        <v>2276</v>
      </c>
      <c r="S3644" s="75" t="s">
        <v>2276</v>
      </c>
      <c r="T3644" s="75" t="s">
        <v>2276</v>
      </c>
      <c r="U3644" s="75" t="s">
        <v>2276</v>
      </c>
      <c r="V3644" s="241" t="s">
        <v>2276</v>
      </c>
      <c r="W3644" s="75" t="s">
        <v>2276</v>
      </c>
      <c r="X3644" s="75" t="s">
        <v>2276</v>
      </c>
      <c r="Y3644" s="204"/>
      <c r="Z3644" s="204"/>
      <c r="AA3644" s="204"/>
      <c r="AB3644" s="204"/>
    </row>
    <row r="3645" spans="1:28" s="203" customFormat="1" ht="59" customHeight="1">
      <c r="A3645" s="156" t="str">
        <f>'Reported burning'!A3645</f>
        <v>400b</v>
      </c>
      <c r="B3645" s="156" t="str">
        <f>'Reported burning'!B3645</f>
        <v>400b.2</v>
      </c>
      <c r="C3645" s="156" t="str">
        <f>'Reported burning'!C3645</f>
        <v>All</v>
      </c>
      <c r="D3645" s="156" t="str">
        <f>'Reported burning'!D3645</f>
        <v>ND</v>
      </c>
      <c r="E3645" s="156" t="str">
        <f>'Reported burning'!E3645</f>
        <v>ND</v>
      </c>
      <c r="F3645" s="156" t="str">
        <f>'Reported burning'!F3645</f>
        <v>ND</v>
      </c>
      <c r="G3645" s="156" t="str">
        <f>'Reported burning'!G3645</f>
        <v>Grassland</v>
      </c>
      <c r="H3645" s="156" t="str">
        <f>'Reported burning'!H3645</f>
        <v>Presence</v>
      </c>
      <c r="I3645" s="5"/>
      <c r="J3645" s="75" t="s">
        <v>2276</v>
      </c>
      <c r="K3645" s="75" t="s">
        <v>2276</v>
      </c>
      <c r="L3645" s="75" t="s">
        <v>2276</v>
      </c>
      <c r="M3645" s="75" t="s">
        <v>2276</v>
      </c>
      <c r="N3645" s="75" t="s">
        <v>2276</v>
      </c>
      <c r="O3645" s="75" t="s">
        <v>2276</v>
      </c>
      <c r="P3645" s="75" t="s">
        <v>2276</v>
      </c>
      <c r="Q3645" s="75" t="s">
        <v>2276</v>
      </c>
      <c r="R3645" s="75" t="s">
        <v>2276</v>
      </c>
      <c r="S3645" s="75" t="s">
        <v>2276</v>
      </c>
      <c r="T3645" s="75" t="s">
        <v>2276</v>
      </c>
      <c r="U3645" s="75" t="s">
        <v>2276</v>
      </c>
      <c r="V3645" s="241" t="s">
        <v>2276</v>
      </c>
      <c r="W3645" s="75" t="s">
        <v>2276</v>
      </c>
      <c r="X3645" s="75" t="s">
        <v>2276</v>
      </c>
      <c r="Y3645" s="204"/>
      <c r="Z3645" s="204"/>
      <c r="AA3645" s="204"/>
      <c r="AB3645" s="204"/>
    </row>
    <row r="3646" spans="1:28" s="203" customFormat="1" ht="59" customHeight="1">
      <c r="A3646" s="156" t="str">
        <f>'Reported burning'!A3646</f>
        <v>400b</v>
      </c>
      <c r="B3646" s="156" t="str">
        <f>'Reported burning'!B3646</f>
        <v>400b.3</v>
      </c>
      <c r="C3646" s="156" t="str">
        <f>'Reported burning'!C3646</f>
        <v>All</v>
      </c>
      <c r="D3646" s="156" t="str">
        <f>'Reported burning'!D3646</f>
        <v>ND</v>
      </c>
      <c r="E3646" s="156" t="str">
        <f>'Reported burning'!E3646</f>
        <v>ND</v>
      </c>
      <c r="F3646" s="156" t="str">
        <f>'Reported burning'!F3646</f>
        <v>ND</v>
      </c>
      <c r="G3646" s="156" t="str">
        <f>'Reported burning'!G3646</f>
        <v>Plantation forest</v>
      </c>
      <c r="H3646" s="156" t="str">
        <f>'Reported burning'!H3646</f>
        <v>Presence</v>
      </c>
      <c r="I3646" s="5"/>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241" t="s">
        <v>2276</v>
      </c>
      <c r="W3646" s="75" t="s">
        <v>2276</v>
      </c>
      <c r="X3646" s="75" t="s">
        <v>2276</v>
      </c>
      <c r="Y3646" s="204"/>
      <c r="Z3646" s="204"/>
      <c r="AA3646" s="204"/>
      <c r="AB3646" s="204"/>
    </row>
    <row r="3647" spans="1:28" s="203" customFormat="1" ht="59" customHeight="1">
      <c r="A3647" s="156" t="str">
        <f>'Reported burning'!A3647</f>
        <v>400b</v>
      </c>
      <c r="B3647" s="156" t="str">
        <f>'Reported burning'!B3647</f>
        <v>400b.4</v>
      </c>
      <c r="C3647" s="156" t="str">
        <f>'Reported burning'!C3647</f>
        <v>All</v>
      </c>
      <c r="D3647" s="156" t="str">
        <f>'Reported burning'!D3647</f>
        <v>ND</v>
      </c>
      <c r="E3647" s="156" t="str">
        <f>'Reported burning'!E3647</f>
        <v>Cropping, Swidden</v>
      </c>
      <c r="F3647" s="156" t="str">
        <f>'Reported burning'!F3647</f>
        <v>ND</v>
      </c>
      <c r="G3647" s="156" t="str">
        <f>'Reported burning'!G3647</f>
        <v>Cropland</v>
      </c>
      <c r="H3647" s="156" t="str">
        <f>'Reported burning'!H3647</f>
        <v>Presence</v>
      </c>
      <c r="I3647" s="5"/>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241" t="s">
        <v>2276</v>
      </c>
      <c r="W3647" s="75" t="s">
        <v>2276</v>
      </c>
      <c r="X3647" s="75" t="s">
        <v>2276</v>
      </c>
      <c r="Y3647" s="204"/>
      <c r="Z3647" s="204"/>
      <c r="AA3647" s="204"/>
      <c r="AB3647" s="204"/>
    </row>
    <row r="3648" spans="1:28" s="203" customFormat="1" ht="59" customHeight="1">
      <c r="A3648" s="156" t="str">
        <f>'Reported burning'!A3648</f>
        <v>400b</v>
      </c>
      <c r="B3648" s="156" t="str">
        <f>'Reported burning'!B3648</f>
        <v>400b.5</v>
      </c>
      <c r="C3648" s="156" t="str">
        <f>'Reported burning'!C3648</f>
        <v>All</v>
      </c>
      <c r="D3648" s="156" t="str">
        <f>'Reported burning'!D3648</f>
        <v>ND</v>
      </c>
      <c r="E3648" s="156" t="str">
        <f>'Reported burning'!E3648</f>
        <v>Cropping, Intensive</v>
      </c>
      <c r="F3648" s="156" t="str">
        <f>'Reported burning'!F3648</f>
        <v>ND</v>
      </c>
      <c r="G3648" s="156" t="str">
        <f>'Reported burning'!G3648</f>
        <v>Cropland</v>
      </c>
      <c r="H3648" s="156" t="str">
        <f>'Reported burning'!H3648</f>
        <v>Presence</v>
      </c>
      <c r="I3648" s="5"/>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241" t="s">
        <v>2276</v>
      </c>
      <c r="W3648" s="75" t="s">
        <v>2276</v>
      </c>
      <c r="X3648" s="75" t="s">
        <v>2276</v>
      </c>
      <c r="Y3648" s="204"/>
      <c r="Z3648" s="204"/>
      <c r="AA3648" s="204"/>
      <c r="AB3648" s="204"/>
    </row>
    <row r="3649" spans="1:28" s="203" customFormat="1" ht="59" customHeight="1">
      <c r="A3649" s="156" t="str">
        <f>'Reported burning'!A3649</f>
        <v>400c</v>
      </c>
      <c r="B3649" s="156" t="str">
        <f>'Reported burning'!B3649</f>
        <v>400c.1</v>
      </c>
      <c r="C3649" s="156" t="str">
        <f>'Reported burning'!C3649</f>
        <v>All</v>
      </c>
      <c r="D3649" s="156" t="str">
        <f>'Reported burning'!D3649</f>
        <v>ND</v>
      </c>
      <c r="E3649" s="156" t="str">
        <f>'Reported burning'!E3649</f>
        <v>ND</v>
      </c>
      <c r="F3649" s="156" t="str">
        <f>'Reported burning'!F3649</f>
        <v>ND</v>
      </c>
      <c r="G3649" s="156" t="str">
        <f>'Reported burning'!G3649</f>
        <v>Forest</v>
      </c>
      <c r="H3649" s="156" t="str">
        <f>'Reported burning'!H3649</f>
        <v>Presence</v>
      </c>
      <c r="I3649" s="5"/>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241" t="s">
        <v>2276</v>
      </c>
      <c r="W3649" s="75" t="s">
        <v>2276</v>
      </c>
      <c r="X3649" s="75" t="s">
        <v>2276</v>
      </c>
      <c r="Y3649" s="204"/>
      <c r="Z3649" s="204"/>
      <c r="AA3649" s="204"/>
      <c r="AB3649" s="204"/>
    </row>
    <row r="3650" spans="1:28" s="203" customFormat="1" ht="59" customHeight="1">
      <c r="A3650" s="156" t="str">
        <f>'Reported burning'!A3650</f>
        <v>400c</v>
      </c>
      <c r="B3650" s="156" t="str">
        <f>'Reported burning'!B3650</f>
        <v>400c.2</v>
      </c>
      <c r="C3650" s="156" t="str">
        <f>'Reported burning'!C3650</f>
        <v>All</v>
      </c>
      <c r="D3650" s="156" t="str">
        <f>'Reported burning'!D3650</f>
        <v>ND</v>
      </c>
      <c r="E3650" s="156" t="str">
        <f>'Reported burning'!E3650</f>
        <v>ND</v>
      </c>
      <c r="F3650" s="156" t="str">
        <f>'Reported burning'!F3650</f>
        <v>ND</v>
      </c>
      <c r="G3650" s="156" t="str">
        <f>'Reported burning'!G3650</f>
        <v>Grassland</v>
      </c>
      <c r="H3650" s="156" t="str">
        <f>'Reported burning'!H3650</f>
        <v>Presence</v>
      </c>
      <c r="I3650" s="5"/>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241" t="s">
        <v>2276</v>
      </c>
      <c r="W3650" s="75" t="s">
        <v>2276</v>
      </c>
      <c r="X3650" s="75" t="s">
        <v>2276</v>
      </c>
      <c r="Y3650" s="204"/>
      <c r="Z3650" s="204"/>
      <c r="AA3650" s="204"/>
      <c r="AB3650" s="204"/>
    </row>
    <row r="3651" spans="1:28" s="203" customFormat="1" ht="59" customHeight="1">
      <c r="A3651" s="156" t="str">
        <f>'Reported burning'!A3651</f>
        <v>400c</v>
      </c>
      <c r="B3651" s="156" t="str">
        <f>'Reported burning'!B3651</f>
        <v>400c.3</v>
      </c>
      <c r="C3651" s="156" t="str">
        <f>'Reported burning'!C3651</f>
        <v>All</v>
      </c>
      <c r="D3651" s="156" t="str">
        <f>'Reported burning'!D3651</f>
        <v>ND</v>
      </c>
      <c r="E3651" s="156" t="str">
        <f>'Reported burning'!E3651</f>
        <v>ND</v>
      </c>
      <c r="F3651" s="156" t="str">
        <f>'Reported burning'!F3651</f>
        <v>ND</v>
      </c>
      <c r="G3651" s="156" t="str">
        <f>'Reported burning'!G3651</f>
        <v>Plantation forest</v>
      </c>
      <c r="H3651" s="156" t="str">
        <f>'Reported burning'!H3651</f>
        <v>Absence</v>
      </c>
      <c r="I3651" s="5"/>
      <c r="J3651" s="14" t="s">
        <v>2364</v>
      </c>
      <c r="K3651" s="14" t="s">
        <v>2364</v>
      </c>
      <c r="L3651" s="14" t="s">
        <v>2364</v>
      </c>
      <c r="M3651" s="14" t="s">
        <v>2364</v>
      </c>
      <c r="N3651" s="14" t="s">
        <v>2364</v>
      </c>
      <c r="O3651" s="14" t="s">
        <v>2364</v>
      </c>
      <c r="P3651" s="14" t="s">
        <v>2364</v>
      </c>
      <c r="Q3651" s="14" t="s">
        <v>2364</v>
      </c>
      <c r="R3651" s="14" t="s">
        <v>2364</v>
      </c>
      <c r="S3651" s="14" t="s">
        <v>2364</v>
      </c>
      <c r="T3651" s="14" t="s">
        <v>2364</v>
      </c>
      <c r="U3651" s="14" t="s">
        <v>2364</v>
      </c>
      <c r="V3651" s="14" t="s">
        <v>2364</v>
      </c>
      <c r="W3651" s="75" t="s">
        <v>2276</v>
      </c>
      <c r="X3651" s="75" t="s">
        <v>2276</v>
      </c>
      <c r="Y3651" s="75" t="s">
        <v>2276</v>
      </c>
      <c r="Z3651" s="204"/>
      <c r="AA3651" s="204"/>
      <c r="AB3651" s="204"/>
    </row>
    <row r="3652" spans="1:28" s="203" customFormat="1" ht="59" customHeight="1">
      <c r="A3652" s="156" t="str">
        <f>'Reported burning'!A3652</f>
        <v>400c</v>
      </c>
      <c r="B3652" s="156" t="str">
        <f>'Reported burning'!B3652</f>
        <v>400c.4</v>
      </c>
      <c r="C3652" s="156" t="str">
        <f>'Reported burning'!C3652</f>
        <v>All</v>
      </c>
      <c r="D3652" s="156" t="str">
        <f>'Reported burning'!D3652</f>
        <v>ND</v>
      </c>
      <c r="E3652" s="156" t="str">
        <f>'Reported burning'!E3652</f>
        <v>Cropping, Swidden</v>
      </c>
      <c r="F3652" s="156" t="str">
        <f>'Reported burning'!F3652</f>
        <v>ND</v>
      </c>
      <c r="G3652" s="156" t="str">
        <f>'Reported burning'!G3652</f>
        <v>Cropland</v>
      </c>
      <c r="H3652" s="156" t="str">
        <f>'Reported burning'!H3652</f>
        <v>Presence</v>
      </c>
      <c r="I3652" s="5"/>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241" t="s">
        <v>2276</v>
      </c>
      <c r="W3652" s="75" t="s">
        <v>2276</v>
      </c>
      <c r="X3652" s="75" t="s">
        <v>2276</v>
      </c>
      <c r="Y3652" s="75" t="s">
        <v>2276</v>
      </c>
      <c r="Z3652" s="204"/>
      <c r="AA3652" s="204"/>
      <c r="AB3652" s="204"/>
    </row>
    <row r="3653" spans="1:28" s="203" customFormat="1" ht="59" customHeight="1">
      <c r="A3653" s="156" t="str">
        <f>'Reported burning'!A3653</f>
        <v>400c</v>
      </c>
      <c r="B3653" s="156" t="str">
        <f>'Reported burning'!B3653</f>
        <v>400c.5</v>
      </c>
      <c r="C3653" s="156" t="str">
        <f>'Reported burning'!C3653</f>
        <v>All</v>
      </c>
      <c r="D3653" s="156" t="str">
        <f>'Reported burning'!D3653</f>
        <v>ND</v>
      </c>
      <c r="E3653" s="156" t="str">
        <f>'Reported burning'!E3653</f>
        <v>Cropping, Intensive</v>
      </c>
      <c r="F3653" s="156" t="str">
        <f>'Reported burning'!F3653</f>
        <v>ND</v>
      </c>
      <c r="G3653" s="156" t="str">
        <f>'Reported burning'!G3653</f>
        <v>Cropland</v>
      </c>
      <c r="H3653" s="156" t="str">
        <f>'Reported burning'!H3653</f>
        <v>Absence</v>
      </c>
      <c r="I3653" s="5"/>
      <c r="J3653" s="14" t="s">
        <v>2364</v>
      </c>
      <c r="K3653" s="14" t="s">
        <v>2364</v>
      </c>
      <c r="L3653" s="14" t="s">
        <v>2364</v>
      </c>
      <c r="M3653" s="14" t="s">
        <v>2364</v>
      </c>
      <c r="N3653" s="14" t="s">
        <v>2364</v>
      </c>
      <c r="O3653" s="14" t="s">
        <v>2364</v>
      </c>
      <c r="P3653" s="14" t="s">
        <v>2364</v>
      </c>
      <c r="Q3653" s="14" t="s">
        <v>2364</v>
      </c>
      <c r="R3653" s="14" t="s">
        <v>2364</v>
      </c>
      <c r="S3653" s="14" t="s">
        <v>2364</v>
      </c>
      <c r="T3653" s="14" t="s">
        <v>2364</v>
      </c>
      <c r="U3653" s="14" t="s">
        <v>2364</v>
      </c>
      <c r="V3653" s="14" t="s">
        <v>2364</v>
      </c>
      <c r="W3653" s="75" t="s">
        <v>2276</v>
      </c>
      <c r="X3653" s="75" t="s">
        <v>2276</v>
      </c>
      <c r="Y3653" s="75" t="s">
        <v>2276</v>
      </c>
      <c r="Z3653" s="204"/>
      <c r="AA3653" s="204"/>
      <c r="AB3653" s="204"/>
    </row>
    <row r="3654" spans="1:28" s="203" customFormat="1" ht="59" customHeight="1">
      <c r="A3654" s="156" t="str">
        <f>'Reported burning'!A3654</f>
        <v>400d</v>
      </c>
      <c r="B3654" s="156" t="str">
        <f>'Reported burning'!B3654</f>
        <v>400d.1</v>
      </c>
      <c r="C3654" s="156" t="str">
        <f>'Reported burning'!C3654</f>
        <v>All</v>
      </c>
      <c r="D3654" s="156" t="str">
        <f>'Reported burning'!D3654</f>
        <v>ND</v>
      </c>
      <c r="E3654" s="156" t="str">
        <f>'Reported burning'!E3654</f>
        <v>ND</v>
      </c>
      <c r="F3654" s="156" t="str">
        <f>'Reported burning'!F3654</f>
        <v>ND</v>
      </c>
      <c r="G3654" s="156" t="str">
        <f>'Reported burning'!G3654</f>
        <v>Forest</v>
      </c>
      <c r="H3654" s="156" t="str">
        <f>'Reported burning'!H3654</f>
        <v>Presence</v>
      </c>
      <c r="I3654" s="5"/>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241" t="s">
        <v>2276</v>
      </c>
      <c r="W3654" s="75" t="s">
        <v>2276</v>
      </c>
      <c r="X3654" s="75" t="s">
        <v>2276</v>
      </c>
      <c r="Y3654" s="75" t="s">
        <v>2276</v>
      </c>
      <c r="Z3654" s="204"/>
      <c r="AA3654" s="204"/>
      <c r="AB3654" s="204"/>
    </row>
    <row r="3655" spans="1:28" s="203" customFormat="1" ht="59" customHeight="1">
      <c r="A3655" s="156" t="str">
        <f>'Reported burning'!A3655</f>
        <v>400d</v>
      </c>
      <c r="B3655" s="156" t="str">
        <f>'Reported burning'!B3655</f>
        <v>400d.2</v>
      </c>
      <c r="C3655" s="156" t="str">
        <f>'Reported burning'!C3655</f>
        <v>All</v>
      </c>
      <c r="D3655" s="156" t="str">
        <f>'Reported burning'!D3655</f>
        <v>ND</v>
      </c>
      <c r="E3655" s="156" t="str">
        <f>'Reported burning'!E3655</f>
        <v>ND</v>
      </c>
      <c r="F3655" s="156" t="str">
        <f>'Reported burning'!F3655</f>
        <v>ND</v>
      </c>
      <c r="G3655" s="156" t="str">
        <f>'Reported burning'!G3655</f>
        <v>Grassland</v>
      </c>
      <c r="H3655" s="156" t="str">
        <f>'Reported burning'!H3655</f>
        <v>Absence</v>
      </c>
      <c r="I3655" s="5"/>
      <c r="J3655" s="14" t="s">
        <v>2364</v>
      </c>
      <c r="K3655" s="14" t="s">
        <v>2364</v>
      </c>
      <c r="L3655" s="14" t="s">
        <v>2364</v>
      </c>
      <c r="M3655" s="14" t="s">
        <v>2364</v>
      </c>
      <c r="N3655" s="14" t="s">
        <v>2364</v>
      </c>
      <c r="O3655" s="14" t="s">
        <v>2364</v>
      </c>
      <c r="P3655" s="14" t="s">
        <v>2364</v>
      </c>
      <c r="Q3655" s="14" t="s">
        <v>2364</v>
      </c>
      <c r="R3655" s="14" t="s">
        <v>2364</v>
      </c>
      <c r="S3655" s="14" t="s">
        <v>2364</v>
      </c>
      <c r="T3655" s="14" t="s">
        <v>2364</v>
      </c>
      <c r="U3655" s="14" t="s">
        <v>2364</v>
      </c>
      <c r="V3655" s="14" t="s">
        <v>2364</v>
      </c>
      <c r="W3655" s="75" t="s">
        <v>2276</v>
      </c>
      <c r="X3655" s="75" t="s">
        <v>2276</v>
      </c>
      <c r="Y3655" s="75" t="s">
        <v>2276</v>
      </c>
      <c r="Z3655" s="204"/>
      <c r="AA3655" s="204"/>
      <c r="AB3655" s="204"/>
    </row>
    <row r="3656" spans="1:28" s="203" customFormat="1" ht="59" customHeight="1">
      <c r="A3656" s="156" t="str">
        <f>'Reported burning'!A3656</f>
        <v>400d</v>
      </c>
      <c r="B3656" s="156" t="str">
        <f>'Reported burning'!B3656</f>
        <v>400d.3</v>
      </c>
      <c r="C3656" s="156" t="str">
        <f>'Reported burning'!C3656</f>
        <v>All</v>
      </c>
      <c r="D3656" s="156" t="str">
        <f>'Reported burning'!D3656</f>
        <v>ND</v>
      </c>
      <c r="E3656" s="156" t="str">
        <f>'Reported burning'!E3656</f>
        <v>ND</v>
      </c>
      <c r="F3656" s="156" t="str">
        <f>'Reported burning'!F3656</f>
        <v>ND</v>
      </c>
      <c r="G3656" s="156" t="str">
        <f>'Reported burning'!G3656</f>
        <v>Plantation forest</v>
      </c>
      <c r="H3656" s="156" t="str">
        <f>'Reported burning'!H3656</f>
        <v>Absence</v>
      </c>
      <c r="I3656" s="5"/>
      <c r="J3656" s="14" t="s">
        <v>2364</v>
      </c>
      <c r="K3656" s="14" t="s">
        <v>2364</v>
      </c>
      <c r="L3656" s="14" t="s">
        <v>2364</v>
      </c>
      <c r="M3656" s="14" t="s">
        <v>2364</v>
      </c>
      <c r="N3656" s="14" t="s">
        <v>2364</v>
      </c>
      <c r="O3656" s="14" t="s">
        <v>2364</v>
      </c>
      <c r="P3656" s="14" t="s">
        <v>2364</v>
      </c>
      <c r="Q3656" s="14" t="s">
        <v>2364</v>
      </c>
      <c r="R3656" s="14" t="s">
        <v>2364</v>
      </c>
      <c r="S3656" s="14" t="s">
        <v>2364</v>
      </c>
      <c r="T3656" s="14" t="s">
        <v>2364</v>
      </c>
      <c r="U3656" s="14" t="s">
        <v>2364</v>
      </c>
      <c r="V3656" s="14" t="s">
        <v>2364</v>
      </c>
      <c r="W3656" s="75" t="s">
        <v>2276</v>
      </c>
      <c r="X3656" s="75" t="s">
        <v>2276</v>
      </c>
      <c r="Y3656" s="75" t="s">
        <v>2276</v>
      </c>
      <c r="Z3656" s="204"/>
      <c r="AA3656" s="204"/>
      <c r="AB3656" s="204"/>
    </row>
    <row r="3657" spans="1:28" s="203" customFormat="1" ht="59" customHeight="1">
      <c r="A3657" s="156" t="str">
        <f>'Reported burning'!A3657</f>
        <v>400d</v>
      </c>
      <c r="B3657" s="156" t="str">
        <f>'Reported burning'!B3657</f>
        <v>400d.4</v>
      </c>
      <c r="C3657" s="156" t="str">
        <f>'Reported burning'!C3657</f>
        <v>All</v>
      </c>
      <c r="D3657" s="156" t="str">
        <f>'Reported burning'!D3657</f>
        <v>ND</v>
      </c>
      <c r="E3657" s="156" t="str">
        <f>'Reported burning'!E3657</f>
        <v>Cropping, Swidden</v>
      </c>
      <c r="F3657" s="156" t="str">
        <f>'Reported burning'!F3657</f>
        <v>ND</v>
      </c>
      <c r="G3657" s="156" t="str">
        <f>'Reported burning'!G3657</f>
        <v>Cropland</v>
      </c>
      <c r="H3657" s="156" t="str">
        <f>'Reported burning'!H3657</f>
        <v>Presence</v>
      </c>
      <c r="I3657" s="5"/>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241" t="s">
        <v>2276</v>
      </c>
      <c r="W3657" s="75" t="s">
        <v>2276</v>
      </c>
      <c r="X3657" s="75" t="s">
        <v>2276</v>
      </c>
      <c r="Y3657" s="75" t="s">
        <v>2276</v>
      </c>
      <c r="Z3657" s="204"/>
      <c r="AA3657" s="204"/>
      <c r="AB3657" s="204"/>
    </row>
    <row r="3658" spans="1:28" s="203" customFormat="1" ht="59" customHeight="1">
      <c r="A3658" s="156" t="str">
        <f>'Reported burning'!A3658</f>
        <v>400d</v>
      </c>
      <c r="B3658" s="156" t="str">
        <f>'Reported burning'!B3658</f>
        <v>400d.5</v>
      </c>
      <c r="C3658" s="156" t="str">
        <f>'Reported burning'!C3658</f>
        <v>All</v>
      </c>
      <c r="D3658" s="156" t="str">
        <f>'Reported burning'!D3658</f>
        <v>ND</v>
      </c>
      <c r="E3658" s="156" t="str">
        <f>'Reported burning'!E3658</f>
        <v>Cropping, Intensive</v>
      </c>
      <c r="F3658" s="156" t="str">
        <f>'Reported burning'!F3658</f>
        <v>ND</v>
      </c>
      <c r="G3658" s="156" t="str">
        <f>'Reported burning'!G3658</f>
        <v>Cropland</v>
      </c>
      <c r="H3658" s="156" t="str">
        <f>'Reported burning'!H3658</f>
        <v>Presence</v>
      </c>
      <c r="I3658" s="5"/>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241" t="s">
        <v>2276</v>
      </c>
      <c r="W3658" s="75" t="s">
        <v>2276</v>
      </c>
      <c r="X3658" s="75" t="s">
        <v>2276</v>
      </c>
      <c r="Y3658" s="75" t="s">
        <v>2276</v>
      </c>
      <c r="Z3658" s="204"/>
      <c r="AA3658" s="204"/>
      <c r="AB3658" s="204"/>
    </row>
    <row r="3659" spans="1:28" s="203" customFormat="1" ht="59" customHeight="1">
      <c r="A3659" s="156" t="str">
        <f>'Reported burning'!A3659</f>
        <v>400e</v>
      </c>
      <c r="B3659" s="156" t="str">
        <f>'Reported burning'!B3659</f>
        <v>400e.1</v>
      </c>
      <c r="C3659" s="156" t="str">
        <f>'Reported burning'!C3659</f>
        <v>All</v>
      </c>
      <c r="D3659" s="156" t="str">
        <f>'Reported burning'!D3659</f>
        <v>ND</v>
      </c>
      <c r="E3659" s="156" t="str">
        <f>'Reported burning'!E3659</f>
        <v>ND</v>
      </c>
      <c r="F3659" s="156" t="str">
        <f>'Reported burning'!F3659</f>
        <v>ND</v>
      </c>
      <c r="G3659" s="156" t="str">
        <f>'Reported burning'!G3659</f>
        <v>Forest</v>
      </c>
      <c r="H3659" s="156" t="str">
        <f>'Reported burning'!H3659</f>
        <v>Presence</v>
      </c>
      <c r="I3659" s="5"/>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241" t="s">
        <v>2276</v>
      </c>
      <c r="W3659" s="75" t="s">
        <v>2276</v>
      </c>
      <c r="X3659" s="75" t="s">
        <v>2276</v>
      </c>
      <c r="Y3659" s="75" t="s">
        <v>2276</v>
      </c>
      <c r="Z3659" s="204"/>
      <c r="AA3659" s="204"/>
      <c r="AB3659" s="204"/>
    </row>
    <row r="3660" spans="1:28" s="203" customFormat="1" ht="59" customHeight="1">
      <c r="A3660" s="156" t="str">
        <f>'Reported burning'!A3660</f>
        <v>400e</v>
      </c>
      <c r="B3660" s="156" t="str">
        <f>'Reported burning'!B3660</f>
        <v>400e.2</v>
      </c>
      <c r="C3660" s="156" t="str">
        <f>'Reported burning'!C3660</f>
        <v>All</v>
      </c>
      <c r="D3660" s="156" t="str">
        <f>'Reported burning'!D3660</f>
        <v>ND</v>
      </c>
      <c r="E3660" s="156" t="str">
        <f>'Reported burning'!E3660</f>
        <v>ND</v>
      </c>
      <c r="F3660" s="156" t="str">
        <f>'Reported burning'!F3660</f>
        <v>ND</v>
      </c>
      <c r="G3660" s="156" t="str">
        <f>'Reported burning'!G3660</f>
        <v>Grassland</v>
      </c>
      <c r="H3660" s="156" t="str">
        <f>'Reported burning'!H3660</f>
        <v>Presence</v>
      </c>
      <c r="I3660" s="5"/>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241" t="s">
        <v>2276</v>
      </c>
      <c r="W3660" s="75" t="s">
        <v>2276</v>
      </c>
      <c r="X3660" s="75" t="s">
        <v>2276</v>
      </c>
      <c r="Y3660" s="75" t="s">
        <v>2276</v>
      </c>
      <c r="Z3660" s="204"/>
      <c r="AA3660" s="204"/>
      <c r="AB3660" s="204"/>
    </row>
    <row r="3661" spans="1:28" s="203" customFormat="1" ht="59" customHeight="1">
      <c r="A3661" s="156" t="str">
        <f>'Reported burning'!A3661</f>
        <v>400e</v>
      </c>
      <c r="B3661" s="156" t="str">
        <f>'Reported burning'!B3661</f>
        <v>400e.3</v>
      </c>
      <c r="C3661" s="156" t="str">
        <f>'Reported burning'!C3661</f>
        <v>All</v>
      </c>
      <c r="D3661" s="156" t="str">
        <f>'Reported burning'!D3661</f>
        <v>ND</v>
      </c>
      <c r="E3661" s="156" t="str">
        <f>'Reported burning'!E3661</f>
        <v>ND</v>
      </c>
      <c r="F3661" s="156" t="str">
        <f>'Reported burning'!F3661</f>
        <v>ND</v>
      </c>
      <c r="G3661" s="156" t="str">
        <f>'Reported burning'!G3661</f>
        <v>Plantation forest</v>
      </c>
      <c r="H3661" s="156" t="str">
        <f>'Reported burning'!H3661</f>
        <v>Presence</v>
      </c>
      <c r="I3661" s="5"/>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241" t="s">
        <v>2276</v>
      </c>
      <c r="W3661" s="75" t="s">
        <v>2276</v>
      </c>
      <c r="X3661" s="75" t="s">
        <v>2276</v>
      </c>
      <c r="Y3661" s="75" t="s">
        <v>2276</v>
      </c>
      <c r="Z3661" s="204"/>
      <c r="AA3661" s="204"/>
      <c r="AB3661" s="204"/>
    </row>
    <row r="3662" spans="1:28" s="203" customFormat="1" ht="59" customHeight="1">
      <c r="A3662" s="156" t="str">
        <f>'Reported burning'!A3662</f>
        <v>400e</v>
      </c>
      <c r="B3662" s="156" t="str">
        <f>'Reported burning'!B3662</f>
        <v>400e.4</v>
      </c>
      <c r="C3662" s="156" t="str">
        <f>'Reported burning'!C3662</f>
        <v>All</v>
      </c>
      <c r="D3662" s="156" t="str">
        <f>'Reported burning'!D3662</f>
        <v>ND</v>
      </c>
      <c r="E3662" s="156" t="str">
        <f>'Reported burning'!E3662</f>
        <v>Cropping, Swidden</v>
      </c>
      <c r="F3662" s="156" t="str">
        <f>'Reported burning'!F3662</f>
        <v>ND</v>
      </c>
      <c r="G3662" s="156" t="str">
        <f>'Reported burning'!G3662</f>
        <v>Cropland</v>
      </c>
      <c r="H3662" s="156" t="str">
        <f>'Reported burning'!H3662</f>
        <v>Presence</v>
      </c>
      <c r="I3662" s="5"/>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241" t="s">
        <v>2276</v>
      </c>
      <c r="W3662" s="75" t="s">
        <v>2276</v>
      </c>
      <c r="X3662" s="75" t="s">
        <v>2276</v>
      </c>
      <c r="Y3662" s="75" t="s">
        <v>2276</v>
      </c>
      <c r="Z3662" s="204"/>
      <c r="AA3662" s="204"/>
      <c r="AB3662" s="204"/>
    </row>
    <row r="3663" spans="1:28" s="203" customFormat="1" ht="59" customHeight="1">
      <c r="A3663" s="156" t="str">
        <f>'Reported burning'!A3663</f>
        <v>400e</v>
      </c>
      <c r="B3663" s="156" t="str">
        <f>'Reported burning'!B3663</f>
        <v>400e.5</v>
      </c>
      <c r="C3663" s="156" t="str">
        <f>'Reported burning'!C3663</f>
        <v>All</v>
      </c>
      <c r="D3663" s="156" t="str">
        <f>'Reported burning'!D3663</f>
        <v>ND</v>
      </c>
      <c r="E3663" s="156" t="str">
        <f>'Reported burning'!E3663</f>
        <v>Cropping, Intensive</v>
      </c>
      <c r="F3663" s="156" t="str">
        <f>'Reported burning'!F3663</f>
        <v>ND</v>
      </c>
      <c r="G3663" s="156" t="str">
        <f>'Reported burning'!G3663</f>
        <v>Cropland</v>
      </c>
      <c r="H3663" s="156" t="str">
        <f>'Reported burning'!H3663</f>
        <v>Presence</v>
      </c>
      <c r="I3663" s="5"/>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241" t="s">
        <v>2276</v>
      </c>
      <c r="W3663" s="75" t="s">
        <v>2276</v>
      </c>
      <c r="X3663" s="75" t="s">
        <v>2276</v>
      </c>
      <c r="Y3663" s="75" t="s">
        <v>2276</v>
      </c>
      <c r="Z3663" s="204"/>
      <c r="AA3663" s="204"/>
      <c r="AB3663" s="204"/>
    </row>
    <row r="3664" spans="1:28" ht="59" customHeight="1">
      <c r="A3664" s="156" t="str">
        <f>'Reported burning'!A3664</f>
        <v>400f</v>
      </c>
      <c r="B3664" s="156" t="str">
        <f>'Reported burning'!B3664</f>
        <v>400f.1</v>
      </c>
      <c r="C3664" s="156" t="str">
        <f>'Reported burning'!C3664</f>
        <v>All</v>
      </c>
      <c r="D3664" s="156" t="str">
        <f>'Reported burning'!D3664</f>
        <v>ND</v>
      </c>
      <c r="E3664" s="156" t="str">
        <f>'Reported burning'!E3664</f>
        <v>ND</v>
      </c>
      <c r="F3664" s="156" t="str">
        <f>'Reported burning'!F3664</f>
        <v>ND</v>
      </c>
      <c r="G3664" s="156" t="str">
        <f>'Reported burning'!G3664</f>
        <v>Forest</v>
      </c>
      <c r="H3664" s="156" t="str">
        <f>'Reported burning'!H3664</f>
        <v>Presence</v>
      </c>
      <c r="I3664" s="5"/>
      <c r="J3664" s="75" t="s">
        <v>2276</v>
      </c>
      <c r="K3664" s="75" t="s">
        <v>2276</v>
      </c>
      <c r="L3664" s="75" t="s">
        <v>2276</v>
      </c>
      <c r="M3664" s="75" t="s">
        <v>2276</v>
      </c>
      <c r="N3664" s="75" t="s">
        <v>2276</v>
      </c>
      <c r="O3664" s="75" t="s">
        <v>2276</v>
      </c>
      <c r="P3664" s="75" t="s">
        <v>2276</v>
      </c>
      <c r="Q3664" s="75" t="s">
        <v>2276</v>
      </c>
      <c r="R3664" s="75" t="s">
        <v>2276</v>
      </c>
      <c r="S3664" s="75" t="s">
        <v>2276</v>
      </c>
      <c r="T3664" s="75" t="s">
        <v>2276</v>
      </c>
      <c r="U3664" s="75" t="s">
        <v>2276</v>
      </c>
      <c r="V3664" s="241" t="s">
        <v>2276</v>
      </c>
      <c r="W3664" s="75" t="s">
        <v>2276</v>
      </c>
      <c r="X3664" s="75" t="s">
        <v>2276</v>
      </c>
      <c r="Y3664" s="75" t="s">
        <v>2276</v>
      </c>
      <c r="Z3664" s="204"/>
      <c r="AA3664" s="204"/>
      <c r="AB3664" s="204"/>
    </row>
    <row r="3665" spans="1:28" ht="59" customHeight="1">
      <c r="A3665" s="156" t="str">
        <f>'Reported burning'!A3665</f>
        <v>400f</v>
      </c>
      <c r="B3665" s="156" t="str">
        <f>'Reported burning'!B3665</f>
        <v>400f.2</v>
      </c>
      <c r="C3665" s="156" t="str">
        <f>'Reported burning'!C3665</f>
        <v>All</v>
      </c>
      <c r="D3665" s="156" t="str">
        <f>'Reported burning'!D3665</f>
        <v>ND</v>
      </c>
      <c r="E3665" s="156" t="str">
        <f>'Reported burning'!E3665</f>
        <v>ND</v>
      </c>
      <c r="F3665" s="156" t="str">
        <f>'Reported burning'!F3665</f>
        <v>ND</v>
      </c>
      <c r="G3665" s="156" t="str">
        <f>'Reported burning'!G3665</f>
        <v>Secondary vegetation</v>
      </c>
      <c r="H3665" s="156" t="str">
        <f>'Reported burning'!H3665</f>
        <v>Presence</v>
      </c>
      <c r="I3665" s="5"/>
      <c r="J3665" s="75" t="s">
        <v>2276</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241" t="s">
        <v>2276</v>
      </c>
      <c r="W3665" s="75" t="s">
        <v>2276</v>
      </c>
      <c r="X3665" s="75" t="s">
        <v>2276</v>
      </c>
      <c r="Y3665" s="75" t="s">
        <v>2276</v>
      </c>
      <c r="Z3665" s="204" t="s">
        <v>9566</v>
      </c>
      <c r="AA3665" s="204"/>
      <c r="AB3665" s="204"/>
    </row>
    <row r="3666" spans="1:28" ht="59" customHeight="1">
      <c r="A3666" s="156" t="str">
        <f>'Reported burning'!A3666</f>
        <v>400f</v>
      </c>
      <c r="B3666" s="156" t="str">
        <f>'Reported burning'!B3666</f>
        <v>400f.3</v>
      </c>
      <c r="C3666" s="156" t="str">
        <f>'Reported burning'!C3666</f>
        <v>All</v>
      </c>
      <c r="D3666" s="156" t="str">
        <f>'Reported burning'!D3666</f>
        <v>ND</v>
      </c>
      <c r="E3666" s="156" t="str">
        <f>'Reported burning'!E3666</f>
        <v>ND</v>
      </c>
      <c r="F3666" s="156" t="str">
        <f>'Reported burning'!F3666</f>
        <v>ND</v>
      </c>
      <c r="G3666" s="156" t="str">
        <f>'Reported burning'!G3666</f>
        <v>Forest</v>
      </c>
      <c r="H3666" s="156" t="str">
        <f>'Reported burning'!H3666</f>
        <v>Presence</v>
      </c>
      <c r="I3666" s="5"/>
      <c r="J3666" s="75" t="s">
        <v>2276</v>
      </c>
      <c r="K3666" s="75" t="s">
        <v>2276</v>
      </c>
      <c r="L3666" s="75" t="s">
        <v>2276</v>
      </c>
      <c r="M3666" s="75" t="s">
        <v>2276</v>
      </c>
      <c r="N3666" s="75" t="s">
        <v>2276</v>
      </c>
      <c r="O3666" s="75" t="s">
        <v>2276</v>
      </c>
      <c r="P3666" s="75" t="s">
        <v>2276</v>
      </c>
      <c r="Q3666" s="75" t="s">
        <v>2276</v>
      </c>
      <c r="R3666" s="75" t="s">
        <v>2276</v>
      </c>
      <c r="S3666" s="75" t="s">
        <v>2276</v>
      </c>
      <c r="T3666" s="75" t="s">
        <v>2276</v>
      </c>
      <c r="U3666" s="75" t="s">
        <v>2276</v>
      </c>
      <c r="V3666" s="241" t="s">
        <v>2276</v>
      </c>
      <c r="W3666" s="75" t="s">
        <v>2276</v>
      </c>
      <c r="X3666" s="75" t="s">
        <v>2276</v>
      </c>
      <c r="Y3666" s="75" t="s">
        <v>2276</v>
      </c>
      <c r="Z3666" s="204"/>
      <c r="AA3666" s="204"/>
      <c r="AB3666" s="204"/>
    </row>
    <row r="3667" spans="1:28" ht="59" customHeight="1">
      <c r="A3667" s="156" t="str">
        <f>'Reported burning'!A3667</f>
        <v>400f</v>
      </c>
      <c r="B3667" s="156" t="str">
        <f>'Reported burning'!B3667</f>
        <v>400f.4</v>
      </c>
      <c r="C3667" s="156" t="str">
        <f>'Reported burning'!C3667</f>
        <v>All</v>
      </c>
      <c r="D3667" s="156" t="str">
        <f>'Reported burning'!D3667</f>
        <v>ND</v>
      </c>
      <c r="E3667" s="156" t="str">
        <f>'Reported burning'!E3667</f>
        <v>Forestry, Industrial</v>
      </c>
      <c r="F3667" s="156" t="str">
        <f>'Reported burning'!F3667</f>
        <v>ND</v>
      </c>
      <c r="G3667" s="156" t="str">
        <f>'Reported burning'!G3667</f>
        <v>Plantation forest</v>
      </c>
      <c r="H3667" s="156" t="str">
        <f>'Reported burning'!H3667</f>
        <v>Presence</v>
      </c>
      <c r="I3667" s="5"/>
      <c r="J3667" s="75" t="s">
        <v>2276</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241" t="s">
        <v>2276</v>
      </c>
      <c r="W3667" s="75" t="s">
        <v>2276</v>
      </c>
      <c r="X3667" s="75" t="s">
        <v>2276</v>
      </c>
      <c r="Y3667" s="75" t="s">
        <v>2276</v>
      </c>
      <c r="Z3667" s="204"/>
      <c r="AA3667" s="204"/>
      <c r="AB3667" s="204"/>
    </row>
    <row r="3668" spans="1:28" ht="59" customHeight="1">
      <c r="A3668" s="156" t="str">
        <f>'Reported burning'!A3668</f>
        <v>400f</v>
      </c>
      <c r="B3668" s="156" t="str">
        <f>'Reported burning'!B3668</f>
        <v>400f.5</v>
      </c>
      <c r="C3668" s="156" t="str">
        <f>'Reported burning'!C3668</f>
        <v>All</v>
      </c>
      <c r="D3668" s="156" t="str">
        <f>'Reported burning'!D3668</f>
        <v>ND</v>
      </c>
      <c r="E3668" s="156" t="str">
        <f>'Reported burning'!E3668</f>
        <v>Cropping, Intensive</v>
      </c>
      <c r="F3668" s="156" t="str">
        <f>'Reported burning'!F3668</f>
        <v>ND</v>
      </c>
      <c r="G3668" s="156" t="str">
        <f>'Reported burning'!G3668</f>
        <v>Cropland</v>
      </c>
      <c r="H3668" s="156" t="str">
        <f>'Reported burning'!H3668</f>
        <v>Presence</v>
      </c>
      <c r="I3668" s="5"/>
      <c r="J3668" s="75" t="s">
        <v>2276</v>
      </c>
      <c r="K3668" s="75" t="s">
        <v>2276</v>
      </c>
      <c r="L3668" s="75" t="s">
        <v>2276</v>
      </c>
      <c r="M3668" s="75" t="s">
        <v>2276</v>
      </c>
      <c r="N3668" s="75" t="s">
        <v>2276</v>
      </c>
      <c r="O3668" s="75" t="s">
        <v>2276</v>
      </c>
      <c r="P3668" s="75" t="s">
        <v>2276</v>
      </c>
      <c r="Q3668" s="75" t="s">
        <v>2276</v>
      </c>
      <c r="R3668" s="75" t="s">
        <v>2276</v>
      </c>
      <c r="S3668" s="75" t="s">
        <v>2276</v>
      </c>
      <c r="T3668" s="75" t="s">
        <v>2276</v>
      </c>
      <c r="U3668" s="75" t="s">
        <v>2276</v>
      </c>
      <c r="V3668" s="241" t="s">
        <v>2276</v>
      </c>
      <c r="W3668" s="75" t="s">
        <v>2276</v>
      </c>
      <c r="X3668" s="75" t="s">
        <v>2276</v>
      </c>
      <c r="Y3668" s="75" t="s">
        <v>2276</v>
      </c>
      <c r="Z3668" s="204"/>
      <c r="AA3668" s="204"/>
      <c r="AB3668" s="204"/>
    </row>
    <row r="3669" spans="1:28" ht="59" customHeight="1">
      <c r="A3669" s="156" t="str">
        <f>'Reported burning'!A3669</f>
        <v>400f</v>
      </c>
      <c r="B3669" s="156" t="str">
        <f>'Reported burning'!B3669</f>
        <v>400f.6</v>
      </c>
      <c r="C3669" s="156" t="str">
        <f>'Reported burning'!C3669</f>
        <v>All</v>
      </c>
      <c r="D3669" s="156" t="str">
        <f>'Reported burning'!D3669</f>
        <v>ND</v>
      </c>
      <c r="E3669" s="156" t="str">
        <f>'Reported burning'!E3670</f>
        <v>Cropping, Swidden</v>
      </c>
      <c r="F3669" s="156" t="str">
        <f>'Reported burning'!F3670</f>
        <v>ND</v>
      </c>
      <c r="G3669" s="156" t="str">
        <f>'Reported burning'!G3670</f>
        <v>Secondary vegetation</v>
      </c>
      <c r="H3669" s="156" t="str">
        <f>'Reported burning'!H3670</f>
        <v>Presence</v>
      </c>
      <c r="I3669" s="5"/>
      <c r="J3669" s="75" t="s">
        <v>2276</v>
      </c>
      <c r="K3669" s="75" t="s">
        <v>2276</v>
      </c>
      <c r="L3669" s="75" t="s">
        <v>2276</v>
      </c>
      <c r="M3669" s="75" t="s">
        <v>2276</v>
      </c>
      <c r="N3669" s="75" t="s">
        <v>2276</v>
      </c>
      <c r="O3669" s="75" t="s">
        <v>2276</v>
      </c>
      <c r="P3669" s="75" t="s">
        <v>2276</v>
      </c>
      <c r="Q3669" s="75" t="s">
        <v>2276</v>
      </c>
      <c r="R3669" s="75" t="s">
        <v>2276</v>
      </c>
      <c r="S3669" s="75" t="s">
        <v>2276</v>
      </c>
      <c r="T3669" s="75" t="s">
        <v>2276</v>
      </c>
      <c r="U3669" s="75" t="s">
        <v>2276</v>
      </c>
      <c r="V3669" s="241" t="s">
        <v>2276</v>
      </c>
      <c r="W3669" s="75" t="s">
        <v>2276</v>
      </c>
      <c r="X3669" s="75" t="s">
        <v>2276</v>
      </c>
      <c r="Y3669" s="75" t="s">
        <v>2276</v>
      </c>
      <c r="Z3669" s="204"/>
      <c r="AA3669" s="204"/>
      <c r="AB3669" s="204"/>
    </row>
    <row r="3670" spans="1:28" ht="68.5" customHeight="1">
      <c r="A3670" s="156" t="str">
        <f>'Reported burning'!A3670</f>
        <v>400f</v>
      </c>
      <c r="B3670" s="156" t="str">
        <f>'Reported burning'!B3670</f>
        <v>400f.7</v>
      </c>
      <c r="C3670" s="156" t="str">
        <f>'Reported burning'!C3670</f>
        <v>All</v>
      </c>
      <c r="D3670" s="156" t="str">
        <f>'Reported burning'!D3670</f>
        <v>ND</v>
      </c>
      <c r="E3670" s="156" t="str">
        <f>'Reported burning'!E3669</f>
        <v>Biodiversity conservation</v>
      </c>
      <c r="F3670" s="156" t="str">
        <f>'Reported burning'!F3669</f>
        <v>ND</v>
      </c>
      <c r="G3670" s="156" t="str">
        <f>'Reported burning'!G3669</f>
        <v>Forest</v>
      </c>
      <c r="H3670" s="156" t="str">
        <f>'Reported burning'!H3669</f>
        <v>Presence</v>
      </c>
      <c r="I3670" s="5"/>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241" t="s">
        <v>2276</v>
      </c>
      <c r="W3670" s="75" t="s">
        <v>2276</v>
      </c>
      <c r="X3670" s="75" t="s">
        <v>2276</v>
      </c>
      <c r="Y3670" s="75" t="s">
        <v>2276</v>
      </c>
      <c r="Z3670" s="204"/>
      <c r="AA3670" s="204"/>
      <c r="AB3670" s="204"/>
    </row>
    <row r="3671" spans="1:28" ht="68.5" customHeight="1">
      <c r="A3671" s="156" t="str">
        <f>'Reported burning'!A3671</f>
        <v>402a</v>
      </c>
      <c r="B3671" s="156" t="str">
        <f>'Reported burning'!B3671</f>
        <v>402a.1</v>
      </c>
      <c r="C3671" s="156" t="str">
        <f>'Reported burning'!C3671</f>
        <v>Human, deliberate</v>
      </c>
      <c r="D3671" s="156" t="str">
        <f>'Reported burning'!D3671</f>
        <v>Arson</v>
      </c>
      <c r="E3671" s="156" t="str">
        <f>'Reported burning'!E3671</f>
        <v>Cropping, Intensive</v>
      </c>
      <c r="F3671" s="156" t="str">
        <f>'Reported burning'!F3671</f>
        <v>Cropland</v>
      </c>
      <c r="G3671" s="156" t="str">
        <f>'Reported burning'!G3671</f>
        <v>Cropland</v>
      </c>
      <c r="H3671" s="156" t="str">
        <f>'Reported burning'!H3671</f>
        <v>Presence</v>
      </c>
      <c r="I3671" s="5"/>
      <c r="J3671" s="75" t="s">
        <v>2276</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241" t="s">
        <v>2276</v>
      </c>
      <c r="W3671" s="75" t="s">
        <v>2276</v>
      </c>
      <c r="X3671" s="75" t="s">
        <v>2276</v>
      </c>
      <c r="Y3671" s="75" t="s">
        <v>2276</v>
      </c>
      <c r="Z3671" s="204"/>
      <c r="AA3671" s="204"/>
      <c r="AB3671" s="204"/>
    </row>
    <row r="3672" spans="1:28" ht="68.5" customHeight="1">
      <c r="A3672" s="156" t="str">
        <f>'Reported burning'!A3672</f>
        <v>402a</v>
      </c>
      <c r="B3672" s="156" t="str">
        <f>'Reported burning'!B3672</f>
        <v>402a.2</v>
      </c>
      <c r="C3672" s="156" t="str">
        <f>'Reported burning'!C3672</f>
        <v>Human, deliberate</v>
      </c>
      <c r="D3672" s="156" t="str">
        <f>'Reported burning'!D3672</f>
        <v>Arson</v>
      </c>
      <c r="E3672" s="156" t="str">
        <f>'Reported burning'!E3672</f>
        <v>Cropping, Swidden</v>
      </c>
      <c r="F3672" s="156" t="str">
        <f>'Reported burning'!F3672</f>
        <v>Cropland</v>
      </c>
      <c r="G3672" s="156" t="str">
        <f>'Reported burning'!G3672</f>
        <v>Cropland</v>
      </c>
      <c r="H3672" s="156" t="str">
        <f>'Reported burning'!H3672</f>
        <v>Presence</v>
      </c>
      <c r="I3672" s="5"/>
      <c r="J3672" s="75" t="s">
        <v>2276</v>
      </c>
      <c r="K3672" s="75" t="s">
        <v>2276</v>
      </c>
      <c r="L3672" s="75" t="s">
        <v>2276</v>
      </c>
      <c r="M3672" s="75" t="s">
        <v>2276</v>
      </c>
      <c r="N3672" s="75" t="s">
        <v>2276</v>
      </c>
      <c r="O3672" s="75" t="s">
        <v>2276</v>
      </c>
      <c r="P3672" s="75" t="s">
        <v>2276</v>
      </c>
      <c r="Q3672" s="75" t="s">
        <v>2276</v>
      </c>
      <c r="R3672" s="75" t="s">
        <v>2276</v>
      </c>
      <c r="S3672" s="75" t="s">
        <v>2276</v>
      </c>
      <c r="T3672" s="75" t="s">
        <v>2276</v>
      </c>
      <c r="U3672" s="75" t="s">
        <v>2276</v>
      </c>
      <c r="V3672" s="241" t="s">
        <v>2276</v>
      </c>
      <c r="W3672" s="75" t="s">
        <v>2276</v>
      </c>
      <c r="X3672" s="75" t="s">
        <v>2276</v>
      </c>
      <c r="Y3672" s="75" t="s">
        <v>2276</v>
      </c>
      <c r="Z3672" s="204"/>
      <c r="AA3672" s="204"/>
      <c r="AB3672" s="204"/>
    </row>
    <row r="3673" spans="1:28" ht="68.5" customHeight="1">
      <c r="A3673" s="156" t="str">
        <f>'Reported burning'!A3673</f>
        <v>402b</v>
      </c>
      <c r="B3673" s="156" t="str">
        <f>'Reported burning'!B3673</f>
        <v>402b.1</v>
      </c>
      <c r="C3673" s="156" t="str">
        <f>'Reported burning'!C3673</f>
        <v>Human, deliberate</v>
      </c>
      <c r="D3673" s="156" t="str">
        <f>'Reported burning'!D3673</f>
        <v>Crop field preparation</v>
      </c>
      <c r="E3673" s="156" t="str">
        <f>'Reported burning'!E3673</f>
        <v>Cropping, Swidden</v>
      </c>
      <c r="F3673" s="156" t="str">
        <f>'Reported burning'!F3673</f>
        <v>Secondary vegetation</v>
      </c>
      <c r="G3673" s="156" t="str">
        <f>'Reported burning'!G3673</f>
        <v>Secondary vegetation</v>
      </c>
      <c r="H3673" s="156" t="str">
        <f>'Reported burning'!H3673</f>
        <v>Presence</v>
      </c>
      <c r="I3673" s="5"/>
      <c r="J3673" s="75" t="s">
        <v>2276</v>
      </c>
      <c r="K3673" s="75" t="s">
        <v>2276</v>
      </c>
      <c r="L3673" s="75" t="s">
        <v>2276</v>
      </c>
      <c r="M3673" s="75" t="s">
        <v>2276</v>
      </c>
      <c r="N3673" s="75" t="s">
        <v>2276</v>
      </c>
      <c r="O3673" s="75" t="s">
        <v>2276</v>
      </c>
      <c r="P3673" s="75" t="s">
        <v>2276</v>
      </c>
      <c r="Q3673" s="75" t="s">
        <v>2276</v>
      </c>
      <c r="R3673" s="75" t="s">
        <v>2276</v>
      </c>
      <c r="S3673" s="75" t="s">
        <v>2276</v>
      </c>
      <c r="T3673" s="75" t="s">
        <v>2276</v>
      </c>
      <c r="U3673" s="75" t="s">
        <v>2276</v>
      </c>
      <c r="V3673" s="241" t="s">
        <v>2276</v>
      </c>
      <c r="W3673" s="75" t="s">
        <v>2276</v>
      </c>
      <c r="X3673" s="75" t="s">
        <v>2276</v>
      </c>
      <c r="Y3673" s="75" t="s">
        <v>2276</v>
      </c>
      <c r="Z3673" s="204"/>
      <c r="AA3673" s="204"/>
      <c r="AB3673" s="204"/>
    </row>
    <row r="3674" spans="1:28" ht="68.5" customHeight="1">
      <c r="A3674" s="156" t="str">
        <f>'Reported burning'!A3674</f>
        <v>402b</v>
      </c>
      <c r="B3674" s="156" t="str">
        <f>'Reported burning'!B3674</f>
        <v>402b.2</v>
      </c>
      <c r="C3674" s="156" t="str">
        <f>'Reported burning'!C3674</f>
        <v>Human, escaped</v>
      </c>
      <c r="D3674" s="156" t="str">
        <f>'Reported burning'!D3674</f>
        <v>Crop field preparation</v>
      </c>
      <c r="E3674" s="156" t="str">
        <f>'Reported burning'!E3674</f>
        <v>Cropping, Swidden</v>
      </c>
      <c r="F3674" s="156" t="str">
        <f>'Reported burning'!F3674</f>
        <v>Secondary vegetation</v>
      </c>
      <c r="G3674" s="156" t="str">
        <f>'Reported burning'!G3674</f>
        <v>Plantation forest</v>
      </c>
      <c r="H3674" s="156" t="str">
        <f>'Reported burning'!H3674</f>
        <v>Presence</v>
      </c>
      <c r="I3674" s="5"/>
      <c r="J3674" s="75" t="s">
        <v>2276</v>
      </c>
      <c r="K3674" s="75" t="s">
        <v>2276</v>
      </c>
      <c r="L3674" s="75" t="s">
        <v>2276</v>
      </c>
      <c r="M3674" s="75" t="s">
        <v>2276</v>
      </c>
      <c r="N3674" s="75" t="s">
        <v>2276</v>
      </c>
      <c r="O3674" s="75" t="s">
        <v>2276</v>
      </c>
      <c r="P3674" s="75" t="s">
        <v>2276</v>
      </c>
      <c r="Q3674" s="75" t="s">
        <v>2276</v>
      </c>
      <c r="R3674" s="75" t="s">
        <v>2276</v>
      </c>
      <c r="S3674" s="75" t="s">
        <v>2276</v>
      </c>
      <c r="T3674" s="75" t="s">
        <v>2276</v>
      </c>
      <c r="U3674" s="75" t="s">
        <v>2276</v>
      </c>
      <c r="V3674" s="241" t="s">
        <v>2276</v>
      </c>
      <c r="W3674" s="75" t="s">
        <v>2276</v>
      </c>
      <c r="X3674" s="75" t="s">
        <v>2276</v>
      </c>
      <c r="Y3674" s="75" t="s">
        <v>2276</v>
      </c>
      <c r="Z3674" s="204"/>
      <c r="AA3674" s="204"/>
      <c r="AB3674" s="204"/>
    </row>
    <row r="3675" spans="1:28" ht="68.5" customHeight="1">
      <c r="A3675" s="156" t="str">
        <f>'Reported burning'!A3675</f>
        <v>402b</v>
      </c>
      <c r="B3675" s="156" t="str">
        <f>'Reported burning'!B3675</f>
        <v>402b.3</v>
      </c>
      <c r="C3675" s="156" t="str">
        <f>'Reported burning'!C3675</f>
        <v>Human, escaped</v>
      </c>
      <c r="D3675" s="156" t="str">
        <f>'Reported burning'!D3675</f>
        <v>Arson</v>
      </c>
      <c r="E3675" s="156" t="str">
        <f>'Reported burning'!E3675</f>
        <v>Cropping, Swidden</v>
      </c>
      <c r="F3675" s="156" t="str">
        <f>'Reported burning'!F3675</f>
        <v>Plantation forest</v>
      </c>
      <c r="G3675" s="156" t="str">
        <f>'Reported burning'!G3675</f>
        <v>Plantation forest</v>
      </c>
      <c r="H3675" s="156" t="str">
        <f>'Reported burning'!H3675</f>
        <v>Presence</v>
      </c>
      <c r="I3675" s="5"/>
      <c r="J3675" s="75" t="s">
        <v>2276</v>
      </c>
      <c r="K3675" s="75" t="s">
        <v>2276</v>
      </c>
      <c r="L3675" s="75" t="s">
        <v>2276</v>
      </c>
      <c r="M3675" s="75" t="s">
        <v>2276</v>
      </c>
      <c r="N3675" s="75" t="s">
        <v>2276</v>
      </c>
      <c r="O3675" s="75" t="s">
        <v>2276</v>
      </c>
      <c r="P3675" s="75" t="s">
        <v>2276</v>
      </c>
      <c r="Q3675" s="75" t="s">
        <v>2276</v>
      </c>
      <c r="R3675" s="75" t="s">
        <v>2276</v>
      </c>
      <c r="S3675" s="75" t="s">
        <v>2276</v>
      </c>
      <c r="T3675" s="75" t="s">
        <v>2276</v>
      </c>
      <c r="U3675" s="75" t="s">
        <v>2276</v>
      </c>
      <c r="V3675" s="241" t="s">
        <v>2276</v>
      </c>
      <c r="W3675" s="75" t="s">
        <v>2276</v>
      </c>
      <c r="X3675" s="75" t="s">
        <v>2276</v>
      </c>
      <c r="Y3675" s="75" t="s">
        <v>2276</v>
      </c>
      <c r="Z3675" s="204"/>
      <c r="AA3675" s="204"/>
      <c r="AB3675" s="204"/>
    </row>
    <row r="3676" spans="1:28" ht="68.5" customHeight="1">
      <c r="A3676" s="156" t="str">
        <f>'Reported burning'!A3676</f>
        <v>402c</v>
      </c>
      <c r="B3676" s="156" t="str">
        <f>'Reported burning'!B3676</f>
        <v>402c.1</v>
      </c>
      <c r="C3676" s="156" t="str">
        <f>'Reported burning'!C3676</f>
        <v>Human, deliberate</v>
      </c>
      <c r="D3676" s="156" t="str">
        <f>'Reported burning'!D3676</f>
        <v>Arson</v>
      </c>
      <c r="E3676" s="156" t="str">
        <f>'Reported burning'!E3676</f>
        <v>Cropping, Monoculture, Subsistence-oriented</v>
      </c>
      <c r="F3676" s="156" t="str">
        <f>'Reported burning'!F3676</f>
        <v>Plantation forest</v>
      </c>
      <c r="G3676" s="156" t="str">
        <f>'Reported burning'!G3676</f>
        <v>Plantation forest</v>
      </c>
      <c r="H3676" s="156" t="str">
        <f>'Reported burning'!H3676</f>
        <v>Presence</v>
      </c>
      <c r="I3676" s="5"/>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241" t="s">
        <v>2276</v>
      </c>
      <c r="W3676" s="75" t="s">
        <v>2276</v>
      </c>
      <c r="X3676" s="75" t="s">
        <v>2276</v>
      </c>
      <c r="Y3676" s="75" t="s">
        <v>2276</v>
      </c>
      <c r="Z3676" s="204"/>
      <c r="AA3676" s="204"/>
      <c r="AB3676" s="204"/>
    </row>
    <row r="3677" spans="1:28" ht="68.5" customHeight="1">
      <c r="A3677" s="156" t="str">
        <f>'Reported burning'!A3677</f>
        <v>402c</v>
      </c>
      <c r="B3677" s="156" t="str">
        <f>'Reported burning'!B3677</f>
        <v>402c.2</v>
      </c>
      <c r="C3677" s="156" t="str">
        <f>'Reported burning'!C3677</f>
        <v>Human, deliberate</v>
      </c>
      <c r="D3677" s="156" t="str">
        <f>'Reported burning'!D3677</f>
        <v>Arson</v>
      </c>
      <c r="E3677" s="156" t="str">
        <f>'Reported burning'!E3677</f>
        <v>Cropping, Monoculture, Subsistence-oriented</v>
      </c>
      <c r="F3677" s="156" t="str">
        <f>'Reported burning'!F3677</f>
        <v>Plantation forest</v>
      </c>
      <c r="G3677" s="156" t="str">
        <f>'Reported burning'!G3677</f>
        <v>Plantation forest</v>
      </c>
      <c r="H3677" s="156" t="str">
        <f>'Reported burning'!H3677</f>
        <v>Presence</v>
      </c>
      <c r="I3677" s="5"/>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241" t="s">
        <v>2276</v>
      </c>
      <c r="W3677" s="75" t="s">
        <v>2276</v>
      </c>
      <c r="X3677" s="75" t="s">
        <v>2276</v>
      </c>
      <c r="Y3677" s="75" t="s">
        <v>2276</v>
      </c>
      <c r="Z3677" s="204"/>
      <c r="AA3677" s="204"/>
      <c r="AB3677" s="204"/>
    </row>
    <row r="3678" spans="1:28" ht="68.5" customHeight="1">
      <c r="A3678" s="156" t="str">
        <f>'Reported burning'!A3678</f>
        <v>402c</v>
      </c>
      <c r="B3678" s="156" t="str">
        <f>'Reported burning'!B3678</f>
        <v>402c.3</v>
      </c>
      <c r="C3678" s="156" t="str">
        <f>'Reported burning'!C3678</f>
        <v>Human, deliberate</v>
      </c>
      <c r="D3678" s="156" t="str">
        <f>'Reported burning'!D3678</f>
        <v>Arson</v>
      </c>
      <c r="E3678" s="156" t="str">
        <f>'Reported burning'!E3678</f>
        <v>Cropping, Monoculture, Subsistence-oriented</v>
      </c>
      <c r="F3678" s="156" t="str">
        <f>'Reported burning'!F3678</f>
        <v>Plantation forest</v>
      </c>
      <c r="G3678" s="156" t="str">
        <f>'Reported burning'!G3678</f>
        <v>Plantation forest</v>
      </c>
      <c r="H3678" s="156" t="str">
        <f>'Reported burning'!H3678</f>
        <v>Presence</v>
      </c>
      <c r="I3678" s="5"/>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241" t="s">
        <v>2276</v>
      </c>
      <c r="W3678" s="75" t="s">
        <v>2276</v>
      </c>
      <c r="X3678" s="75" t="s">
        <v>2276</v>
      </c>
      <c r="Y3678" s="75" t="s">
        <v>2276</v>
      </c>
      <c r="Z3678" s="204"/>
      <c r="AA3678" s="204"/>
      <c r="AB3678" s="204"/>
    </row>
    <row r="3679" spans="1:28" ht="68.5" customHeight="1">
      <c r="A3679" s="156" t="str">
        <f>'Reported burning'!A3679</f>
        <v>402c</v>
      </c>
      <c r="B3679" s="156" t="str">
        <f>'Reported burning'!B3679</f>
        <v>402c.4</v>
      </c>
      <c r="C3679" s="156" t="str">
        <f>'Reported burning'!C3679</f>
        <v>Human, deliberate</v>
      </c>
      <c r="D3679" s="156" t="str">
        <f>'Reported burning'!D3679</f>
        <v>Arson</v>
      </c>
      <c r="E3679" s="156" t="str">
        <f>'Reported burning'!E3679</f>
        <v>Cropping, Monoculture, Subsistence-oriented</v>
      </c>
      <c r="F3679" s="156" t="str">
        <f>'Reported burning'!F3679</f>
        <v>Plantation forest</v>
      </c>
      <c r="G3679" s="156" t="str">
        <f>'Reported burning'!G3679</f>
        <v>Plantation forest</v>
      </c>
      <c r="H3679" s="156" t="str">
        <f>'Reported burning'!H3679</f>
        <v>Presence</v>
      </c>
      <c r="I3679" s="5"/>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241" t="s">
        <v>2276</v>
      </c>
      <c r="W3679" s="75" t="s">
        <v>2276</v>
      </c>
      <c r="X3679" s="240" t="s">
        <v>2276</v>
      </c>
      <c r="Y3679" s="240" t="s">
        <v>2276</v>
      </c>
      <c r="Z3679" s="38"/>
      <c r="AA3679" s="38"/>
      <c r="AB3679" s="204"/>
    </row>
    <row r="3680" spans="1:28" ht="112.5" customHeight="1">
      <c r="A3680" s="156" t="str">
        <f>'Reported burning'!A3680</f>
        <v>402c</v>
      </c>
      <c r="B3680" s="156" t="str">
        <f>'Reported burning'!B3680</f>
        <v>402c.5</v>
      </c>
      <c r="C3680" s="156" t="str">
        <f>'Reported burning'!C3680</f>
        <v>Unknown</v>
      </c>
      <c r="D3680" s="156" t="str">
        <f>'Reported burning'!D3680</f>
        <v>All</v>
      </c>
      <c r="E3680" s="156" t="str">
        <f>'Reported burning'!E3680</f>
        <v>All</v>
      </c>
      <c r="F3680" s="156" t="str">
        <f>'Reported burning'!F3680</f>
        <v>All</v>
      </c>
      <c r="G3680" s="156" t="str">
        <f>'Reported burning'!G3680</f>
        <v>Grassland</v>
      </c>
      <c r="H3680" s="156" t="str">
        <f>'Reported burning'!H3680</f>
        <v>Presence</v>
      </c>
      <c r="I3680" s="5"/>
      <c r="J3680" s="75" t="s">
        <v>2276</v>
      </c>
      <c r="K3680" s="75" t="s">
        <v>2276</v>
      </c>
      <c r="L3680" s="75" t="s">
        <v>2276</v>
      </c>
      <c r="M3680" s="75" t="s">
        <v>2276</v>
      </c>
      <c r="N3680" s="75" t="s">
        <v>2276</v>
      </c>
      <c r="O3680" s="75" t="s">
        <v>2276</v>
      </c>
      <c r="P3680" s="75" t="s">
        <v>2276</v>
      </c>
      <c r="Q3680" s="75" t="s">
        <v>2276</v>
      </c>
      <c r="R3680" s="75" t="s">
        <v>2276</v>
      </c>
      <c r="S3680" s="75" t="s">
        <v>2276</v>
      </c>
      <c r="T3680" s="75" t="s">
        <v>2276</v>
      </c>
      <c r="U3680" s="75" t="s">
        <v>2276</v>
      </c>
      <c r="V3680" s="241" t="s">
        <v>2276</v>
      </c>
      <c r="W3680" s="21" t="s">
        <v>2375</v>
      </c>
      <c r="X3680" s="75" t="s">
        <v>2276</v>
      </c>
      <c r="Y3680" s="75" t="s">
        <v>2276</v>
      </c>
      <c r="Z3680" s="82" t="s">
        <v>9616</v>
      </c>
      <c r="AA3680" s="204"/>
      <c r="AB3680" s="204"/>
    </row>
    <row r="3681" spans="1:28" ht="56" customHeight="1">
      <c r="A3681" s="156" t="str">
        <f>'Reported burning'!A3681</f>
        <v>402c</v>
      </c>
      <c r="B3681" s="156" t="str">
        <f>'Reported burning'!B3681</f>
        <v>402c.6</v>
      </c>
      <c r="C3681" s="156" t="str">
        <f>'Reported burning'!C3681</f>
        <v>Human, deliberate</v>
      </c>
      <c r="D3681" s="156" t="str">
        <f>'Reported burning'!D3681</f>
        <v>Arson</v>
      </c>
      <c r="E3681" s="156" t="str">
        <f>'Reported burning'!E3681</f>
        <v>Cropping, Monoculture, Subsistence-oriented</v>
      </c>
      <c r="F3681" s="156" t="str">
        <f>'Reported burning'!F3681</f>
        <v>Plantation forest</v>
      </c>
      <c r="G3681" s="156" t="str">
        <f>'Reported burning'!G3681</f>
        <v>Plantation forest</v>
      </c>
      <c r="H3681" s="156" t="str">
        <f>'Reported burning'!H3681</f>
        <v>Absence</v>
      </c>
      <c r="I3681" s="5"/>
      <c r="J3681" s="21">
        <v>0</v>
      </c>
      <c r="K3681" s="21">
        <v>0</v>
      </c>
      <c r="L3681" s="21">
        <v>0</v>
      </c>
      <c r="M3681" s="21">
        <v>0</v>
      </c>
      <c r="N3681" s="21">
        <v>0</v>
      </c>
      <c r="O3681" s="21">
        <v>0</v>
      </c>
      <c r="P3681" s="21">
        <v>0</v>
      </c>
      <c r="Q3681" s="21">
        <v>0</v>
      </c>
      <c r="R3681" s="21">
        <v>0</v>
      </c>
      <c r="S3681" s="21">
        <v>0</v>
      </c>
      <c r="T3681" s="21">
        <v>0</v>
      </c>
      <c r="U3681" s="21">
        <v>0</v>
      </c>
      <c r="V3681" s="21">
        <v>0</v>
      </c>
      <c r="W3681" s="75" t="s">
        <v>2276</v>
      </c>
      <c r="X3681" s="75" t="s">
        <v>2276</v>
      </c>
      <c r="Y3681" s="75" t="s">
        <v>2276</v>
      </c>
      <c r="Z3681" s="75" t="s">
        <v>2276</v>
      </c>
      <c r="AA3681" s="204"/>
      <c r="AB3681" s="204"/>
    </row>
    <row r="3682" spans="1:28" ht="56" customHeight="1">
      <c r="A3682" s="156" t="str">
        <f>'Reported burning'!A3682</f>
        <v>402c</v>
      </c>
      <c r="B3682" s="156" t="str">
        <f>'Reported burning'!B3682</f>
        <v>402c.7</v>
      </c>
      <c r="C3682" s="156" t="str">
        <f>'Reported burning'!C3682</f>
        <v>Human, deliberate</v>
      </c>
      <c r="D3682" s="156" t="str">
        <f>'Reported burning'!D3682</f>
        <v>ND</v>
      </c>
      <c r="E3682" s="156" t="str">
        <f>'Reported burning'!E3682</f>
        <v>Cropping, Monoculture, Subsistence-oriented</v>
      </c>
      <c r="F3682" s="156" t="str">
        <f>'Reported burning'!F3682</f>
        <v>Cropland</v>
      </c>
      <c r="G3682" s="156" t="str">
        <f>'Reported burning'!G3682</f>
        <v>Cropland</v>
      </c>
      <c r="H3682" s="156" t="str">
        <f>'Reported burning'!H3682</f>
        <v>Presence</v>
      </c>
      <c r="I3682" s="5"/>
      <c r="J3682" s="75" t="s">
        <v>2276</v>
      </c>
      <c r="K3682" s="75" t="s">
        <v>2276</v>
      </c>
      <c r="L3682" s="75" t="s">
        <v>2276</v>
      </c>
      <c r="M3682" s="75" t="s">
        <v>2276</v>
      </c>
      <c r="N3682" s="75" t="s">
        <v>2276</v>
      </c>
      <c r="O3682" s="75" t="s">
        <v>2276</v>
      </c>
      <c r="P3682" s="75" t="s">
        <v>2276</v>
      </c>
      <c r="Q3682" s="75" t="s">
        <v>2276</v>
      </c>
      <c r="R3682" s="75" t="s">
        <v>2276</v>
      </c>
      <c r="S3682" s="75" t="s">
        <v>2276</v>
      </c>
      <c r="T3682" s="75" t="s">
        <v>2276</v>
      </c>
      <c r="U3682" s="75" t="s">
        <v>2276</v>
      </c>
      <c r="V3682" s="75" t="s">
        <v>2276</v>
      </c>
      <c r="W3682" s="75" t="s">
        <v>2276</v>
      </c>
      <c r="X3682" s="75" t="s">
        <v>2276</v>
      </c>
      <c r="Y3682" s="75" t="s">
        <v>2276</v>
      </c>
      <c r="Z3682" s="75" t="s">
        <v>2276</v>
      </c>
      <c r="AA3682" s="4" t="s">
        <v>9619</v>
      </c>
      <c r="AB3682" s="204"/>
    </row>
    <row r="3683" spans="1:28" ht="74" customHeight="1">
      <c r="A3683" s="156" t="str">
        <f>'Reported burning'!A3683</f>
        <v>402d</v>
      </c>
      <c r="B3683" s="156" t="str">
        <f>'Reported burning'!B3683</f>
        <v>402d.1</v>
      </c>
      <c r="C3683" s="156" t="str">
        <f>'Reported burning'!C3683</f>
        <v>Human, deliberate</v>
      </c>
      <c r="D3683" s="156" t="str">
        <f>'Reported burning'!D3683</f>
        <v>Forest clearance</v>
      </c>
      <c r="E3683" s="156" t="str">
        <f>'Reported burning'!E3683</f>
        <v>Cropping, Monoculture, Market-oriented</v>
      </c>
      <c r="F3683" s="156" t="str">
        <f>'Reported burning'!F3683</f>
        <v>Forest</v>
      </c>
      <c r="G3683" s="156" t="str">
        <f>'Reported burning'!G3683</f>
        <v>Forest</v>
      </c>
      <c r="H3683" s="156" t="str">
        <f>'Reported burning'!H3683</f>
        <v>Presence</v>
      </c>
      <c r="I3683" s="5"/>
      <c r="J3683" s="75" t="s">
        <v>2276</v>
      </c>
      <c r="K3683" s="75" t="s">
        <v>2276</v>
      </c>
      <c r="L3683" s="75" t="s">
        <v>2276</v>
      </c>
      <c r="M3683" s="75" t="s">
        <v>2276</v>
      </c>
      <c r="N3683" s="75" t="s">
        <v>2276</v>
      </c>
      <c r="O3683" s="75" t="s">
        <v>2276</v>
      </c>
      <c r="P3683" s="75" t="s">
        <v>2276</v>
      </c>
      <c r="Q3683" s="75" t="s">
        <v>2276</v>
      </c>
      <c r="R3683" s="75" t="s">
        <v>2276</v>
      </c>
      <c r="S3683" s="75" t="s">
        <v>2276</v>
      </c>
      <c r="T3683" s="75" t="s">
        <v>2276</v>
      </c>
      <c r="U3683" s="75" t="s">
        <v>2276</v>
      </c>
      <c r="V3683" s="75" t="s">
        <v>2276</v>
      </c>
      <c r="W3683" s="75" t="s">
        <v>2276</v>
      </c>
      <c r="X3683" s="75" t="s">
        <v>2276</v>
      </c>
      <c r="Y3683" s="75" t="s">
        <v>2276</v>
      </c>
      <c r="Z3683" s="75" t="s">
        <v>2276</v>
      </c>
      <c r="AA3683" s="204"/>
      <c r="AB3683" s="204"/>
    </row>
    <row r="3684" spans="1:28" ht="74" customHeight="1">
      <c r="A3684" s="156" t="str">
        <f>'Reported burning'!A3684</f>
        <v>403b</v>
      </c>
      <c r="B3684" s="156" t="str">
        <f>'Reported burning'!B3684</f>
        <v>403b.1</v>
      </c>
      <c r="C3684" s="156" t="str">
        <f>'Reported burning'!C3684</f>
        <v>Human, deliberate</v>
      </c>
      <c r="D3684" s="156" t="str">
        <f>'Reported burning'!D3684</f>
        <v>Crop field preparation</v>
      </c>
      <c r="E3684" s="156" t="str">
        <f>'Reported burning'!E3684</f>
        <v>Cropping, Swidden</v>
      </c>
      <c r="F3684" s="156" t="str">
        <f>'Reported burning'!F3684</f>
        <v>Secondary vegetation</v>
      </c>
      <c r="G3684" s="156" t="str">
        <f>'Reported burning'!G3684</f>
        <v>Secondary vegetation</v>
      </c>
      <c r="H3684" s="156" t="str">
        <f>'Reported burning'!H3684</f>
        <v>Presence</v>
      </c>
      <c r="I3684" s="5"/>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75" t="s">
        <v>2276</v>
      </c>
      <c r="W3684" s="21" t="s">
        <v>2402</v>
      </c>
      <c r="X3684" s="75" t="s">
        <v>2276</v>
      </c>
      <c r="Y3684" s="75" t="s">
        <v>2276</v>
      </c>
      <c r="Z3684" s="75" t="s">
        <v>2276</v>
      </c>
      <c r="AA3684" s="204"/>
      <c r="AB3684" s="82" t="s">
        <v>9648</v>
      </c>
    </row>
    <row r="3685" spans="1:28" ht="74" customHeight="1">
      <c r="A3685" s="156" t="str">
        <f>'Reported burning'!A3685</f>
        <v>403c</v>
      </c>
      <c r="B3685" s="156" t="str">
        <f>'Reported burning'!B3685</f>
        <v>403c.1</v>
      </c>
      <c r="C3685" s="156" t="str">
        <f>'Reported burning'!C3685</f>
        <v>Human, deliberate</v>
      </c>
      <c r="D3685" s="156" t="str">
        <f>'Reported burning'!D3685</f>
        <v>Crop field preparation</v>
      </c>
      <c r="E3685" s="156" t="str">
        <f>'Reported burning'!E3685</f>
        <v>Cropping, Swidden</v>
      </c>
      <c r="F3685" s="156" t="str">
        <f>'Reported burning'!F3685</f>
        <v>Secondary vegetation</v>
      </c>
      <c r="G3685" s="156" t="str">
        <f>'Reported burning'!G3685</f>
        <v>Secondary vegetation</v>
      </c>
      <c r="H3685" s="156" t="str">
        <f>'Reported burning'!H3685</f>
        <v>Presence</v>
      </c>
      <c r="I3685" s="5"/>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75" t="s">
        <v>2276</v>
      </c>
      <c r="W3685" s="21" t="s">
        <v>2402</v>
      </c>
      <c r="X3685" s="75" t="s">
        <v>2276</v>
      </c>
      <c r="Y3685" s="75" t="s">
        <v>2276</v>
      </c>
      <c r="Z3685" s="75" t="s">
        <v>2276</v>
      </c>
      <c r="AA3685" s="204"/>
      <c r="AB3685" s="82" t="s">
        <v>9648</v>
      </c>
    </row>
    <row r="3686" spans="1:28" ht="74" customHeight="1">
      <c r="A3686" s="156" t="str">
        <f>'Reported burning'!A3686</f>
        <v>403d</v>
      </c>
      <c r="B3686" s="156" t="str">
        <f>'Reported burning'!B3686</f>
        <v>403d.1</v>
      </c>
      <c r="C3686" s="156" t="str">
        <f>'Reported burning'!C3686</f>
        <v>Human, deliberate</v>
      </c>
      <c r="D3686" s="156" t="str">
        <f>'Reported burning'!D3686</f>
        <v>Crop field preparation</v>
      </c>
      <c r="E3686" s="156" t="str">
        <f>'Reported burning'!E3686</f>
        <v>Cropping, Swidden</v>
      </c>
      <c r="F3686" s="156" t="str">
        <f>'Reported burning'!F3686</f>
        <v>Secondary vegetation</v>
      </c>
      <c r="G3686" s="156" t="str">
        <f>'Reported burning'!G3686</f>
        <v>Secondary vegetation</v>
      </c>
      <c r="H3686" s="156" t="str">
        <f>'Reported burning'!H3686</f>
        <v>Presence</v>
      </c>
      <c r="I3686" s="5"/>
      <c r="J3686" s="75" t="s">
        <v>2276</v>
      </c>
      <c r="K3686" s="75" t="s">
        <v>2276</v>
      </c>
      <c r="L3686" s="75" t="s">
        <v>2276</v>
      </c>
      <c r="M3686" s="75" t="s">
        <v>2276</v>
      </c>
      <c r="N3686" s="75" t="s">
        <v>2276</v>
      </c>
      <c r="O3686" s="75" t="s">
        <v>2276</v>
      </c>
      <c r="P3686" s="75" t="s">
        <v>2276</v>
      </c>
      <c r="Q3686" s="75" t="s">
        <v>2276</v>
      </c>
      <c r="R3686" s="75" t="s">
        <v>2276</v>
      </c>
      <c r="S3686" s="75" t="s">
        <v>2276</v>
      </c>
      <c r="T3686" s="75" t="s">
        <v>2276</v>
      </c>
      <c r="U3686" s="75" t="s">
        <v>2276</v>
      </c>
      <c r="V3686" s="75" t="s">
        <v>2276</v>
      </c>
      <c r="W3686" s="21" t="s">
        <v>2402</v>
      </c>
      <c r="X3686" s="75" t="s">
        <v>2276</v>
      </c>
      <c r="Y3686" s="75" t="s">
        <v>2276</v>
      </c>
      <c r="Z3686" s="75" t="s">
        <v>2276</v>
      </c>
      <c r="AA3686" s="204"/>
      <c r="AB3686" s="82" t="s">
        <v>9648</v>
      </c>
    </row>
    <row r="3687" spans="1:28" ht="74" customHeight="1">
      <c r="A3687" s="156" t="str">
        <f>'Reported burning'!A3687</f>
        <v>403e</v>
      </c>
      <c r="B3687" s="156" t="str">
        <f>'Reported burning'!B3687</f>
        <v>403e.1</v>
      </c>
      <c r="C3687" s="156" t="str">
        <f>'Reported burning'!C3687</f>
        <v>Human, deliberate</v>
      </c>
      <c r="D3687" s="156" t="str">
        <f>'Reported burning'!D3687</f>
        <v>Crop field preparation</v>
      </c>
      <c r="E3687" s="156" t="str">
        <f>'Reported burning'!E3687</f>
        <v>Cropping, Swidden</v>
      </c>
      <c r="F3687" s="156" t="str">
        <f>'Reported burning'!F3687</f>
        <v>Secondary vegetation</v>
      </c>
      <c r="G3687" s="156" t="str">
        <f>'Reported burning'!G3687</f>
        <v>Secondary vegetation</v>
      </c>
      <c r="H3687" s="156" t="str">
        <f>'Reported burning'!H3687</f>
        <v>Presence</v>
      </c>
      <c r="I3687" s="5"/>
      <c r="J3687" s="75" t="s">
        <v>2276</v>
      </c>
      <c r="K3687" s="75" t="s">
        <v>2276</v>
      </c>
      <c r="L3687" s="75" t="s">
        <v>2276</v>
      </c>
      <c r="M3687" s="75" t="s">
        <v>2276</v>
      </c>
      <c r="N3687" s="75" t="s">
        <v>2276</v>
      </c>
      <c r="O3687" s="75" t="s">
        <v>2276</v>
      </c>
      <c r="P3687" s="75" t="s">
        <v>2276</v>
      </c>
      <c r="Q3687" s="75" t="s">
        <v>2276</v>
      </c>
      <c r="R3687" s="75" t="s">
        <v>2276</v>
      </c>
      <c r="S3687" s="75" t="s">
        <v>2276</v>
      </c>
      <c r="T3687" s="75" t="s">
        <v>2276</v>
      </c>
      <c r="U3687" s="75" t="s">
        <v>2276</v>
      </c>
      <c r="V3687" s="75" t="s">
        <v>2276</v>
      </c>
      <c r="W3687" s="21" t="s">
        <v>2402</v>
      </c>
      <c r="X3687" s="75" t="s">
        <v>2276</v>
      </c>
      <c r="Y3687" s="75" t="s">
        <v>2276</v>
      </c>
      <c r="Z3687" s="75" t="s">
        <v>2276</v>
      </c>
      <c r="AA3687" s="204"/>
      <c r="AB3687" s="82" t="s">
        <v>9648</v>
      </c>
    </row>
    <row r="3688" spans="1:28" ht="74" customHeight="1">
      <c r="A3688" s="156" t="str">
        <f>'Reported burning'!A3688</f>
        <v>403f</v>
      </c>
      <c r="B3688" s="156" t="str">
        <f>'Reported burning'!B3688</f>
        <v>403f.1</v>
      </c>
      <c r="C3688" s="156" t="str">
        <f>'Reported burning'!C3688</f>
        <v>Human, deliberate</v>
      </c>
      <c r="D3688" s="156" t="str">
        <f>'Reported burning'!D3688</f>
        <v>Crop field preparation</v>
      </c>
      <c r="E3688" s="156" t="str">
        <f>'Reported burning'!E3688</f>
        <v>Cropping, Swidden</v>
      </c>
      <c r="F3688" s="156" t="str">
        <f>'Reported burning'!F3688</f>
        <v>Secondary vegetation</v>
      </c>
      <c r="G3688" s="156" t="str">
        <f>'Reported burning'!G3688</f>
        <v>Secondary vegetation</v>
      </c>
      <c r="H3688" s="156" t="str">
        <f>'Reported burning'!H3688</f>
        <v>Presence</v>
      </c>
      <c r="I3688" s="5"/>
      <c r="J3688" s="75" t="s">
        <v>2276</v>
      </c>
      <c r="K3688" s="75" t="s">
        <v>2276</v>
      </c>
      <c r="L3688" s="75" t="s">
        <v>2276</v>
      </c>
      <c r="M3688" s="75" t="s">
        <v>2276</v>
      </c>
      <c r="N3688" s="75" t="s">
        <v>2276</v>
      </c>
      <c r="O3688" s="75" t="s">
        <v>2276</v>
      </c>
      <c r="P3688" s="75" t="s">
        <v>2276</v>
      </c>
      <c r="Q3688" s="75" t="s">
        <v>2276</v>
      </c>
      <c r="R3688" s="75" t="s">
        <v>2276</v>
      </c>
      <c r="S3688" s="75" t="s">
        <v>2276</v>
      </c>
      <c r="T3688" s="75" t="s">
        <v>2276</v>
      </c>
      <c r="U3688" s="75" t="s">
        <v>2276</v>
      </c>
      <c r="V3688" s="75" t="s">
        <v>2276</v>
      </c>
      <c r="W3688" s="21" t="s">
        <v>2402</v>
      </c>
      <c r="X3688" s="75" t="s">
        <v>2276</v>
      </c>
      <c r="Y3688" s="75" t="s">
        <v>2276</v>
      </c>
      <c r="Z3688" s="75" t="s">
        <v>2276</v>
      </c>
      <c r="AA3688" s="204"/>
      <c r="AB3688" s="82" t="s">
        <v>9648</v>
      </c>
    </row>
    <row r="3689" spans="1:28" ht="84" customHeight="1">
      <c r="A3689" s="156" t="str">
        <f>'Reported burning'!A3689</f>
        <v>403g</v>
      </c>
      <c r="B3689" s="156" t="str">
        <f>'Reported burning'!B3689</f>
        <v>403g.1</v>
      </c>
      <c r="C3689" s="156" t="str">
        <f>'Reported burning'!C3689</f>
        <v>Human, deliberate</v>
      </c>
      <c r="D3689" s="156" t="str">
        <f>'Reported burning'!D3689</f>
        <v>Crop field preparation</v>
      </c>
      <c r="E3689" s="156" t="str">
        <f>'Reported burning'!E3689</f>
        <v>Cropping, Swidden</v>
      </c>
      <c r="F3689" s="156" t="str">
        <f>'Reported burning'!F3689</f>
        <v>Secondary vegetation</v>
      </c>
      <c r="G3689" s="156" t="str">
        <f>'Reported burning'!G3689</f>
        <v>Secondary vegetation</v>
      </c>
      <c r="H3689" s="156" t="str">
        <f>'Reported burning'!H3689</f>
        <v>Presence</v>
      </c>
      <c r="I3689" s="5"/>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75" t="s">
        <v>2276</v>
      </c>
      <c r="W3689" s="21" t="s">
        <v>2402</v>
      </c>
      <c r="X3689" s="75" t="s">
        <v>2276</v>
      </c>
      <c r="Y3689" s="75" t="s">
        <v>2276</v>
      </c>
      <c r="Z3689" s="75" t="s">
        <v>2276</v>
      </c>
      <c r="AA3689" s="204"/>
      <c r="AB3689" s="82" t="s">
        <v>9648</v>
      </c>
    </row>
    <row r="3690" spans="1:28" ht="84" customHeight="1">
      <c r="A3690" s="156" t="str">
        <f>'Reported burning'!A3690</f>
        <v>403f</v>
      </c>
      <c r="B3690" s="156" t="str">
        <f>'Reported burning'!B3690</f>
        <v>403f.2</v>
      </c>
      <c r="C3690" s="156" t="str">
        <f>'Reported burning'!C3690</f>
        <v>Human, deliberate</v>
      </c>
      <c r="D3690" s="156" t="str">
        <f>'Reported burning'!D3690</f>
        <v>Crop field preparation</v>
      </c>
      <c r="E3690" s="156" t="str">
        <f>'Reported burning'!E3690</f>
        <v>Agroforestry, Subsistence-oriented</v>
      </c>
      <c r="F3690" s="156" t="str">
        <f>'Reported burning'!F3690</f>
        <v>Shrubland (Mixed forest &amp; grassland)</v>
      </c>
      <c r="G3690" s="156" t="str">
        <f>'Reported burning'!G3690</f>
        <v>Shrubland (Mixed forest &amp; grassland)</v>
      </c>
      <c r="H3690" s="156" t="str">
        <f>'Reported burning'!H3690</f>
        <v>Absence</v>
      </c>
      <c r="I3690" s="5"/>
      <c r="J3690" s="21">
        <v>0</v>
      </c>
      <c r="K3690" s="21">
        <v>0</v>
      </c>
      <c r="L3690" s="21">
        <v>0</v>
      </c>
      <c r="M3690" s="21">
        <v>0</v>
      </c>
      <c r="N3690" s="21">
        <v>0</v>
      </c>
      <c r="O3690" s="21">
        <v>0</v>
      </c>
      <c r="P3690" s="21">
        <v>0</v>
      </c>
      <c r="Q3690" s="21">
        <v>0</v>
      </c>
      <c r="R3690" s="21">
        <v>0</v>
      </c>
      <c r="S3690" s="21">
        <v>0</v>
      </c>
      <c r="T3690" s="21">
        <v>0</v>
      </c>
      <c r="U3690" s="21">
        <v>0</v>
      </c>
      <c r="V3690" s="21">
        <v>0</v>
      </c>
      <c r="W3690" s="75" t="s">
        <v>2276</v>
      </c>
      <c r="X3690" s="75" t="s">
        <v>2276</v>
      </c>
      <c r="Y3690" s="75" t="s">
        <v>2276</v>
      </c>
      <c r="Z3690" s="75" t="s">
        <v>2276</v>
      </c>
      <c r="AA3690" s="204"/>
      <c r="AB3690" s="204"/>
    </row>
    <row r="3691" spans="1:28" ht="84" customHeight="1">
      <c r="A3691" s="156" t="str">
        <f>'Reported burning'!A3691</f>
        <v>403h</v>
      </c>
      <c r="B3691" s="156" t="str">
        <f>'Reported burning'!B3691</f>
        <v>403h.2</v>
      </c>
      <c r="C3691" s="156" t="str">
        <f>'Reported burning'!C3691</f>
        <v>Human, deliberate</v>
      </c>
      <c r="D3691" s="156" t="str">
        <f>'Reported burning'!D3691</f>
        <v>Crop field preparation</v>
      </c>
      <c r="E3691" s="156" t="str">
        <f>'Reported burning'!E3691</f>
        <v>Agroforestry, Subsistence-oriented</v>
      </c>
      <c r="F3691" s="156" t="str">
        <f>'Reported burning'!F3691</f>
        <v>Shrubland (Mixed forest &amp; grassland)</v>
      </c>
      <c r="G3691" s="156" t="str">
        <f>'Reported burning'!G3691</f>
        <v>Shrubland (Mixed forest &amp; grassland)</v>
      </c>
      <c r="H3691" s="156" t="str">
        <f>'Reported burning'!H3691</f>
        <v>Absence</v>
      </c>
      <c r="I3691" s="5"/>
      <c r="J3691" s="21">
        <v>0</v>
      </c>
      <c r="K3691" s="21">
        <v>0</v>
      </c>
      <c r="L3691" s="21">
        <v>0</v>
      </c>
      <c r="M3691" s="21">
        <v>0</v>
      </c>
      <c r="N3691" s="21">
        <v>0</v>
      </c>
      <c r="O3691" s="21">
        <v>0</v>
      </c>
      <c r="P3691" s="21">
        <v>0</v>
      </c>
      <c r="Q3691" s="21">
        <v>0</v>
      </c>
      <c r="R3691" s="21">
        <v>0</v>
      </c>
      <c r="S3691" s="21">
        <v>0</v>
      </c>
      <c r="T3691" s="21">
        <v>0</v>
      </c>
      <c r="U3691" s="21">
        <v>0</v>
      </c>
      <c r="V3691" s="21">
        <v>0</v>
      </c>
      <c r="W3691" s="75" t="s">
        <v>2276</v>
      </c>
      <c r="X3691" s="75" t="s">
        <v>2276</v>
      </c>
      <c r="Y3691" s="75" t="s">
        <v>2276</v>
      </c>
      <c r="Z3691" s="75" t="s">
        <v>2276</v>
      </c>
      <c r="AA3691" s="204"/>
      <c r="AB3691" s="204"/>
    </row>
    <row r="3692" spans="1:28" ht="84" customHeight="1">
      <c r="A3692" s="156" t="str">
        <f>'Reported burning'!A3692</f>
        <v>403e</v>
      </c>
      <c r="B3692" s="156" t="str">
        <f>'Reported burning'!B3692</f>
        <v>403e.2</v>
      </c>
      <c r="C3692" s="156" t="str">
        <f>'Reported burning'!C3692</f>
        <v>Human, deliberate</v>
      </c>
      <c r="D3692" s="156" t="str">
        <f>'Reported burning'!D3692</f>
        <v>Crop field preparation</v>
      </c>
      <c r="E3692" s="156" t="str">
        <f>'Reported burning'!E3692</f>
        <v>Agroforestry, Subsistence-oriented</v>
      </c>
      <c r="F3692" s="156" t="str">
        <f>'Reported burning'!F3692</f>
        <v>Shrubland (Mixed forest &amp; grassland)</v>
      </c>
      <c r="G3692" s="156" t="str">
        <f>'Reported burning'!G3692</f>
        <v>Shrubland (Mixed forest &amp; grassland)</v>
      </c>
      <c r="H3692" s="156" t="str">
        <f>'Reported burning'!H3692</f>
        <v>Absence</v>
      </c>
      <c r="I3692" s="5"/>
      <c r="J3692" s="21">
        <v>0</v>
      </c>
      <c r="K3692" s="21">
        <v>0</v>
      </c>
      <c r="L3692" s="21">
        <v>0</v>
      </c>
      <c r="M3692" s="21">
        <v>0</v>
      </c>
      <c r="N3692" s="21">
        <v>0</v>
      </c>
      <c r="O3692" s="21">
        <v>0</v>
      </c>
      <c r="P3692" s="21">
        <v>0</v>
      </c>
      <c r="Q3692" s="21">
        <v>0</v>
      </c>
      <c r="R3692" s="21">
        <v>0</v>
      </c>
      <c r="S3692" s="21">
        <v>0</v>
      </c>
      <c r="T3692" s="21">
        <v>0</v>
      </c>
      <c r="U3692" s="21">
        <v>0</v>
      </c>
      <c r="V3692" s="21">
        <v>0</v>
      </c>
      <c r="W3692" s="75" t="s">
        <v>2276</v>
      </c>
      <c r="X3692" s="75" t="s">
        <v>2276</v>
      </c>
      <c r="Y3692" s="75" t="s">
        <v>2276</v>
      </c>
      <c r="Z3692" s="75" t="s">
        <v>2276</v>
      </c>
      <c r="AA3692" s="204"/>
      <c r="AB3692" s="204"/>
    </row>
    <row r="3693" spans="1:28" ht="84" customHeight="1">
      <c r="A3693" s="156" t="str">
        <f>'Reported burning'!A3693</f>
        <v>403b</v>
      </c>
      <c r="B3693" s="156" t="str">
        <f>'Reported burning'!B3693</f>
        <v>403b.2</v>
      </c>
      <c r="C3693" s="156" t="str">
        <f>'Reported burning'!C3693</f>
        <v>Human, deliberate</v>
      </c>
      <c r="D3693" s="156" t="str">
        <f>'Reported burning'!D3693</f>
        <v>Crop field preparation</v>
      </c>
      <c r="E3693" s="156" t="str">
        <f>'Reported burning'!E3693</f>
        <v>Agroforestry, Subsistence-oriented</v>
      </c>
      <c r="F3693" s="156" t="str">
        <f>'Reported burning'!F3693</f>
        <v>Shrubland (Mixed forest &amp; grassland)</v>
      </c>
      <c r="G3693" s="156" t="str">
        <f>'Reported burning'!G3693</f>
        <v>Shrubland (Mixed forest &amp; grassland)</v>
      </c>
      <c r="H3693" s="156" t="str">
        <f>'Reported burning'!H3693</f>
        <v>Absence</v>
      </c>
      <c r="I3693" s="5"/>
      <c r="J3693" s="21">
        <v>0</v>
      </c>
      <c r="K3693" s="21">
        <v>0</v>
      </c>
      <c r="L3693" s="21">
        <v>0</v>
      </c>
      <c r="M3693" s="21">
        <v>0</v>
      </c>
      <c r="N3693" s="21">
        <v>0</v>
      </c>
      <c r="O3693" s="21">
        <v>0</v>
      </c>
      <c r="P3693" s="21">
        <v>0</v>
      </c>
      <c r="Q3693" s="21">
        <v>0</v>
      </c>
      <c r="R3693" s="21">
        <v>0</v>
      </c>
      <c r="S3693" s="21">
        <v>0</v>
      </c>
      <c r="T3693" s="21">
        <v>0</v>
      </c>
      <c r="U3693" s="21">
        <v>0</v>
      </c>
      <c r="V3693" s="21">
        <v>0</v>
      </c>
      <c r="W3693" s="75" t="s">
        <v>2276</v>
      </c>
      <c r="X3693" s="75" t="s">
        <v>2276</v>
      </c>
      <c r="Y3693" s="75" t="s">
        <v>2276</v>
      </c>
      <c r="Z3693" s="75" t="s">
        <v>2276</v>
      </c>
      <c r="AA3693" s="204"/>
      <c r="AB3693" s="204"/>
    </row>
    <row r="3694" spans="1:28" ht="84" customHeight="1">
      <c r="A3694" s="156" t="str">
        <f>'Reported burning'!A3694</f>
        <v>403c</v>
      </c>
      <c r="B3694" s="156" t="str">
        <f>'Reported burning'!B3694</f>
        <v>403c.2</v>
      </c>
      <c r="C3694" s="156" t="str">
        <f>'Reported burning'!C3694</f>
        <v>Human, deliberate</v>
      </c>
      <c r="D3694" s="156" t="str">
        <f>'Reported burning'!D3694</f>
        <v>Crop field preparation</v>
      </c>
      <c r="E3694" s="156" t="str">
        <f>'Reported burning'!E3694</f>
        <v>Mixed cropping-livestock small holder, Subsistence-oriented</v>
      </c>
      <c r="F3694" s="156" t="str">
        <f>'Reported burning'!F3694</f>
        <v>Cropland</v>
      </c>
      <c r="G3694" s="156" t="str">
        <f>'Reported burning'!G3694</f>
        <v>Cropland</v>
      </c>
      <c r="H3694" s="156" t="str">
        <f>'Reported burning'!H3694</f>
        <v>Absence</v>
      </c>
      <c r="I3694" s="5"/>
      <c r="J3694" s="21">
        <v>0</v>
      </c>
      <c r="K3694" s="21">
        <v>0</v>
      </c>
      <c r="L3694" s="21">
        <v>0</v>
      </c>
      <c r="M3694" s="21">
        <v>0</v>
      </c>
      <c r="N3694" s="21">
        <v>0</v>
      </c>
      <c r="O3694" s="21">
        <v>0</v>
      </c>
      <c r="P3694" s="21">
        <v>0</v>
      </c>
      <c r="Q3694" s="21">
        <v>0</v>
      </c>
      <c r="R3694" s="21">
        <v>0</v>
      </c>
      <c r="S3694" s="21">
        <v>0</v>
      </c>
      <c r="T3694" s="21">
        <v>0</v>
      </c>
      <c r="U3694" s="21">
        <v>0</v>
      </c>
      <c r="V3694" s="21">
        <v>0</v>
      </c>
      <c r="W3694" s="75" t="s">
        <v>2276</v>
      </c>
      <c r="X3694" s="75" t="s">
        <v>2276</v>
      </c>
      <c r="Y3694" s="75" t="s">
        <v>2276</v>
      </c>
      <c r="Z3694" s="75" t="s">
        <v>2276</v>
      </c>
      <c r="AA3694" s="4" t="s">
        <v>9654</v>
      </c>
      <c r="AB3694" s="204"/>
    </row>
    <row r="3695" spans="1:28" ht="43.5" customHeight="1">
      <c r="A3695" s="152" t="str">
        <f>'Reported burning'!A3695</f>
        <v>404a</v>
      </c>
      <c r="B3695" s="152" t="str">
        <f>'Reported burning'!B3695</f>
        <v>404a.1</v>
      </c>
      <c r="C3695" s="152" t="str">
        <f>'Reported burning'!C3695</f>
        <v>Human, escaped</v>
      </c>
      <c r="D3695" s="152" t="str">
        <f>'Reported burning'!D3695</f>
        <v>ND</v>
      </c>
      <c r="E3695" s="152" t="str">
        <f>'Reported burning'!E3695</f>
        <v>ND</v>
      </c>
      <c r="F3695" s="152" t="str">
        <f>'Reported burning'!F3695</f>
        <v>ND</v>
      </c>
      <c r="G3695" s="152" t="str">
        <f>'Reported burning'!G3695</f>
        <v>Forest</v>
      </c>
      <c r="H3695" s="152" t="str">
        <f>'Reported burning'!H3695</f>
        <v>Presence</v>
      </c>
      <c r="I3695" s="204"/>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21" t="s">
        <v>2527</v>
      </c>
      <c r="W3695" s="75" t="s">
        <v>2276</v>
      </c>
      <c r="X3695" s="204" t="s">
        <v>399</v>
      </c>
      <c r="Y3695" s="204" t="s">
        <v>189</v>
      </c>
      <c r="Z3695" s="204" t="s">
        <v>2655</v>
      </c>
      <c r="AA3695" s="204" t="s">
        <v>9665</v>
      </c>
      <c r="AB3695" s="204"/>
    </row>
    <row r="3696" spans="1:28" ht="44.5" customHeight="1">
      <c r="A3696" s="156" t="str">
        <f>'Reported burning'!A3696</f>
        <v>404a</v>
      </c>
      <c r="B3696" s="156" t="str">
        <f>'Reported burning'!B3696</f>
        <v>404a.2</v>
      </c>
      <c r="C3696" s="156" t="str">
        <f>'Reported burning'!C3696</f>
        <v>Human, escaped</v>
      </c>
      <c r="D3696" s="156" t="str">
        <f>'Reported burning'!D3696</f>
        <v>ND</v>
      </c>
      <c r="E3696" s="156" t="str">
        <f>'Reported burning'!E3696</f>
        <v>ND</v>
      </c>
      <c r="F3696" s="156" t="str">
        <f>'Reported burning'!F3696</f>
        <v>ND</v>
      </c>
      <c r="G3696" s="156" t="str">
        <f>'Reported burning'!G3696</f>
        <v>Forest</v>
      </c>
      <c r="H3696" s="156" t="str">
        <f>'Reported burning'!H3696</f>
        <v>Absence</v>
      </c>
      <c r="I3696" s="5"/>
      <c r="J3696" s="21">
        <v>0</v>
      </c>
      <c r="K3696" s="21">
        <v>0</v>
      </c>
      <c r="L3696" s="21">
        <v>0</v>
      </c>
      <c r="M3696" s="21">
        <v>0</v>
      </c>
      <c r="N3696" s="21">
        <v>0</v>
      </c>
      <c r="O3696" s="21">
        <v>0</v>
      </c>
      <c r="P3696" s="21">
        <v>0</v>
      </c>
      <c r="Q3696" s="21">
        <v>0</v>
      </c>
      <c r="R3696" s="21">
        <v>0</v>
      </c>
      <c r="S3696" s="21">
        <v>0</v>
      </c>
      <c r="T3696" s="21">
        <v>0</v>
      </c>
      <c r="U3696" s="21">
        <v>0</v>
      </c>
      <c r="V3696" s="21">
        <v>0</v>
      </c>
      <c r="W3696" s="75" t="s">
        <v>2276</v>
      </c>
      <c r="X3696" s="75" t="s">
        <v>2276</v>
      </c>
      <c r="Y3696" s="75" t="s">
        <v>2276</v>
      </c>
      <c r="Z3696" s="75" t="s">
        <v>2276</v>
      </c>
      <c r="AA3696" s="4" t="s">
        <v>9669</v>
      </c>
      <c r="AB3696" s="204"/>
    </row>
    <row r="3697" spans="1:28" ht="44.5" customHeight="1">
      <c r="A3697" s="156" t="str">
        <f>'Reported burning'!A3697</f>
        <v>404a</v>
      </c>
      <c r="B3697" s="156" t="str">
        <f>'Reported burning'!B3697</f>
        <v>404a.3</v>
      </c>
      <c r="C3697" s="156" t="str">
        <f>'Reported burning'!C3697</f>
        <v>Human, deliberate</v>
      </c>
      <c r="D3697" s="156" t="str">
        <f>'Reported burning'!D3697</f>
        <v>Crop field preparation</v>
      </c>
      <c r="E3697" s="156" t="str">
        <f>'Reported burning'!E3697</f>
        <v>Cropping, Swidden</v>
      </c>
      <c r="F3697" s="156" t="str">
        <f>'Reported burning'!F3697</f>
        <v>Secondary vegetation</v>
      </c>
      <c r="G3697" s="156" t="str">
        <f>'Reported burning'!G3697</f>
        <v>Secondary vegetation</v>
      </c>
      <c r="H3697" s="156" t="str">
        <f>'Reported burning'!H3697</f>
        <v>Presence</v>
      </c>
      <c r="I3697" s="5"/>
      <c r="J3697" s="75" t="s">
        <v>2276</v>
      </c>
      <c r="K3697" s="75" t="s">
        <v>2276</v>
      </c>
      <c r="L3697" s="75" t="s">
        <v>2276</v>
      </c>
      <c r="M3697" s="75" t="s">
        <v>2276</v>
      </c>
      <c r="N3697" s="75" t="s">
        <v>2276</v>
      </c>
      <c r="O3697" s="75" t="s">
        <v>2276</v>
      </c>
      <c r="P3697" s="75" t="s">
        <v>2276</v>
      </c>
      <c r="Q3697" s="75" t="s">
        <v>2276</v>
      </c>
      <c r="R3697" s="75" t="s">
        <v>2276</v>
      </c>
      <c r="S3697" s="75" t="s">
        <v>2276</v>
      </c>
      <c r="T3697" s="75" t="s">
        <v>2276</v>
      </c>
      <c r="U3697" s="75" t="s">
        <v>2276</v>
      </c>
      <c r="V3697" s="75" t="s">
        <v>2276</v>
      </c>
      <c r="W3697" s="75" t="s">
        <v>2276</v>
      </c>
      <c r="X3697" s="75" t="s">
        <v>2276</v>
      </c>
      <c r="Y3697" s="75" t="s">
        <v>2276</v>
      </c>
      <c r="Z3697" s="75" t="s">
        <v>2276</v>
      </c>
      <c r="AA3697" s="204"/>
      <c r="AB3697" s="204"/>
    </row>
    <row r="3698" spans="1:28" ht="44.5" customHeight="1">
      <c r="A3698" s="156" t="str">
        <f>'Reported burning'!A3698</f>
        <v>404a</v>
      </c>
      <c r="B3698" s="156" t="str">
        <f>'Reported burning'!B3698</f>
        <v>404a.4</v>
      </c>
      <c r="C3698" s="156" t="str">
        <f>'Reported burning'!C3698</f>
        <v>Human, deliberate</v>
      </c>
      <c r="D3698" s="156" t="str">
        <f>'Reported burning'!D3698</f>
        <v>Crop residue burning</v>
      </c>
      <c r="E3698" s="156" t="str">
        <f>'Reported burning'!E3698</f>
        <v>Cropping, Swidden</v>
      </c>
      <c r="F3698" s="156" t="str">
        <f>'Reported burning'!F3698</f>
        <v>Secondary vegetation</v>
      </c>
      <c r="G3698" s="156" t="str">
        <f>'Reported burning'!G3698</f>
        <v>Secondary vegetation</v>
      </c>
      <c r="H3698" s="156" t="str">
        <f>'Reported burning'!H3698</f>
        <v>Presence</v>
      </c>
      <c r="I3698" s="5"/>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75" t="s">
        <v>2276</v>
      </c>
      <c r="W3698" s="75" t="s">
        <v>2276</v>
      </c>
      <c r="X3698" s="75" t="s">
        <v>2276</v>
      </c>
      <c r="Y3698" s="75" t="s">
        <v>2276</v>
      </c>
      <c r="Z3698" s="75" t="s">
        <v>2276</v>
      </c>
      <c r="AA3698" s="204"/>
      <c r="AB3698" s="204"/>
    </row>
    <row r="3699" spans="1:28" ht="130" customHeight="1">
      <c r="A3699" s="156" t="str">
        <f>'Reported burning'!A3699</f>
        <v>405a</v>
      </c>
      <c r="B3699" s="156" t="str">
        <f>'Reported burning'!B3699</f>
        <v>405a.1</v>
      </c>
      <c r="C3699" s="156" t="str">
        <f>'Reported burning'!C3699</f>
        <v>Human, deliberate</v>
      </c>
      <c r="D3699" s="156" t="str">
        <f>'Reported burning'!D3699</f>
        <v>Crop field preparation</v>
      </c>
      <c r="E3699" s="156" t="str">
        <f>'Reported burning'!E3699</f>
        <v>Cropping, Swidden</v>
      </c>
      <c r="F3699" s="156" t="str">
        <f>'Reported burning'!F3699</f>
        <v>Forest</v>
      </c>
      <c r="G3699" s="156" t="str">
        <f>'Reported burning'!G3699</f>
        <v>Forest</v>
      </c>
      <c r="H3699" s="156" t="str">
        <f>'Reported burning'!H3699</f>
        <v>Presence</v>
      </c>
      <c r="I3699" s="5"/>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75" t="s">
        <v>2276</v>
      </c>
      <c r="W3699" s="75" t="s">
        <v>2276</v>
      </c>
      <c r="X3699" s="75" t="s">
        <v>2276</v>
      </c>
      <c r="Y3699" s="75" t="s">
        <v>2276</v>
      </c>
      <c r="Z3699" s="241" t="s">
        <v>2276</v>
      </c>
      <c r="AA3699" s="242" t="s">
        <v>9729</v>
      </c>
      <c r="AB3699" s="204" t="s">
        <v>9686</v>
      </c>
    </row>
    <row r="3700" spans="1:28" ht="49.5" customHeight="1">
      <c r="A3700" s="156" t="str">
        <f>'Reported burning'!A3700</f>
        <v>405b</v>
      </c>
      <c r="B3700" s="156" t="str">
        <f>'Reported burning'!B3700</f>
        <v>405b.1</v>
      </c>
      <c r="C3700" s="156" t="str">
        <f>'Reported burning'!C3700</f>
        <v>Human, deliberate</v>
      </c>
      <c r="D3700" s="156" t="str">
        <f>'Reported burning'!D3700</f>
        <v>Crop field preparation</v>
      </c>
      <c r="E3700" s="156" t="str">
        <f>'Reported burning'!E3700</f>
        <v>Cropping, Swidden</v>
      </c>
      <c r="F3700" s="156" t="str">
        <f>'Reported burning'!F3700</f>
        <v>Forest</v>
      </c>
      <c r="G3700" s="156" t="str">
        <f>'Reported burning'!G3700</f>
        <v>Forest</v>
      </c>
      <c r="H3700" s="156" t="str">
        <f>'Reported burning'!H3700</f>
        <v>Presence</v>
      </c>
      <c r="I3700" s="5"/>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75" t="s">
        <v>2276</v>
      </c>
      <c r="W3700" s="75" t="s">
        <v>2276</v>
      </c>
      <c r="X3700" s="75" t="s">
        <v>2276</v>
      </c>
      <c r="Y3700" s="75" t="s">
        <v>2276</v>
      </c>
      <c r="Z3700" s="241" t="s">
        <v>2276</v>
      </c>
      <c r="AA3700" s="19"/>
      <c r="AB3700" s="204" t="s">
        <v>9686</v>
      </c>
    </row>
    <row r="3701" spans="1:28" ht="44.5" customHeight="1">
      <c r="A3701" s="156" t="str">
        <f>'Reported burning'!A3701</f>
        <v>405c</v>
      </c>
      <c r="B3701" s="156" t="str">
        <f>'Reported burning'!B3701</f>
        <v>405c.1</v>
      </c>
      <c r="C3701" s="156" t="str">
        <f>'Reported burning'!C3701</f>
        <v>Human, deliberate</v>
      </c>
      <c r="D3701" s="156" t="str">
        <f>'Reported burning'!D3701</f>
        <v>Crop field preparation</v>
      </c>
      <c r="E3701" s="156" t="str">
        <f>'Reported burning'!E3701</f>
        <v>Cropping, Swidden</v>
      </c>
      <c r="F3701" s="156" t="str">
        <f>'Reported burning'!F3701</f>
        <v>Forest</v>
      </c>
      <c r="G3701" s="156" t="str">
        <f>'Reported burning'!G3701</f>
        <v>Forest</v>
      </c>
      <c r="H3701" s="156" t="str">
        <f>'Reported burning'!H3701</f>
        <v>Presence</v>
      </c>
      <c r="I3701" s="5"/>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75" t="s">
        <v>2276</v>
      </c>
      <c r="W3701" s="75" t="s">
        <v>2276</v>
      </c>
      <c r="X3701" s="75" t="s">
        <v>2276</v>
      </c>
      <c r="Y3701" s="75" t="s">
        <v>2276</v>
      </c>
      <c r="Z3701" s="241" t="s">
        <v>2276</v>
      </c>
      <c r="AA3701" s="19"/>
      <c r="AB3701" s="204" t="s">
        <v>9686</v>
      </c>
    </row>
    <row r="3702" spans="1:28" ht="44.5" customHeight="1">
      <c r="A3702" s="156" t="str">
        <f>'Reported burning'!A3702</f>
        <v>405d</v>
      </c>
      <c r="B3702" s="156" t="str">
        <f>'Reported burning'!B3702</f>
        <v>405d.1</v>
      </c>
      <c r="C3702" s="156" t="str">
        <f>'Reported burning'!C3702</f>
        <v>Human, deliberate</v>
      </c>
      <c r="D3702" s="156" t="str">
        <f>'Reported burning'!D3702</f>
        <v>Crop field preparation</v>
      </c>
      <c r="E3702" s="156" t="str">
        <f>'Reported burning'!E3702</f>
        <v>Cropping, Swidden</v>
      </c>
      <c r="F3702" s="156" t="str">
        <f>'Reported burning'!F3702</f>
        <v>Forest</v>
      </c>
      <c r="G3702" s="156" t="str">
        <f>'Reported burning'!G3702</f>
        <v>Forest</v>
      </c>
      <c r="H3702" s="156" t="str">
        <f>'Reported burning'!H3702</f>
        <v>Presence</v>
      </c>
      <c r="I3702" s="5"/>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75" t="s">
        <v>2276</v>
      </c>
      <c r="W3702" s="75" t="s">
        <v>2276</v>
      </c>
      <c r="X3702" s="75" t="s">
        <v>2276</v>
      </c>
      <c r="Y3702" s="75" t="s">
        <v>2276</v>
      </c>
      <c r="Z3702" s="241" t="s">
        <v>2276</v>
      </c>
      <c r="AA3702" s="19"/>
      <c r="AB3702" s="204" t="s">
        <v>9686</v>
      </c>
    </row>
    <row r="3703" spans="1:28" ht="44.5" customHeight="1">
      <c r="A3703" s="156" t="str">
        <f>'Reported burning'!A3703</f>
        <v>405e</v>
      </c>
      <c r="B3703" s="156" t="str">
        <f>'Reported burning'!B3703</f>
        <v>405e.1</v>
      </c>
      <c r="C3703" s="156" t="str">
        <f>'Reported burning'!C3703</f>
        <v>Human, deliberate</v>
      </c>
      <c r="D3703" s="156" t="str">
        <f>'Reported burning'!D3703</f>
        <v>Crop field preparation</v>
      </c>
      <c r="E3703" s="156" t="str">
        <f>'Reported burning'!E3703</f>
        <v>Cropping, Swidden</v>
      </c>
      <c r="F3703" s="156" t="str">
        <f>'Reported burning'!F3703</f>
        <v>Forest</v>
      </c>
      <c r="G3703" s="156" t="str">
        <f>'Reported burning'!G3703</f>
        <v>Forest</v>
      </c>
      <c r="H3703" s="156" t="str">
        <f>'Reported burning'!H3703</f>
        <v>Presence</v>
      </c>
      <c r="I3703" s="5"/>
      <c r="J3703" s="75" t="s">
        <v>2276</v>
      </c>
      <c r="K3703" s="75" t="s">
        <v>2276</v>
      </c>
      <c r="L3703" s="75" t="s">
        <v>2276</v>
      </c>
      <c r="M3703" s="75" t="s">
        <v>2276</v>
      </c>
      <c r="N3703" s="75" t="s">
        <v>2276</v>
      </c>
      <c r="O3703" s="75" t="s">
        <v>2276</v>
      </c>
      <c r="P3703" s="75" t="s">
        <v>2276</v>
      </c>
      <c r="Q3703" s="75" t="s">
        <v>2276</v>
      </c>
      <c r="R3703" s="75" t="s">
        <v>2276</v>
      </c>
      <c r="S3703" s="75" t="s">
        <v>2276</v>
      </c>
      <c r="T3703" s="75" t="s">
        <v>2276</v>
      </c>
      <c r="U3703" s="75" t="s">
        <v>2276</v>
      </c>
      <c r="V3703" s="75" t="s">
        <v>2276</v>
      </c>
      <c r="W3703" s="75" t="s">
        <v>2276</v>
      </c>
      <c r="X3703" s="75" t="s">
        <v>2276</v>
      </c>
      <c r="Y3703" s="75" t="s">
        <v>2276</v>
      </c>
      <c r="Z3703" s="241" t="s">
        <v>2276</v>
      </c>
      <c r="AA3703" s="19"/>
      <c r="AB3703" s="204" t="s">
        <v>9686</v>
      </c>
    </row>
    <row r="3704" spans="1:28" ht="44.5" customHeight="1">
      <c r="A3704" s="156" t="str">
        <f>'Reported burning'!A3704</f>
        <v>405f</v>
      </c>
      <c r="B3704" s="156" t="str">
        <f>'Reported burning'!B3704</f>
        <v>405f.1</v>
      </c>
      <c r="C3704" s="156" t="str">
        <f>'Reported burning'!C3704</f>
        <v>Human, deliberate</v>
      </c>
      <c r="D3704" s="156" t="str">
        <f>'Reported burning'!D3704</f>
        <v>Crop field preparation</v>
      </c>
      <c r="E3704" s="156" t="str">
        <f>'Reported burning'!E3704</f>
        <v>Cropping, Swidden</v>
      </c>
      <c r="F3704" s="156" t="str">
        <f>'Reported burning'!F3704</f>
        <v>Forest</v>
      </c>
      <c r="G3704" s="156" t="str">
        <f>'Reported burning'!G3704</f>
        <v>Forest</v>
      </c>
      <c r="H3704" s="156" t="str">
        <f>'Reported burning'!H3704</f>
        <v>Presence</v>
      </c>
      <c r="I3704" s="5"/>
      <c r="J3704" s="75" t="s">
        <v>2276</v>
      </c>
      <c r="K3704" s="75" t="s">
        <v>2276</v>
      </c>
      <c r="L3704" s="75" t="s">
        <v>2276</v>
      </c>
      <c r="M3704" s="75" t="s">
        <v>2276</v>
      </c>
      <c r="N3704" s="75" t="s">
        <v>2276</v>
      </c>
      <c r="O3704" s="75" t="s">
        <v>2276</v>
      </c>
      <c r="P3704" s="75" t="s">
        <v>2276</v>
      </c>
      <c r="Q3704" s="75" t="s">
        <v>2276</v>
      </c>
      <c r="R3704" s="75" t="s">
        <v>2276</v>
      </c>
      <c r="S3704" s="75" t="s">
        <v>2276</v>
      </c>
      <c r="T3704" s="75" t="s">
        <v>2276</v>
      </c>
      <c r="U3704" s="75" t="s">
        <v>2276</v>
      </c>
      <c r="V3704" s="75" t="s">
        <v>2276</v>
      </c>
      <c r="W3704" s="75" t="s">
        <v>2276</v>
      </c>
      <c r="X3704" s="75" t="s">
        <v>2276</v>
      </c>
      <c r="Y3704" s="75" t="s">
        <v>2276</v>
      </c>
      <c r="Z3704" s="241" t="s">
        <v>2276</v>
      </c>
      <c r="AA3704" s="19"/>
      <c r="AB3704" s="204" t="s">
        <v>9686</v>
      </c>
    </row>
    <row r="3705" spans="1:28" ht="44.5" customHeight="1">
      <c r="A3705" s="156" t="str">
        <f>'Reported burning'!A3705</f>
        <v>405a</v>
      </c>
      <c r="B3705" s="156" t="str">
        <f>'Reported burning'!B3705</f>
        <v>405a.2</v>
      </c>
      <c r="C3705" s="156" t="str">
        <f>'Reported burning'!C3705</f>
        <v>Human, deliberate</v>
      </c>
      <c r="D3705" s="156" t="str">
        <f>'Reported burning'!D3705</f>
        <v>Crop field preparation</v>
      </c>
      <c r="E3705" s="156" t="str">
        <f>'Reported burning'!E3705</f>
        <v>Cropping, Swidden</v>
      </c>
      <c r="F3705" s="156" t="str">
        <f>'Reported burning'!F3705</f>
        <v>Secondary vegetation</v>
      </c>
      <c r="G3705" s="156" t="str">
        <f>'Reported burning'!G3705</f>
        <v>Secondary vegetation</v>
      </c>
      <c r="H3705" s="156" t="str">
        <f>'Reported burning'!H3705</f>
        <v>Presence</v>
      </c>
      <c r="I3705" s="5"/>
      <c r="J3705" s="75" t="s">
        <v>2276</v>
      </c>
      <c r="K3705" s="75" t="s">
        <v>2276</v>
      </c>
      <c r="L3705" s="75" t="s">
        <v>2276</v>
      </c>
      <c r="M3705" s="75" t="s">
        <v>2276</v>
      </c>
      <c r="N3705" s="75" t="s">
        <v>2276</v>
      </c>
      <c r="O3705" s="75" t="s">
        <v>2276</v>
      </c>
      <c r="P3705" s="75" t="s">
        <v>2276</v>
      </c>
      <c r="Q3705" s="75" t="s">
        <v>2276</v>
      </c>
      <c r="R3705" s="75" t="s">
        <v>2276</v>
      </c>
      <c r="S3705" s="75" t="s">
        <v>2276</v>
      </c>
      <c r="T3705" s="75" t="s">
        <v>2276</v>
      </c>
      <c r="U3705" s="75" t="s">
        <v>2276</v>
      </c>
      <c r="V3705" s="75" t="s">
        <v>2276</v>
      </c>
      <c r="W3705" s="75" t="s">
        <v>2276</v>
      </c>
      <c r="X3705" s="75" t="s">
        <v>2276</v>
      </c>
      <c r="Y3705" s="75" t="s">
        <v>2276</v>
      </c>
      <c r="Z3705" s="241" t="s">
        <v>2276</v>
      </c>
      <c r="AA3705" s="204"/>
      <c r="AB3705" s="204"/>
    </row>
    <row r="3706" spans="1:28" ht="44.5" customHeight="1">
      <c r="A3706" s="156" t="str">
        <f>'Reported burning'!A3706</f>
        <v>405b</v>
      </c>
      <c r="B3706" s="156" t="str">
        <f>'Reported burning'!B3706</f>
        <v>405b.2</v>
      </c>
      <c r="C3706" s="156" t="str">
        <f>'Reported burning'!C3706</f>
        <v>Human, deliberate</v>
      </c>
      <c r="D3706" s="156" t="str">
        <f>'Reported burning'!D3706</f>
        <v>Crop field preparation</v>
      </c>
      <c r="E3706" s="156" t="str">
        <f>'Reported burning'!E3706</f>
        <v>Cropping, Swidden</v>
      </c>
      <c r="F3706" s="156" t="str">
        <f>'Reported burning'!F3706</f>
        <v>Secondary vegetation</v>
      </c>
      <c r="G3706" s="156" t="str">
        <f>'Reported burning'!G3706</f>
        <v>Secondary vegetation</v>
      </c>
      <c r="H3706" s="156" t="str">
        <f>'Reported burning'!H3706</f>
        <v>Presence</v>
      </c>
      <c r="I3706" s="5"/>
      <c r="J3706" s="75" t="s">
        <v>2276</v>
      </c>
      <c r="K3706" s="75" t="s">
        <v>2276</v>
      </c>
      <c r="L3706" s="75" t="s">
        <v>2276</v>
      </c>
      <c r="M3706" s="75" t="s">
        <v>2276</v>
      </c>
      <c r="N3706" s="75" t="s">
        <v>2276</v>
      </c>
      <c r="O3706" s="75" t="s">
        <v>2276</v>
      </c>
      <c r="P3706" s="75" t="s">
        <v>2276</v>
      </c>
      <c r="Q3706" s="75" t="s">
        <v>2276</v>
      </c>
      <c r="R3706" s="75" t="s">
        <v>2276</v>
      </c>
      <c r="S3706" s="75" t="s">
        <v>2276</v>
      </c>
      <c r="T3706" s="75" t="s">
        <v>2276</v>
      </c>
      <c r="U3706" s="75" t="s">
        <v>2276</v>
      </c>
      <c r="V3706" s="75" t="s">
        <v>2276</v>
      </c>
      <c r="W3706" s="75" t="s">
        <v>2276</v>
      </c>
      <c r="X3706" s="75" t="s">
        <v>2276</v>
      </c>
      <c r="Y3706" s="75" t="s">
        <v>2276</v>
      </c>
      <c r="Z3706" s="241" t="s">
        <v>2276</v>
      </c>
      <c r="AA3706" s="204"/>
      <c r="AB3706" s="204"/>
    </row>
    <row r="3707" spans="1:28" ht="44.5" customHeight="1">
      <c r="A3707" s="156" t="str">
        <f>'Reported burning'!A3707</f>
        <v>405c</v>
      </c>
      <c r="B3707" s="156" t="str">
        <f>'Reported burning'!B3707</f>
        <v>405c.2</v>
      </c>
      <c r="C3707" s="156" t="str">
        <f>'Reported burning'!C3707</f>
        <v>Human, deliberate</v>
      </c>
      <c r="D3707" s="156" t="str">
        <f>'Reported burning'!D3707</f>
        <v>Crop field preparation</v>
      </c>
      <c r="E3707" s="156" t="str">
        <f>'Reported burning'!E3707</f>
        <v>Cropping, Swidden</v>
      </c>
      <c r="F3707" s="156" t="str">
        <f>'Reported burning'!F3707</f>
        <v>Secondary vegetation</v>
      </c>
      <c r="G3707" s="156" t="str">
        <f>'Reported burning'!G3707</f>
        <v>Secondary vegetation</v>
      </c>
      <c r="H3707" s="156" t="str">
        <f>'Reported burning'!H3707</f>
        <v>Presence</v>
      </c>
      <c r="I3707" s="5"/>
      <c r="J3707" s="75" t="s">
        <v>2276</v>
      </c>
      <c r="K3707" s="75" t="s">
        <v>2276</v>
      </c>
      <c r="L3707" s="75" t="s">
        <v>2276</v>
      </c>
      <c r="M3707" s="75" t="s">
        <v>2276</v>
      </c>
      <c r="N3707" s="75" t="s">
        <v>2276</v>
      </c>
      <c r="O3707" s="75" t="s">
        <v>2276</v>
      </c>
      <c r="P3707" s="75" t="s">
        <v>2276</v>
      </c>
      <c r="Q3707" s="75" t="s">
        <v>2276</v>
      </c>
      <c r="R3707" s="75" t="s">
        <v>2276</v>
      </c>
      <c r="S3707" s="75" t="s">
        <v>2276</v>
      </c>
      <c r="T3707" s="75" t="s">
        <v>2276</v>
      </c>
      <c r="U3707" s="75" t="s">
        <v>2276</v>
      </c>
      <c r="V3707" s="75" t="s">
        <v>2276</v>
      </c>
      <c r="W3707" s="75" t="s">
        <v>2276</v>
      </c>
      <c r="X3707" s="75" t="s">
        <v>2276</v>
      </c>
      <c r="Y3707" s="75" t="s">
        <v>2276</v>
      </c>
      <c r="Z3707" s="241" t="s">
        <v>2276</v>
      </c>
      <c r="AA3707" s="204"/>
      <c r="AB3707" s="204"/>
    </row>
    <row r="3708" spans="1:28" ht="44.5" customHeight="1">
      <c r="A3708" s="156" t="str">
        <f>'Reported burning'!A3708</f>
        <v>405d</v>
      </c>
      <c r="B3708" s="156" t="str">
        <f>'Reported burning'!B3708</f>
        <v>405d.2</v>
      </c>
      <c r="C3708" s="156" t="str">
        <f>'Reported burning'!C3708</f>
        <v>Human, deliberate</v>
      </c>
      <c r="D3708" s="156" t="str">
        <f>'Reported burning'!D3708</f>
        <v>Crop field preparation</v>
      </c>
      <c r="E3708" s="156" t="str">
        <f>'Reported burning'!E3708</f>
        <v>Cropping, Swidden</v>
      </c>
      <c r="F3708" s="156" t="str">
        <f>'Reported burning'!F3708</f>
        <v>Secondary vegetation</v>
      </c>
      <c r="G3708" s="156" t="str">
        <f>'Reported burning'!G3708</f>
        <v>Secondary vegetation</v>
      </c>
      <c r="H3708" s="156" t="str">
        <f>'Reported burning'!H3708</f>
        <v>Presence</v>
      </c>
      <c r="I3708" s="5"/>
      <c r="J3708" s="75" t="s">
        <v>2276</v>
      </c>
      <c r="K3708" s="75" t="s">
        <v>2276</v>
      </c>
      <c r="L3708" s="75" t="s">
        <v>2276</v>
      </c>
      <c r="M3708" s="75" t="s">
        <v>2276</v>
      </c>
      <c r="N3708" s="75" t="s">
        <v>2276</v>
      </c>
      <c r="O3708" s="75" t="s">
        <v>2276</v>
      </c>
      <c r="P3708" s="75" t="s">
        <v>2276</v>
      </c>
      <c r="Q3708" s="75" t="s">
        <v>2276</v>
      </c>
      <c r="R3708" s="75" t="s">
        <v>2276</v>
      </c>
      <c r="S3708" s="75" t="s">
        <v>2276</v>
      </c>
      <c r="T3708" s="75" t="s">
        <v>2276</v>
      </c>
      <c r="U3708" s="75" t="s">
        <v>2276</v>
      </c>
      <c r="V3708" s="75" t="s">
        <v>2276</v>
      </c>
      <c r="W3708" s="75" t="s">
        <v>2276</v>
      </c>
      <c r="X3708" s="75" t="s">
        <v>2276</v>
      </c>
      <c r="Y3708" s="75" t="s">
        <v>2276</v>
      </c>
      <c r="Z3708" s="241" t="s">
        <v>2276</v>
      </c>
      <c r="AA3708" s="204"/>
      <c r="AB3708" s="204"/>
    </row>
    <row r="3709" spans="1:28" ht="44.5" customHeight="1">
      <c r="A3709" s="156" t="str">
        <f>'Reported burning'!A3709</f>
        <v>405e</v>
      </c>
      <c r="B3709" s="156" t="str">
        <f>'Reported burning'!B3709</f>
        <v>405e.2</v>
      </c>
      <c r="C3709" s="156" t="str">
        <f>'Reported burning'!C3709</f>
        <v>Human, deliberate</v>
      </c>
      <c r="D3709" s="156" t="str">
        <f>'Reported burning'!D3709</f>
        <v>Crop field preparation</v>
      </c>
      <c r="E3709" s="156" t="str">
        <f>'Reported burning'!E3709</f>
        <v>Cropping, Swidden</v>
      </c>
      <c r="F3709" s="156" t="str">
        <f>'Reported burning'!F3709</f>
        <v>Secondary vegetation</v>
      </c>
      <c r="G3709" s="156" t="str">
        <f>'Reported burning'!G3709</f>
        <v>Secondary vegetation</v>
      </c>
      <c r="H3709" s="156" t="str">
        <f>'Reported burning'!H3709</f>
        <v>Presence</v>
      </c>
      <c r="I3709" s="5"/>
      <c r="J3709" s="75" t="s">
        <v>2276</v>
      </c>
      <c r="K3709" s="75" t="s">
        <v>2276</v>
      </c>
      <c r="L3709" s="75" t="s">
        <v>2276</v>
      </c>
      <c r="M3709" s="75" t="s">
        <v>2276</v>
      </c>
      <c r="N3709" s="75" t="s">
        <v>2276</v>
      </c>
      <c r="O3709" s="75" t="s">
        <v>2276</v>
      </c>
      <c r="P3709" s="75" t="s">
        <v>2276</v>
      </c>
      <c r="Q3709" s="75" t="s">
        <v>2276</v>
      </c>
      <c r="R3709" s="75" t="s">
        <v>2276</v>
      </c>
      <c r="S3709" s="75" t="s">
        <v>2276</v>
      </c>
      <c r="T3709" s="75" t="s">
        <v>2276</v>
      </c>
      <c r="U3709" s="75" t="s">
        <v>2276</v>
      </c>
      <c r="V3709" s="75" t="s">
        <v>2276</v>
      </c>
      <c r="W3709" s="75" t="s">
        <v>2276</v>
      </c>
      <c r="X3709" s="75" t="s">
        <v>2276</v>
      </c>
      <c r="Y3709" s="75" t="s">
        <v>2276</v>
      </c>
      <c r="Z3709" s="241" t="s">
        <v>2276</v>
      </c>
      <c r="AA3709" s="204"/>
      <c r="AB3709" s="204"/>
    </row>
    <row r="3710" spans="1:28" ht="50" customHeight="1">
      <c r="A3710" s="156" t="str">
        <f>'Reported burning'!A3710</f>
        <v>405f</v>
      </c>
      <c r="B3710" s="156" t="str">
        <f>'Reported burning'!B3710</f>
        <v>405f.2</v>
      </c>
      <c r="C3710" s="156" t="str">
        <f>'Reported burning'!C3710</f>
        <v>Human, deliberate</v>
      </c>
      <c r="D3710" s="156" t="str">
        <f>'Reported burning'!D3710</f>
        <v>Crop field preparation</v>
      </c>
      <c r="E3710" s="156" t="str">
        <f>'Reported burning'!E3710</f>
        <v>Cropping, Swidden</v>
      </c>
      <c r="F3710" s="156" t="str">
        <f>'Reported burning'!F3710</f>
        <v>Secondary vegetation</v>
      </c>
      <c r="G3710" s="156" t="str">
        <f>'Reported burning'!G3710</f>
        <v>Secondary vegetation</v>
      </c>
      <c r="H3710" s="156" t="str">
        <f>'Reported burning'!H3710</f>
        <v>Presence</v>
      </c>
      <c r="I3710" s="5"/>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75" t="s">
        <v>2276</v>
      </c>
      <c r="W3710" s="75" t="s">
        <v>2276</v>
      </c>
      <c r="X3710" s="75" t="s">
        <v>2276</v>
      </c>
      <c r="Y3710" s="75" t="s">
        <v>2276</v>
      </c>
      <c r="Z3710" s="241" t="s">
        <v>2276</v>
      </c>
      <c r="AA3710" s="204"/>
      <c r="AB3710" s="204"/>
    </row>
    <row r="3711" spans="1:28" ht="50" customHeight="1">
      <c r="A3711" s="156" t="str">
        <f>'Reported burning'!A3711</f>
        <v>405a</v>
      </c>
      <c r="B3711" s="156" t="str">
        <f>'Reported burning'!B3711</f>
        <v>405a.3</v>
      </c>
      <c r="C3711" s="156" t="str">
        <f>'Reported burning'!C3711</f>
        <v>Human, deliberate</v>
      </c>
      <c r="D3711" s="156" t="str">
        <f>'Reported burning'!D3711</f>
        <v>Forest clearance</v>
      </c>
      <c r="E3711" s="156" t="str">
        <f>'Reported burning'!E3711</f>
        <v>Cropping, Monoculture, Subsistence-oriented</v>
      </c>
      <c r="F3711" s="156" t="str">
        <f>'Reported burning'!F3711</f>
        <v>Forest</v>
      </c>
      <c r="G3711" s="156" t="str">
        <f>'Reported burning'!G3711</f>
        <v>Forest</v>
      </c>
      <c r="H3711" s="156" t="str">
        <f>'Reported burning'!H3711</f>
        <v>Presence</v>
      </c>
      <c r="I3711" s="5"/>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75" t="s">
        <v>2276</v>
      </c>
      <c r="W3711" s="75" t="s">
        <v>2276</v>
      </c>
      <c r="X3711" s="75" t="s">
        <v>2276</v>
      </c>
      <c r="Y3711" s="75" t="s">
        <v>2276</v>
      </c>
      <c r="Z3711" s="75" t="s">
        <v>2276</v>
      </c>
      <c r="AA3711" s="204"/>
      <c r="AB3711" s="204"/>
    </row>
    <row r="3712" spans="1:28" ht="50" customHeight="1">
      <c r="A3712" s="156" t="str">
        <f>'Reported burning'!A3712</f>
        <v>405b</v>
      </c>
      <c r="B3712" s="156" t="str">
        <f>'Reported burning'!B3712</f>
        <v>405b.3</v>
      </c>
      <c r="C3712" s="156" t="str">
        <f>'Reported burning'!C3712</f>
        <v>Human, deliberate</v>
      </c>
      <c r="D3712" s="156" t="str">
        <f>'Reported burning'!D3712</f>
        <v>Forest clearance</v>
      </c>
      <c r="E3712" s="156" t="str">
        <f>'Reported burning'!E3712</f>
        <v>Cropping, Monoculture, Subsistence-oriented</v>
      </c>
      <c r="F3712" s="156" t="str">
        <f>'Reported burning'!F3712</f>
        <v>Forest</v>
      </c>
      <c r="G3712" s="156" t="str">
        <f>'Reported burning'!G3712</f>
        <v>Forest</v>
      </c>
      <c r="H3712" s="156" t="str">
        <f>'Reported burning'!H3712</f>
        <v>Presence</v>
      </c>
      <c r="I3712" s="5"/>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75" t="s">
        <v>2276</v>
      </c>
      <c r="W3712" s="75" t="s">
        <v>2276</v>
      </c>
      <c r="X3712" s="75" t="s">
        <v>2276</v>
      </c>
      <c r="Y3712" s="75" t="s">
        <v>2276</v>
      </c>
      <c r="Z3712" s="75" t="s">
        <v>2276</v>
      </c>
      <c r="AA3712" s="204"/>
      <c r="AB3712" s="204"/>
    </row>
    <row r="3713" spans="1:28" ht="50" customHeight="1">
      <c r="A3713" s="156" t="str">
        <f>'Reported burning'!A3713</f>
        <v>405c</v>
      </c>
      <c r="B3713" s="156" t="str">
        <f>'Reported burning'!B3713</f>
        <v>405c.3</v>
      </c>
      <c r="C3713" s="156" t="str">
        <f>'Reported burning'!C3713</f>
        <v>Human, deliberate</v>
      </c>
      <c r="D3713" s="156" t="str">
        <f>'Reported burning'!D3713</f>
        <v>Forest clearance</v>
      </c>
      <c r="E3713" s="156" t="str">
        <f>'Reported burning'!E3713</f>
        <v>Cropping, Monoculture, Subsistence-oriented</v>
      </c>
      <c r="F3713" s="156" t="str">
        <f>'Reported burning'!F3713</f>
        <v>Forest</v>
      </c>
      <c r="G3713" s="156" t="str">
        <f>'Reported burning'!G3713</f>
        <v>Forest</v>
      </c>
      <c r="H3713" s="156" t="str">
        <f>'Reported burning'!H3713</f>
        <v>Presence</v>
      </c>
      <c r="I3713" s="5"/>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75" t="s">
        <v>2276</v>
      </c>
      <c r="W3713" s="75" t="s">
        <v>2276</v>
      </c>
      <c r="X3713" s="75" t="s">
        <v>2276</v>
      </c>
      <c r="Y3713" s="75" t="s">
        <v>2276</v>
      </c>
      <c r="Z3713" s="75" t="s">
        <v>2276</v>
      </c>
      <c r="AA3713" s="204"/>
      <c r="AB3713" s="4"/>
    </row>
    <row r="3714" spans="1:28" ht="50" customHeight="1">
      <c r="A3714" s="156" t="str">
        <f>'Reported burning'!A3714</f>
        <v>405a</v>
      </c>
      <c r="B3714" s="156" t="str">
        <f>'Reported burning'!B3714</f>
        <v>405a.4</v>
      </c>
      <c r="C3714" s="156" t="str">
        <f>'Reported burning'!C3714</f>
        <v>Human, deliberate</v>
      </c>
      <c r="D3714" s="156" t="str">
        <f>'Reported burning'!D3714</f>
        <v>Forest clearance</v>
      </c>
      <c r="E3714" s="156" t="str">
        <f>'Reported burning'!E3714</f>
        <v>Cropping, Intensive</v>
      </c>
      <c r="F3714" s="156" t="str">
        <f>'Reported burning'!F3714</f>
        <v>Forest</v>
      </c>
      <c r="G3714" s="156" t="str">
        <f>'Reported burning'!G3714</f>
        <v>Forest</v>
      </c>
      <c r="H3714" s="156" t="str">
        <f>'Reported burning'!H3714</f>
        <v>Presence</v>
      </c>
      <c r="I3714" s="5"/>
      <c r="J3714" s="75" t="s">
        <v>2276</v>
      </c>
      <c r="K3714" s="75" t="s">
        <v>2276</v>
      </c>
      <c r="L3714" s="21" t="s">
        <v>2376</v>
      </c>
      <c r="M3714" s="75" t="s">
        <v>2276</v>
      </c>
      <c r="N3714" s="75" t="s">
        <v>2276</v>
      </c>
      <c r="O3714" s="75" t="s">
        <v>2276</v>
      </c>
      <c r="P3714" s="75" t="s">
        <v>2276</v>
      </c>
      <c r="Q3714" s="75" t="s">
        <v>2276</v>
      </c>
      <c r="R3714" s="75" t="s">
        <v>2276</v>
      </c>
      <c r="S3714" s="75" t="s">
        <v>2276</v>
      </c>
      <c r="T3714" s="75" t="s">
        <v>2276</v>
      </c>
      <c r="U3714" s="75" t="s">
        <v>2276</v>
      </c>
      <c r="V3714" s="75" t="s">
        <v>2276</v>
      </c>
      <c r="W3714" s="75" t="s">
        <v>2276</v>
      </c>
      <c r="X3714" s="75" t="s">
        <v>2276</v>
      </c>
      <c r="Y3714" s="75" t="s">
        <v>2276</v>
      </c>
      <c r="Z3714" s="75" t="s">
        <v>2276</v>
      </c>
      <c r="AA3714" s="204"/>
      <c r="AB3714" s="4" t="s">
        <v>9704</v>
      </c>
    </row>
    <row r="3715" spans="1:28" ht="50" customHeight="1">
      <c r="A3715" s="156" t="str">
        <f>'Reported burning'!A3715</f>
        <v>405b</v>
      </c>
      <c r="B3715" s="156" t="str">
        <f>'Reported burning'!B3715</f>
        <v>405b.4</v>
      </c>
      <c r="C3715" s="156" t="str">
        <f>'Reported burning'!C3715</f>
        <v>Human, deliberate</v>
      </c>
      <c r="D3715" s="156" t="str">
        <f>'Reported burning'!D3715</f>
        <v>Forest clearance</v>
      </c>
      <c r="E3715" s="156" t="str">
        <f>'Reported burning'!E3715</f>
        <v>Cropping, Intensive</v>
      </c>
      <c r="F3715" s="156" t="str">
        <f>'Reported burning'!F3715</f>
        <v>Forest</v>
      </c>
      <c r="G3715" s="156" t="str">
        <f>'Reported burning'!G3715</f>
        <v>Forest</v>
      </c>
      <c r="H3715" s="156" t="str">
        <f>'Reported burning'!H3715</f>
        <v>Presence</v>
      </c>
      <c r="I3715" s="5"/>
      <c r="J3715" s="75" t="s">
        <v>2276</v>
      </c>
      <c r="K3715" s="75" t="s">
        <v>2276</v>
      </c>
      <c r="L3715" s="21" t="s">
        <v>2376</v>
      </c>
      <c r="M3715" s="75" t="s">
        <v>2276</v>
      </c>
      <c r="N3715" s="75" t="s">
        <v>2276</v>
      </c>
      <c r="O3715" s="75" t="s">
        <v>2276</v>
      </c>
      <c r="P3715" s="75" t="s">
        <v>2276</v>
      </c>
      <c r="Q3715" s="75" t="s">
        <v>2276</v>
      </c>
      <c r="R3715" s="75" t="s">
        <v>2276</v>
      </c>
      <c r="S3715" s="75" t="s">
        <v>2276</v>
      </c>
      <c r="T3715" s="75" t="s">
        <v>2276</v>
      </c>
      <c r="U3715" s="75" t="s">
        <v>2276</v>
      </c>
      <c r="V3715" s="75" t="s">
        <v>2276</v>
      </c>
      <c r="W3715" s="75" t="s">
        <v>2276</v>
      </c>
      <c r="X3715" s="75" t="s">
        <v>2276</v>
      </c>
      <c r="Y3715" s="75" t="s">
        <v>2276</v>
      </c>
      <c r="Z3715" s="75" t="s">
        <v>2276</v>
      </c>
      <c r="AA3715" s="204"/>
      <c r="AB3715" s="4" t="s">
        <v>9704</v>
      </c>
    </row>
    <row r="3716" spans="1:28" ht="50" customHeight="1">
      <c r="A3716" s="156" t="str">
        <f>'Reported burning'!A3716</f>
        <v>405d</v>
      </c>
      <c r="B3716" s="156" t="str">
        <f>'Reported burning'!B3716</f>
        <v>405d.4</v>
      </c>
      <c r="C3716" s="156" t="str">
        <f>'Reported burning'!C3716</f>
        <v>Human, deliberate</v>
      </c>
      <c r="D3716" s="156" t="str">
        <f>'Reported burning'!D3716</f>
        <v>Forest clearance</v>
      </c>
      <c r="E3716" s="156" t="str">
        <f>'Reported burning'!E3716</f>
        <v>Cropping, Intensive</v>
      </c>
      <c r="F3716" s="156" t="str">
        <f>'Reported burning'!F3716</f>
        <v>Forest</v>
      </c>
      <c r="G3716" s="156" t="str">
        <f>'Reported burning'!G3716</f>
        <v>Forest</v>
      </c>
      <c r="H3716" s="156" t="str">
        <f>'Reported burning'!H3716</f>
        <v>Presence</v>
      </c>
      <c r="I3716" s="5"/>
      <c r="J3716" s="75" t="s">
        <v>2276</v>
      </c>
      <c r="K3716" s="75" t="s">
        <v>2276</v>
      </c>
      <c r="L3716" s="21" t="s">
        <v>2376</v>
      </c>
      <c r="M3716" s="75" t="s">
        <v>2276</v>
      </c>
      <c r="N3716" s="75" t="s">
        <v>2276</v>
      </c>
      <c r="O3716" s="75" t="s">
        <v>2276</v>
      </c>
      <c r="P3716" s="75" t="s">
        <v>2276</v>
      </c>
      <c r="Q3716" s="75" t="s">
        <v>2276</v>
      </c>
      <c r="R3716" s="75" t="s">
        <v>2276</v>
      </c>
      <c r="S3716" s="75" t="s">
        <v>2276</v>
      </c>
      <c r="T3716" s="75" t="s">
        <v>2276</v>
      </c>
      <c r="U3716" s="75" t="s">
        <v>2276</v>
      </c>
      <c r="V3716" s="75" t="s">
        <v>2276</v>
      </c>
      <c r="W3716" s="75" t="s">
        <v>2276</v>
      </c>
      <c r="X3716" s="75" t="s">
        <v>2276</v>
      </c>
      <c r="Y3716" s="75" t="s">
        <v>2276</v>
      </c>
      <c r="Z3716" s="75" t="s">
        <v>2276</v>
      </c>
      <c r="AA3716" s="204"/>
      <c r="AB3716" s="4" t="s">
        <v>9704</v>
      </c>
    </row>
    <row r="3717" spans="1:28" ht="50" customHeight="1">
      <c r="A3717" s="156" t="str">
        <f>'Reported burning'!A3717</f>
        <v>405e</v>
      </c>
      <c r="B3717" s="156" t="str">
        <f>'Reported burning'!B3717</f>
        <v>405e.4</v>
      </c>
      <c r="C3717" s="156" t="str">
        <f>'Reported burning'!C3717</f>
        <v>Human, deliberate</v>
      </c>
      <c r="D3717" s="156" t="str">
        <f>'Reported burning'!D3717</f>
        <v>Forest clearance</v>
      </c>
      <c r="E3717" s="156" t="str">
        <f>'Reported burning'!E3717</f>
        <v>Cropping, Intensive</v>
      </c>
      <c r="F3717" s="156" t="str">
        <f>'Reported burning'!F3717</f>
        <v>Forest</v>
      </c>
      <c r="G3717" s="156" t="str">
        <f>'Reported burning'!G3717</f>
        <v>Forest</v>
      </c>
      <c r="H3717" s="156" t="str">
        <f>'Reported burning'!H3717</f>
        <v>Presence</v>
      </c>
      <c r="I3717" s="5"/>
      <c r="J3717" s="75" t="s">
        <v>2276</v>
      </c>
      <c r="K3717" s="75" t="s">
        <v>2276</v>
      </c>
      <c r="L3717" s="21" t="s">
        <v>2376</v>
      </c>
      <c r="M3717" s="75" t="s">
        <v>2276</v>
      </c>
      <c r="N3717" s="75" t="s">
        <v>2276</v>
      </c>
      <c r="O3717" s="75" t="s">
        <v>2276</v>
      </c>
      <c r="P3717" s="75" t="s">
        <v>2276</v>
      </c>
      <c r="Q3717" s="75" t="s">
        <v>2276</v>
      </c>
      <c r="R3717" s="75" t="s">
        <v>2276</v>
      </c>
      <c r="S3717" s="75" t="s">
        <v>2276</v>
      </c>
      <c r="T3717" s="75" t="s">
        <v>2276</v>
      </c>
      <c r="U3717" s="75" t="s">
        <v>2276</v>
      </c>
      <c r="V3717" s="75" t="s">
        <v>2276</v>
      </c>
      <c r="W3717" s="75" t="s">
        <v>2276</v>
      </c>
      <c r="X3717" s="75" t="s">
        <v>2276</v>
      </c>
      <c r="Y3717" s="75" t="s">
        <v>2276</v>
      </c>
      <c r="Z3717" s="75" t="s">
        <v>2276</v>
      </c>
      <c r="AA3717" s="204"/>
      <c r="AB3717" s="4" t="s">
        <v>9704</v>
      </c>
    </row>
    <row r="3718" spans="1:28" ht="50" customHeight="1">
      <c r="A3718" s="156" t="str">
        <f>'Reported burning'!A3718</f>
        <v>405f</v>
      </c>
      <c r="B3718" s="156" t="str">
        <f>'Reported burning'!B3718</f>
        <v>405f.4</v>
      </c>
      <c r="C3718" s="156" t="str">
        <f>'Reported burning'!C3718</f>
        <v>Human, deliberate</v>
      </c>
      <c r="D3718" s="156" t="str">
        <f>'Reported burning'!D3718</f>
        <v>Forest clearance</v>
      </c>
      <c r="E3718" s="156" t="str">
        <f>'Reported burning'!E3718</f>
        <v>Cropping, Intensive</v>
      </c>
      <c r="F3718" s="156" t="str">
        <f>'Reported burning'!F3718</f>
        <v>Forest</v>
      </c>
      <c r="G3718" s="156" t="str">
        <f>'Reported burning'!G3718</f>
        <v>Forest</v>
      </c>
      <c r="H3718" s="156" t="str">
        <f>'Reported burning'!H3718</f>
        <v>Presence</v>
      </c>
      <c r="I3718" s="5"/>
      <c r="J3718" s="75" t="s">
        <v>2276</v>
      </c>
      <c r="K3718" s="75" t="s">
        <v>2276</v>
      </c>
      <c r="L3718" s="21" t="s">
        <v>2376</v>
      </c>
      <c r="M3718" s="75" t="s">
        <v>2276</v>
      </c>
      <c r="N3718" s="75" t="s">
        <v>2276</v>
      </c>
      <c r="O3718" s="75" t="s">
        <v>2276</v>
      </c>
      <c r="P3718" s="75" t="s">
        <v>2276</v>
      </c>
      <c r="Q3718" s="75" t="s">
        <v>2276</v>
      </c>
      <c r="R3718" s="75" t="s">
        <v>2276</v>
      </c>
      <c r="S3718" s="75" t="s">
        <v>2276</v>
      </c>
      <c r="T3718" s="75" t="s">
        <v>2276</v>
      </c>
      <c r="U3718" s="75" t="s">
        <v>2276</v>
      </c>
      <c r="V3718" s="75" t="s">
        <v>2276</v>
      </c>
      <c r="W3718" s="75" t="s">
        <v>2276</v>
      </c>
      <c r="X3718" s="75" t="s">
        <v>2276</v>
      </c>
      <c r="Y3718" s="75" t="s">
        <v>2276</v>
      </c>
      <c r="Z3718" s="75" t="s">
        <v>2276</v>
      </c>
      <c r="AA3718" s="204"/>
      <c r="AB3718" s="4" t="s">
        <v>9704</v>
      </c>
    </row>
    <row r="3719" spans="1:28" ht="39.5" customHeight="1">
      <c r="A3719" s="156" t="str">
        <f>'Reported burning'!A3719</f>
        <v>405a</v>
      </c>
      <c r="B3719" s="156" t="str">
        <f>'Reported burning'!B3719</f>
        <v>405a.5</v>
      </c>
      <c r="C3719" s="156" t="str">
        <f>'Reported burning'!C3719</f>
        <v>Human, deliberate</v>
      </c>
      <c r="D3719" s="156" t="str">
        <f>'Reported burning'!D3719</f>
        <v>Forest clearance</v>
      </c>
      <c r="E3719" s="156" t="str">
        <f>'Reported burning'!E3719</f>
        <v>Urban planner</v>
      </c>
      <c r="F3719" s="156" t="str">
        <f>'Reported burning'!F3719</f>
        <v>Forest</v>
      </c>
      <c r="G3719" s="156" t="str">
        <f>'Reported burning'!G3719</f>
        <v>Forest</v>
      </c>
      <c r="H3719" s="156" t="str">
        <f>'Reported burning'!H3719</f>
        <v>Presence</v>
      </c>
      <c r="I3719" s="5"/>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75" t="s">
        <v>2276</v>
      </c>
      <c r="W3719" s="75" t="s">
        <v>2276</v>
      </c>
      <c r="X3719" s="75" t="s">
        <v>2276</v>
      </c>
      <c r="Y3719" s="75" t="s">
        <v>2276</v>
      </c>
      <c r="Z3719" s="75" t="s">
        <v>2276</v>
      </c>
      <c r="AA3719" s="239"/>
      <c r="AB3719" s="239" t="s">
        <v>9727</v>
      </c>
    </row>
    <row r="3720" spans="1:28" ht="39.5" customHeight="1">
      <c r="A3720" s="156" t="str">
        <f>'Reported burning'!A3720</f>
        <v>405b</v>
      </c>
      <c r="B3720" s="156" t="str">
        <f>'Reported burning'!B3720</f>
        <v>405b.5</v>
      </c>
      <c r="C3720" s="156" t="str">
        <f>'Reported burning'!C3720</f>
        <v>Human, deliberate</v>
      </c>
      <c r="D3720" s="156" t="str">
        <f>'Reported burning'!D3720</f>
        <v>Forest clearance</v>
      </c>
      <c r="E3720" s="156" t="str">
        <f>'Reported burning'!E3720</f>
        <v>Urban planner</v>
      </c>
      <c r="F3720" s="156" t="str">
        <f>'Reported burning'!F3720</f>
        <v>Forest</v>
      </c>
      <c r="G3720" s="156" t="str">
        <f>'Reported burning'!G3720</f>
        <v>Forest</v>
      </c>
      <c r="H3720" s="156" t="str">
        <f>'Reported burning'!H3720</f>
        <v>Presence</v>
      </c>
      <c r="I3720" s="5"/>
      <c r="J3720" s="75" t="s">
        <v>2276</v>
      </c>
      <c r="K3720" s="75" t="s">
        <v>2276</v>
      </c>
      <c r="L3720" s="75" t="s">
        <v>2276</v>
      </c>
      <c r="M3720" s="75" t="s">
        <v>2276</v>
      </c>
      <c r="N3720" s="75" t="s">
        <v>2276</v>
      </c>
      <c r="O3720" s="75" t="s">
        <v>2276</v>
      </c>
      <c r="P3720" s="75" t="s">
        <v>2276</v>
      </c>
      <c r="Q3720" s="75" t="s">
        <v>2276</v>
      </c>
      <c r="R3720" s="75" t="s">
        <v>2276</v>
      </c>
      <c r="S3720" s="75" t="s">
        <v>2276</v>
      </c>
      <c r="T3720" s="75" t="s">
        <v>2276</v>
      </c>
      <c r="U3720" s="75" t="s">
        <v>2276</v>
      </c>
      <c r="V3720" s="75" t="s">
        <v>2276</v>
      </c>
      <c r="W3720" s="75" t="s">
        <v>2276</v>
      </c>
      <c r="X3720" s="75" t="s">
        <v>2276</v>
      </c>
      <c r="Y3720" s="75" t="s">
        <v>2276</v>
      </c>
      <c r="Z3720" s="75" t="s">
        <v>2276</v>
      </c>
      <c r="AA3720" s="239"/>
      <c r="AB3720" s="239" t="s">
        <v>9727</v>
      </c>
    </row>
    <row r="3721" spans="1:28" s="203" customFormat="1" ht="39.5" customHeight="1">
      <c r="A3721" s="156" t="str">
        <f>'Reported burning'!A3721</f>
        <v>405c</v>
      </c>
      <c r="B3721" s="156" t="str">
        <f>'Reported burning'!B3721</f>
        <v>405c.5</v>
      </c>
      <c r="C3721" s="156" t="str">
        <f>'Reported burning'!C3721</f>
        <v>Human, deliberate</v>
      </c>
      <c r="D3721" s="156" t="str">
        <f>'Reported burning'!D3721</f>
        <v>Forest clearance</v>
      </c>
      <c r="E3721" s="156" t="str">
        <f>'Reported burning'!E3721</f>
        <v>Urban planner</v>
      </c>
      <c r="F3721" s="156" t="str">
        <f>'Reported burning'!F3721</f>
        <v>Forest</v>
      </c>
      <c r="G3721" s="156" t="str">
        <f>'Reported burning'!G3721</f>
        <v>Forest</v>
      </c>
      <c r="H3721" s="156" t="str">
        <f>'Reported burning'!H3721</f>
        <v>Presence</v>
      </c>
      <c r="I3721" s="5"/>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75" t="s">
        <v>2276</v>
      </c>
      <c r="W3721" s="75" t="s">
        <v>2276</v>
      </c>
      <c r="X3721" s="75" t="s">
        <v>2276</v>
      </c>
      <c r="Y3721" s="75" t="s">
        <v>2276</v>
      </c>
      <c r="Z3721" s="75" t="s">
        <v>2276</v>
      </c>
      <c r="AA3721" s="239"/>
      <c r="AB3721" s="239" t="s">
        <v>9727</v>
      </c>
    </row>
    <row r="3722" spans="1:28" ht="39.5" customHeight="1">
      <c r="A3722" s="156" t="str">
        <f>'Reported burning'!A3722</f>
        <v>405d</v>
      </c>
      <c r="B3722" s="156" t="str">
        <f>'Reported burning'!B3722</f>
        <v>405d.5</v>
      </c>
      <c r="C3722" s="156" t="str">
        <f>'Reported burning'!C3722</f>
        <v>Human, deliberate</v>
      </c>
      <c r="D3722" s="156" t="str">
        <f>'Reported burning'!D3722</f>
        <v>Forest clearance</v>
      </c>
      <c r="E3722" s="156" t="str">
        <f>'Reported burning'!E3722</f>
        <v>Urban planner</v>
      </c>
      <c r="F3722" s="156" t="str">
        <f>'Reported burning'!F3722</f>
        <v>Forest</v>
      </c>
      <c r="G3722" s="156" t="str">
        <f>'Reported burning'!G3722</f>
        <v>Forest</v>
      </c>
      <c r="H3722" s="156" t="str">
        <f>'Reported burning'!H3722</f>
        <v>Presence</v>
      </c>
      <c r="I3722" s="5"/>
      <c r="J3722" s="75" t="s">
        <v>2276</v>
      </c>
      <c r="K3722" s="75" t="s">
        <v>2276</v>
      </c>
      <c r="L3722" s="75" t="s">
        <v>2276</v>
      </c>
      <c r="M3722" s="75" t="s">
        <v>2276</v>
      </c>
      <c r="N3722" s="75" t="s">
        <v>2276</v>
      </c>
      <c r="O3722" s="75" t="s">
        <v>2276</v>
      </c>
      <c r="P3722" s="75" t="s">
        <v>2276</v>
      </c>
      <c r="Q3722" s="75" t="s">
        <v>2276</v>
      </c>
      <c r="R3722" s="75" t="s">
        <v>2276</v>
      </c>
      <c r="S3722" s="75" t="s">
        <v>2276</v>
      </c>
      <c r="T3722" s="75" t="s">
        <v>2276</v>
      </c>
      <c r="U3722" s="75" t="s">
        <v>2276</v>
      </c>
      <c r="V3722" s="75" t="s">
        <v>2276</v>
      </c>
      <c r="W3722" s="75" t="s">
        <v>2276</v>
      </c>
      <c r="X3722" s="75" t="s">
        <v>2276</v>
      </c>
      <c r="Y3722" s="75" t="s">
        <v>2276</v>
      </c>
      <c r="Z3722" s="75" t="s">
        <v>2276</v>
      </c>
      <c r="AA3722" s="239"/>
      <c r="AB3722" s="239" t="s">
        <v>9727</v>
      </c>
    </row>
    <row r="3723" spans="1:28" ht="39.5" customHeight="1">
      <c r="A3723" s="156" t="str">
        <f>'Reported burning'!A3723</f>
        <v>405e</v>
      </c>
      <c r="B3723" s="156" t="str">
        <f>'Reported burning'!B3723</f>
        <v>405e.5</v>
      </c>
      <c r="C3723" s="156" t="str">
        <f>'Reported burning'!C3723</f>
        <v>Human, deliberate</v>
      </c>
      <c r="D3723" s="156" t="str">
        <f>'Reported burning'!D3723</f>
        <v>Forest clearance</v>
      </c>
      <c r="E3723" s="156" t="str">
        <f>'Reported burning'!E3723</f>
        <v>Urban planner</v>
      </c>
      <c r="F3723" s="156" t="str">
        <f>'Reported burning'!F3723</f>
        <v>Forest</v>
      </c>
      <c r="G3723" s="156" t="str">
        <f>'Reported burning'!G3723</f>
        <v>Forest</v>
      </c>
      <c r="H3723" s="156" t="str">
        <f>'Reported burning'!H3723</f>
        <v>Presence</v>
      </c>
      <c r="I3723" s="5"/>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75" t="s">
        <v>2276</v>
      </c>
      <c r="AA3723" s="239"/>
      <c r="AB3723" s="239" t="s">
        <v>9727</v>
      </c>
    </row>
    <row r="3724" spans="1:28" ht="39.5" customHeight="1">
      <c r="A3724" s="156" t="str">
        <f>'Reported burning'!A3724</f>
        <v>405f</v>
      </c>
      <c r="B3724" s="156" t="str">
        <f>'Reported burning'!B3724</f>
        <v>405f.5</v>
      </c>
      <c r="C3724" s="156" t="str">
        <f>'Reported burning'!C3724</f>
        <v>Human, deliberate</v>
      </c>
      <c r="D3724" s="156" t="str">
        <f>'Reported burning'!D3724</f>
        <v>Forest clearance</v>
      </c>
      <c r="E3724" s="156" t="str">
        <f>'Reported burning'!E3724</f>
        <v>Urban planner</v>
      </c>
      <c r="F3724" s="156" t="str">
        <f>'Reported burning'!F3724</f>
        <v>Forest</v>
      </c>
      <c r="G3724" s="156" t="str">
        <f>'Reported burning'!G3724</f>
        <v>Forest</v>
      </c>
      <c r="H3724" s="156" t="str">
        <f>'Reported burning'!H3724</f>
        <v>Presence</v>
      </c>
      <c r="I3724" s="5"/>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239"/>
      <c r="AB3724" s="239" t="s">
        <v>9727</v>
      </c>
    </row>
    <row r="3725" spans="1:28" ht="39.5" customHeight="1">
      <c r="A3725" s="156" t="str">
        <f>'Reported burning'!A3725</f>
        <v>405a</v>
      </c>
      <c r="B3725" s="156" t="str">
        <f>'Reported burning'!B3725</f>
        <v>405a.6</v>
      </c>
      <c r="C3725" s="156" t="str">
        <f>'Reported burning'!C3725</f>
        <v>Human, deliberate</v>
      </c>
      <c r="D3725" s="156" t="str">
        <f>'Reported burning'!D3725</f>
        <v>Forest clearance</v>
      </c>
      <c r="E3725" s="156" t="str">
        <f>'Reported burning'!E3725</f>
        <v>Cropping, Intensive</v>
      </c>
      <c r="F3725" s="156" t="str">
        <f>'Reported burning'!F3725</f>
        <v>Secondary vegetation</v>
      </c>
      <c r="G3725" s="156" t="str">
        <f>'Reported burning'!G3725</f>
        <v>Secondary vegetation</v>
      </c>
      <c r="H3725" s="156" t="str">
        <f>'Reported burning'!H3725</f>
        <v>Presence</v>
      </c>
      <c r="I3725" s="5"/>
      <c r="J3725" s="75" t="s">
        <v>2276</v>
      </c>
      <c r="K3725" s="75" t="s">
        <v>2276</v>
      </c>
      <c r="L3725" s="21" t="s">
        <v>2376</v>
      </c>
      <c r="M3725" s="75" t="s">
        <v>2276</v>
      </c>
      <c r="N3725" s="75" t="s">
        <v>2276</v>
      </c>
      <c r="O3725" s="75" t="s">
        <v>2276</v>
      </c>
      <c r="P3725" s="75" t="s">
        <v>2276</v>
      </c>
      <c r="Q3725" s="75" t="s">
        <v>2276</v>
      </c>
      <c r="R3725" s="75" t="s">
        <v>2276</v>
      </c>
      <c r="S3725" s="75" t="s">
        <v>2276</v>
      </c>
      <c r="T3725" s="75" t="s">
        <v>2276</v>
      </c>
      <c r="U3725" s="75" t="s">
        <v>2276</v>
      </c>
      <c r="V3725" s="75" t="s">
        <v>2276</v>
      </c>
      <c r="W3725" s="75" t="s">
        <v>2276</v>
      </c>
      <c r="X3725" s="75" t="s">
        <v>2276</v>
      </c>
      <c r="Y3725" s="75" t="s">
        <v>2276</v>
      </c>
      <c r="Z3725" s="75" t="s">
        <v>2276</v>
      </c>
      <c r="AA3725" s="204"/>
      <c r="AB3725" s="4" t="s">
        <v>9704</v>
      </c>
    </row>
    <row r="3726" spans="1:28" ht="39.5" customHeight="1">
      <c r="A3726" s="156" t="str">
        <f>'Reported burning'!A3726</f>
        <v>405b</v>
      </c>
      <c r="B3726" s="156" t="str">
        <f>'Reported burning'!B3726</f>
        <v>405b.6</v>
      </c>
      <c r="C3726" s="156" t="str">
        <f>'Reported burning'!C3726</f>
        <v>Human, deliberate</v>
      </c>
      <c r="D3726" s="156" t="str">
        <f>'Reported burning'!D3726</f>
        <v>Forest clearance</v>
      </c>
      <c r="E3726" s="156" t="str">
        <f>'Reported burning'!E3726</f>
        <v>Cropping, Intensive</v>
      </c>
      <c r="F3726" s="156" t="str">
        <f>'Reported burning'!F3726</f>
        <v>Secondary vegetation</v>
      </c>
      <c r="G3726" s="156" t="str">
        <f>'Reported burning'!G3726</f>
        <v>Secondary vegetation</v>
      </c>
      <c r="H3726" s="156" t="str">
        <f>'Reported burning'!H3726</f>
        <v>Presence</v>
      </c>
      <c r="I3726" s="5"/>
      <c r="J3726" s="75" t="s">
        <v>2276</v>
      </c>
      <c r="K3726" s="75" t="s">
        <v>2276</v>
      </c>
      <c r="L3726" s="21" t="s">
        <v>2376</v>
      </c>
      <c r="M3726" s="75" t="s">
        <v>2276</v>
      </c>
      <c r="N3726" s="75" t="s">
        <v>2276</v>
      </c>
      <c r="O3726" s="75" t="s">
        <v>2276</v>
      </c>
      <c r="P3726" s="75" t="s">
        <v>2276</v>
      </c>
      <c r="Q3726" s="75" t="s">
        <v>2276</v>
      </c>
      <c r="R3726" s="75" t="s">
        <v>2276</v>
      </c>
      <c r="S3726" s="75" t="s">
        <v>2276</v>
      </c>
      <c r="T3726" s="75" t="s">
        <v>2276</v>
      </c>
      <c r="U3726" s="75" t="s">
        <v>2276</v>
      </c>
      <c r="V3726" s="75" t="s">
        <v>2276</v>
      </c>
      <c r="W3726" s="75" t="s">
        <v>2276</v>
      </c>
      <c r="X3726" s="75" t="s">
        <v>2276</v>
      </c>
      <c r="Y3726" s="75" t="s">
        <v>2276</v>
      </c>
      <c r="Z3726" s="75" t="s">
        <v>2276</v>
      </c>
      <c r="AA3726" s="204"/>
      <c r="AB3726" s="4" t="s">
        <v>9704</v>
      </c>
    </row>
    <row r="3727" spans="1:28" ht="39.5" customHeight="1">
      <c r="A3727" s="156" t="str">
        <f>'Reported burning'!A3727</f>
        <v>405d</v>
      </c>
      <c r="B3727" s="156" t="str">
        <f>'Reported burning'!B3727</f>
        <v>405d.6</v>
      </c>
      <c r="C3727" s="156" t="str">
        <f>'Reported burning'!C3727</f>
        <v>Human, deliberate</v>
      </c>
      <c r="D3727" s="156" t="str">
        <f>'Reported burning'!D3727</f>
        <v>Forest clearance</v>
      </c>
      <c r="E3727" s="156" t="str">
        <f>'Reported burning'!E3727</f>
        <v>Cropping, Intensive</v>
      </c>
      <c r="F3727" s="156" t="str">
        <f>'Reported burning'!F3727</f>
        <v>Secondary vegetation</v>
      </c>
      <c r="G3727" s="156" t="str">
        <f>'Reported burning'!G3727</f>
        <v>Secondary vegetation</v>
      </c>
      <c r="H3727" s="156" t="str">
        <f>'Reported burning'!H3727</f>
        <v>Presence</v>
      </c>
      <c r="I3727" s="5"/>
      <c r="J3727" s="75" t="s">
        <v>2276</v>
      </c>
      <c r="K3727" s="75" t="s">
        <v>2276</v>
      </c>
      <c r="L3727" s="21" t="s">
        <v>2376</v>
      </c>
      <c r="M3727" s="75" t="s">
        <v>2276</v>
      </c>
      <c r="N3727" s="75" t="s">
        <v>2276</v>
      </c>
      <c r="O3727" s="75" t="s">
        <v>2276</v>
      </c>
      <c r="P3727" s="75" t="s">
        <v>2276</v>
      </c>
      <c r="Q3727" s="75" t="s">
        <v>2276</v>
      </c>
      <c r="R3727" s="75" t="s">
        <v>2276</v>
      </c>
      <c r="S3727" s="75" t="s">
        <v>2276</v>
      </c>
      <c r="T3727" s="75" t="s">
        <v>2276</v>
      </c>
      <c r="U3727" s="75" t="s">
        <v>2276</v>
      </c>
      <c r="V3727" s="75" t="s">
        <v>2276</v>
      </c>
      <c r="W3727" s="75" t="s">
        <v>2276</v>
      </c>
      <c r="X3727" s="75" t="s">
        <v>2276</v>
      </c>
      <c r="Y3727" s="75" t="s">
        <v>2276</v>
      </c>
      <c r="Z3727" s="75" t="s">
        <v>2276</v>
      </c>
      <c r="AA3727" s="204"/>
      <c r="AB3727" s="4" t="s">
        <v>9704</v>
      </c>
    </row>
    <row r="3728" spans="1:28" ht="39.5" customHeight="1">
      <c r="A3728" s="156" t="str">
        <f>'Reported burning'!A3728</f>
        <v>405e</v>
      </c>
      <c r="B3728" s="156" t="str">
        <f>'Reported burning'!B3728</f>
        <v>405e.6</v>
      </c>
      <c r="C3728" s="156" t="str">
        <f>'Reported burning'!C3728</f>
        <v>Human, deliberate</v>
      </c>
      <c r="D3728" s="156" t="str">
        <f>'Reported burning'!D3728</f>
        <v>Forest clearance</v>
      </c>
      <c r="E3728" s="156" t="str">
        <f>'Reported burning'!E3728</f>
        <v>Cropping, Intensive</v>
      </c>
      <c r="F3728" s="156" t="str">
        <f>'Reported burning'!F3728</f>
        <v>Secondary vegetation</v>
      </c>
      <c r="G3728" s="156" t="str">
        <f>'Reported burning'!G3728</f>
        <v>Secondary vegetation</v>
      </c>
      <c r="H3728" s="156" t="str">
        <f>'Reported burning'!H3728</f>
        <v>Presence</v>
      </c>
      <c r="I3728" s="5"/>
      <c r="J3728" s="75" t="s">
        <v>2276</v>
      </c>
      <c r="K3728" s="75" t="s">
        <v>2276</v>
      </c>
      <c r="L3728" s="21" t="s">
        <v>2376</v>
      </c>
      <c r="M3728" s="75" t="s">
        <v>2276</v>
      </c>
      <c r="N3728" s="75" t="s">
        <v>2276</v>
      </c>
      <c r="O3728" s="75" t="s">
        <v>2276</v>
      </c>
      <c r="P3728" s="75" t="s">
        <v>2276</v>
      </c>
      <c r="Q3728" s="75" t="s">
        <v>2276</v>
      </c>
      <c r="R3728" s="75" t="s">
        <v>2276</v>
      </c>
      <c r="S3728" s="75" t="s">
        <v>2276</v>
      </c>
      <c r="T3728" s="75" t="s">
        <v>2276</v>
      </c>
      <c r="U3728" s="75" t="s">
        <v>2276</v>
      </c>
      <c r="V3728" s="75" t="s">
        <v>2276</v>
      </c>
      <c r="W3728" s="75" t="s">
        <v>2276</v>
      </c>
      <c r="X3728" s="75" t="s">
        <v>2276</v>
      </c>
      <c r="Y3728" s="75" t="s">
        <v>2276</v>
      </c>
      <c r="Z3728" s="75" t="s">
        <v>2276</v>
      </c>
      <c r="AA3728" s="204"/>
      <c r="AB3728" s="4" t="s">
        <v>9704</v>
      </c>
    </row>
    <row r="3729" spans="1:28" ht="39.5" customHeight="1">
      <c r="A3729" s="156" t="str">
        <f>'Reported burning'!A3729</f>
        <v>405f</v>
      </c>
      <c r="B3729" s="156" t="str">
        <f>'Reported burning'!B3729</f>
        <v>405f.6</v>
      </c>
      <c r="C3729" s="156" t="str">
        <f>'Reported burning'!C3729</f>
        <v>Human, deliberate</v>
      </c>
      <c r="D3729" s="156" t="str">
        <f>'Reported burning'!D3729</f>
        <v>Forest clearance</v>
      </c>
      <c r="E3729" s="156" t="str">
        <f>'Reported burning'!E3729</f>
        <v>Cropping, Intensive</v>
      </c>
      <c r="F3729" s="156" t="str">
        <f>'Reported burning'!F3729</f>
        <v>Secondary vegetation</v>
      </c>
      <c r="G3729" s="156" t="str">
        <f>'Reported burning'!G3729</f>
        <v>Secondary vegetation</v>
      </c>
      <c r="H3729" s="156" t="str">
        <f>'Reported burning'!H3729</f>
        <v>Presence</v>
      </c>
      <c r="I3729" s="5"/>
      <c r="J3729" s="75" t="s">
        <v>2276</v>
      </c>
      <c r="K3729" s="75" t="s">
        <v>2276</v>
      </c>
      <c r="L3729" s="21" t="s">
        <v>2376</v>
      </c>
      <c r="M3729" s="75" t="s">
        <v>2276</v>
      </c>
      <c r="N3729" s="75" t="s">
        <v>2276</v>
      </c>
      <c r="O3729" s="75" t="s">
        <v>2276</v>
      </c>
      <c r="P3729" s="75" t="s">
        <v>2276</v>
      </c>
      <c r="Q3729" s="75" t="s">
        <v>2276</v>
      </c>
      <c r="R3729" s="75" t="s">
        <v>2276</v>
      </c>
      <c r="S3729" s="75" t="s">
        <v>2276</v>
      </c>
      <c r="T3729" s="75" t="s">
        <v>2276</v>
      </c>
      <c r="U3729" s="75" t="s">
        <v>2276</v>
      </c>
      <c r="V3729" s="75" t="s">
        <v>2276</v>
      </c>
      <c r="W3729" s="75" t="s">
        <v>2276</v>
      </c>
      <c r="X3729" s="75" t="s">
        <v>2276</v>
      </c>
      <c r="Y3729" s="75" t="s">
        <v>2276</v>
      </c>
      <c r="Z3729" s="75" t="s">
        <v>2276</v>
      </c>
      <c r="AA3729" s="204"/>
      <c r="AB3729" s="4" t="s">
        <v>9704</v>
      </c>
    </row>
    <row r="3730" spans="1:28" ht="39.5" customHeight="1">
      <c r="A3730" s="156" t="str">
        <f>'Reported burning'!A3730</f>
        <v>405a</v>
      </c>
      <c r="B3730" s="156" t="str">
        <f>'Reported burning'!B3730</f>
        <v>405a.7</v>
      </c>
      <c r="C3730" s="156" t="str">
        <f>'Reported burning'!C3730</f>
        <v>Human, deliberate</v>
      </c>
      <c r="D3730" s="156" t="str">
        <f>'Reported burning'!D3730</f>
        <v>Forest clearance</v>
      </c>
      <c r="E3730" s="156" t="str">
        <f>'Reported burning'!E3730</f>
        <v>Urban planner</v>
      </c>
      <c r="F3730" s="156" t="str">
        <f>'Reported burning'!F3730</f>
        <v>Secondary vegetation</v>
      </c>
      <c r="G3730" s="156" t="str">
        <f>'Reported burning'!G3730</f>
        <v>Secondary vegetation</v>
      </c>
      <c r="H3730" s="156" t="str">
        <f>'Reported burning'!H3730</f>
        <v>Presence</v>
      </c>
      <c r="I3730" s="5"/>
      <c r="J3730" s="75" t="s">
        <v>2276</v>
      </c>
      <c r="K3730" s="75" t="s">
        <v>2276</v>
      </c>
      <c r="L3730" s="75" t="s">
        <v>2276</v>
      </c>
      <c r="M3730" s="75" t="s">
        <v>2276</v>
      </c>
      <c r="N3730" s="75" t="s">
        <v>2276</v>
      </c>
      <c r="O3730" s="75" t="s">
        <v>2276</v>
      </c>
      <c r="P3730" s="75" t="s">
        <v>2276</v>
      </c>
      <c r="Q3730" s="75" t="s">
        <v>2276</v>
      </c>
      <c r="R3730" s="75" t="s">
        <v>2276</v>
      </c>
      <c r="S3730" s="75" t="s">
        <v>2276</v>
      </c>
      <c r="T3730" s="75" t="s">
        <v>2276</v>
      </c>
      <c r="U3730" s="75" t="s">
        <v>2276</v>
      </c>
      <c r="V3730" s="75" t="s">
        <v>2276</v>
      </c>
      <c r="W3730" s="75" t="s">
        <v>2276</v>
      </c>
      <c r="X3730" s="75" t="s">
        <v>2276</v>
      </c>
      <c r="Y3730" s="75" t="s">
        <v>2276</v>
      </c>
      <c r="Z3730" s="75" t="s">
        <v>2276</v>
      </c>
      <c r="AA3730" s="239"/>
      <c r="AB3730" s="239" t="s">
        <v>9727</v>
      </c>
    </row>
    <row r="3731" spans="1:28" ht="39.5" customHeight="1">
      <c r="A3731" s="156" t="str">
        <f>'Reported burning'!A3731</f>
        <v>405b</v>
      </c>
      <c r="B3731" s="156" t="str">
        <f>'Reported burning'!B3731</f>
        <v>405b.7</v>
      </c>
      <c r="C3731" s="156" t="str">
        <f>'Reported burning'!C3731</f>
        <v>Human, deliberate</v>
      </c>
      <c r="D3731" s="156" t="str">
        <f>'Reported burning'!D3731</f>
        <v>Forest clearance</v>
      </c>
      <c r="E3731" s="156" t="str">
        <f>'Reported burning'!E3731</f>
        <v>Urban planner</v>
      </c>
      <c r="F3731" s="156" t="str">
        <f>'Reported burning'!F3731</f>
        <v>Secondary vegetation</v>
      </c>
      <c r="G3731" s="156" t="str">
        <f>'Reported burning'!G3731</f>
        <v>Secondary vegetation</v>
      </c>
      <c r="H3731" s="156" t="str">
        <f>'Reported burning'!H3731</f>
        <v>Presence</v>
      </c>
      <c r="I3731" s="5"/>
      <c r="J3731" s="75" t="s">
        <v>2276</v>
      </c>
      <c r="K3731" s="75" t="s">
        <v>2276</v>
      </c>
      <c r="L3731" s="75" t="s">
        <v>2276</v>
      </c>
      <c r="M3731" s="75" t="s">
        <v>2276</v>
      </c>
      <c r="N3731" s="75" t="s">
        <v>2276</v>
      </c>
      <c r="O3731" s="75" t="s">
        <v>2276</v>
      </c>
      <c r="P3731" s="75" t="s">
        <v>2276</v>
      </c>
      <c r="Q3731" s="75" t="s">
        <v>2276</v>
      </c>
      <c r="R3731" s="75" t="s">
        <v>2276</v>
      </c>
      <c r="S3731" s="75" t="s">
        <v>2276</v>
      </c>
      <c r="T3731" s="75" t="s">
        <v>2276</v>
      </c>
      <c r="U3731" s="75" t="s">
        <v>2276</v>
      </c>
      <c r="V3731" s="75" t="s">
        <v>2276</v>
      </c>
      <c r="W3731" s="75" t="s">
        <v>2276</v>
      </c>
      <c r="X3731" s="75" t="s">
        <v>2276</v>
      </c>
      <c r="Y3731" s="75" t="s">
        <v>2276</v>
      </c>
      <c r="Z3731" s="75" t="s">
        <v>2276</v>
      </c>
      <c r="AA3731" s="239"/>
      <c r="AB3731" s="239" t="s">
        <v>9727</v>
      </c>
    </row>
    <row r="3732" spans="1:28" ht="39.5" customHeight="1">
      <c r="A3732" s="156" t="str">
        <f>'Reported burning'!A3732</f>
        <v>405c</v>
      </c>
      <c r="B3732" s="156" t="str">
        <f>'Reported burning'!B3732</f>
        <v>405c.7</v>
      </c>
      <c r="C3732" s="156" t="str">
        <f>'Reported burning'!C3732</f>
        <v>Human, deliberate</v>
      </c>
      <c r="D3732" s="156" t="str">
        <f>'Reported burning'!D3732</f>
        <v>Forest clearance</v>
      </c>
      <c r="E3732" s="156" t="str">
        <f>'Reported burning'!E3732</f>
        <v>Urban planner</v>
      </c>
      <c r="F3732" s="156" t="str">
        <f>'Reported burning'!F3732</f>
        <v>Secondary vegetation</v>
      </c>
      <c r="G3732" s="156" t="str">
        <f>'Reported burning'!G3732</f>
        <v>Secondary vegetation</v>
      </c>
      <c r="H3732" s="156" t="str">
        <f>'Reported burning'!H3732</f>
        <v>Presence</v>
      </c>
      <c r="I3732" s="5"/>
      <c r="J3732" s="75" t="s">
        <v>2276</v>
      </c>
      <c r="K3732" s="75" t="s">
        <v>2276</v>
      </c>
      <c r="L3732" s="75" t="s">
        <v>2276</v>
      </c>
      <c r="M3732" s="75" t="s">
        <v>2276</v>
      </c>
      <c r="N3732" s="75" t="s">
        <v>2276</v>
      </c>
      <c r="O3732" s="75" t="s">
        <v>2276</v>
      </c>
      <c r="P3732" s="75" t="s">
        <v>2276</v>
      </c>
      <c r="Q3732" s="75" t="s">
        <v>2276</v>
      </c>
      <c r="R3732" s="75" t="s">
        <v>2276</v>
      </c>
      <c r="S3732" s="75" t="s">
        <v>2276</v>
      </c>
      <c r="T3732" s="75" t="s">
        <v>2276</v>
      </c>
      <c r="U3732" s="75" t="s">
        <v>2276</v>
      </c>
      <c r="V3732" s="75" t="s">
        <v>2276</v>
      </c>
      <c r="W3732" s="75" t="s">
        <v>2276</v>
      </c>
      <c r="X3732" s="75" t="s">
        <v>2276</v>
      </c>
      <c r="Y3732" s="75" t="s">
        <v>2276</v>
      </c>
      <c r="Z3732" s="75" t="s">
        <v>2276</v>
      </c>
      <c r="AA3732" s="239"/>
      <c r="AB3732" s="239" t="s">
        <v>9727</v>
      </c>
    </row>
    <row r="3733" spans="1:28" ht="39.5" customHeight="1">
      <c r="A3733" s="156" t="str">
        <f>'Reported burning'!A3733</f>
        <v>405d</v>
      </c>
      <c r="B3733" s="156" t="str">
        <f>'Reported burning'!B3733</f>
        <v>405d.7</v>
      </c>
      <c r="C3733" s="156" t="str">
        <f>'Reported burning'!C3733</f>
        <v>Human, deliberate</v>
      </c>
      <c r="D3733" s="156" t="str">
        <f>'Reported burning'!D3733</f>
        <v>Forest clearance</v>
      </c>
      <c r="E3733" s="156" t="str">
        <f>'Reported burning'!E3733</f>
        <v>Urban planner</v>
      </c>
      <c r="F3733" s="156" t="str">
        <f>'Reported burning'!F3733</f>
        <v>Secondary vegetation</v>
      </c>
      <c r="G3733" s="156" t="str">
        <f>'Reported burning'!G3733</f>
        <v>Secondary vegetation</v>
      </c>
      <c r="H3733" s="156" t="str">
        <f>'Reported burning'!H3733</f>
        <v>Presence</v>
      </c>
      <c r="I3733" s="5"/>
      <c r="J3733" s="75" t="s">
        <v>2276</v>
      </c>
      <c r="K3733" s="75" t="s">
        <v>2276</v>
      </c>
      <c r="L3733" s="75" t="s">
        <v>2276</v>
      </c>
      <c r="M3733" s="75" t="s">
        <v>2276</v>
      </c>
      <c r="N3733" s="75" t="s">
        <v>2276</v>
      </c>
      <c r="O3733" s="75" t="s">
        <v>2276</v>
      </c>
      <c r="P3733" s="75" t="s">
        <v>2276</v>
      </c>
      <c r="Q3733" s="75" t="s">
        <v>2276</v>
      </c>
      <c r="R3733" s="75" t="s">
        <v>2276</v>
      </c>
      <c r="S3733" s="75" t="s">
        <v>2276</v>
      </c>
      <c r="T3733" s="75" t="s">
        <v>2276</v>
      </c>
      <c r="U3733" s="75" t="s">
        <v>2276</v>
      </c>
      <c r="V3733" s="75" t="s">
        <v>2276</v>
      </c>
      <c r="W3733" s="75" t="s">
        <v>2276</v>
      </c>
      <c r="X3733" s="75" t="s">
        <v>2276</v>
      </c>
      <c r="Y3733" s="75" t="s">
        <v>2276</v>
      </c>
      <c r="Z3733" s="75" t="s">
        <v>2276</v>
      </c>
      <c r="AA3733" s="239"/>
      <c r="AB3733" s="239" t="s">
        <v>9727</v>
      </c>
    </row>
    <row r="3734" spans="1:28" ht="39.5" customHeight="1">
      <c r="A3734" s="156" t="str">
        <f>'Reported burning'!A3734</f>
        <v>405e</v>
      </c>
      <c r="B3734" s="156" t="str">
        <f>'Reported burning'!B3734</f>
        <v>405e.7</v>
      </c>
      <c r="C3734" s="156" t="str">
        <f>'Reported burning'!C3734</f>
        <v>Human, deliberate</v>
      </c>
      <c r="D3734" s="156" t="str">
        <f>'Reported burning'!D3734</f>
        <v>Forest clearance</v>
      </c>
      <c r="E3734" s="156" t="str">
        <f>'Reported burning'!E3734</f>
        <v>Urban planner</v>
      </c>
      <c r="F3734" s="156" t="str">
        <f>'Reported burning'!F3734</f>
        <v>Secondary vegetation</v>
      </c>
      <c r="G3734" s="156" t="str">
        <f>'Reported burning'!G3734</f>
        <v>Secondary vegetation</v>
      </c>
      <c r="H3734" s="156" t="str">
        <f>'Reported burning'!H3734</f>
        <v>Presence</v>
      </c>
      <c r="I3734" s="5"/>
      <c r="J3734" s="75" t="s">
        <v>2276</v>
      </c>
      <c r="K3734" s="75" t="s">
        <v>2276</v>
      </c>
      <c r="L3734" s="75" t="s">
        <v>2276</v>
      </c>
      <c r="M3734" s="75" t="s">
        <v>2276</v>
      </c>
      <c r="N3734" s="75" t="s">
        <v>2276</v>
      </c>
      <c r="O3734" s="75" t="s">
        <v>2276</v>
      </c>
      <c r="P3734" s="75" t="s">
        <v>2276</v>
      </c>
      <c r="Q3734" s="75" t="s">
        <v>2276</v>
      </c>
      <c r="R3734" s="75" t="s">
        <v>2276</v>
      </c>
      <c r="S3734" s="75" t="s">
        <v>2276</v>
      </c>
      <c r="T3734" s="75" t="s">
        <v>2276</v>
      </c>
      <c r="U3734" s="75" t="s">
        <v>2276</v>
      </c>
      <c r="V3734" s="75" t="s">
        <v>2276</v>
      </c>
      <c r="W3734" s="75" t="s">
        <v>2276</v>
      </c>
      <c r="X3734" s="75" t="s">
        <v>2276</v>
      </c>
      <c r="Y3734" s="75" t="s">
        <v>2276</v>
      </c>
      <c r="Z3734" s="75" t="s">
        <v>2276</v>
      </c>
      <c r="AA3734" s="239"/>
      <c r="AB3734" s="239" t="s">
        <v>9727</v>
      </c>
    </row>
    <row r="3735" spans="1:28" ht="39.5" customHeight="1">
      <c r="A3735" s="156" t="str">
        <f>'Reported burning'!A3735</f>
        <v>405f</v>
      </c>
      <c r="B3735" s="156" t="str">
        <f>'Reported burning'!B3735</f>
        <v>405f.7</v>
      </c>
      <c r="C3735" s="156" t="str">
        <f>'Reported burning'!C3735</f>
        <v>Human, deliberate</v>
      </c>
      <c r="D3735" s="156" t="str">
        <f>'Reported burning'!D3735</f>
        <v>Forest clearance</v>
      </c>
      <c r="E3735" s="156" t="str">
        <f>'Reported burning'!E3735</f>
        <v>Urban planner</v>
      </c>
      <c r="F3735" s="156" t="str">
        <f>'Reported burning'!F3735</f>
        <v>Secondary vegetation</v>
      </c>
      <c r="G3735" s="156" t="str">
        <f>'Reported burning'!G3735</f>
        <v>Secondary vegetation</v>
      </c>
      <c r="H3735" s="156" t="str">
        <f>'Reported burning'!H3735</f>
        <v>Presence</v>
      </c>
      <c r="I3735" s="5"/>
      <c r="J3735" s="75" t="s">
        <v>2276</v>
      </c>
      <c r="K3735" s="75" t="s">
        <v>2276</v>
      </c>
      <c r="L3735" s="75" t="s">
        <v>2276</v>
      </c>
      <c r="M3735" s="75" t="s">
        <v>2276</v>
      </c>
      <c r="N3735" s="75" t="s">
        <v>2276</v>
      </c>
      <c r="O3735" s="75" t="s">
        <v>2276</v>
      </c>
      <c r="P3735" s="75" t="s">
        <v>2276</v>
      </c>
      <c r="Q3735" s="75" t="s">
        <v>2276</v>
      </c>
      <c r="R3735" s="75" t="s">
        <v>2276</v>
      </c>
      <c r="S3735" s="75" t="s">
        <v>2276</v>
      </c>
      <c r="T3735" s="75" t="s">
        <v>2276</v>
      </c>
      <c r="U3735" s="75" t="s">
        <v>2276</v>
      </c>
      <c r="V3735" s="75" t="s">
        <v>2276</v>
      </c>
      <c r="W3735" s="75" t="s">
        <v>2276</v>
      </c>
      <c r="X3735" s="75" t="s">
        <v>2276</v>
      </c>
      <c r="Y3735" s="75" t="s">
        <v>2276</v>
      </c>
      <c r="Z3735" s="75" t="s">
        <v>2276</v>
      </c>
      <c r="AA3735" s="239"/>
      <c r="AB3735" s="239" t="s">
        <v>9727</v>
      </c>
    </row>
    <row r="3736" spans="1:28" ht="39.5" customHeight="1">
      <c r="A3736" s="156" t="str">
        <f>'Reported burning'!A3736</f>
        <v>405a</v>
      </c>
      <c r="B3736" s="156" t="str">
        <f>'Reported burning'!B3736</f>
        <v>405a.8</v>
      </c>
      <c r="C3736" s="156" t="str">
        <f>'Reported burning'!C3736</f>
        <v>Human, escaped</v>
      </c>
      <c r="D3736" s="156" t="str">
        <f>'Reported burning'!D3736</f>
        <v>ND</v>
      </c>
      <c r="E3736" s="156" t="str">
        <f>'Reported burning'!E3736</f>
        <v>ND</v>
      </c>
      <c r="F3736" s="156" t="str">
        <f>'Reported burning'!F3736</f>
        <v>ND</v>
      </c>
      <c r="G3736" s="156" t="str">
        <f>'Reported burning'!G3736</f>
        <v>Forest</v>
      </c>
      <c r="H3736" s="156" t="str">
        <f>'Reported burning'!H3736</f>
        <v>Presence</v>
      </c>
      <c r="I3736" s="5"/>
      <c r="J3736" s="75" t="s">
        <v>2276</v>
      </c>
      <c r="K3736" s="75" t="s">
        <v>2276</v>
      </c>
      <c r="L3736" s="75" t="s">
        <v>2276</v>
      </c>
      <c r="M3736" s="75" t="s">
        <v>2276</v>
      </c>
      <c r="N3736" s="75" t="s">
        <v>2276</v>
      </c>
      <c r="O3736" s="75" t="s">
        <v>2276</v>
      </c>
      <c r="P3736" s="75" t="s">
        <v>2276</v>
      </c>
      <c r="Q3736" s="75" t="s">
        <v>2276</v>
      </c>
      <c r="R3736" s="75" t="s">
        <v>2276</v>
      </c>
      <c r="S3736" s="75" t="s">
        <v>2276</v>
      </c>
      <c r="T3736" s="75" t="s">
        <v>2276</v>
      </c>
      <c r="U3736" s="75" t="s">
        <v>2276</v>
      </c>
      <c r="V3736" s="75" t="s">
        <v>2276</v>
      </c>
      <c r="W3736" s="75" t="s">
        <v>2276</v>
      </c>
      <c r="X3736" s="75" t="s">
        <v>2276</v>
      </c>
      <c r="Y3736" s="75" t="s">
        <v>2276</v>
      </c>
      <c r="Z3736" s="75" t="s">
        <v>2276</v>
      </c>
      <c r="AA3736" s="204"/>
      <c r="AB3736" s="4" t="s">
        <v>9728</v>
      </c>
    </row>
    <row r="3737" spans="1:28" ht="39.5" customHeight="1">
      <c r="A3737" s="156" t="str">
        <f>'Reported burning'!A3737</f>
        <v>405b</v>
      </c>
      <c r="B3737" s="156" t="str">
        <f>'Reported burning'!B3737</f>
        <v>405b.8</v>
      </c>
      <c r="C3737" s="156" t="str">
        <f>'Reported burning'!C3737</f>
        <v>Human, escaped</v>
      </c>
      <c r="D3737" s="156" t="str">
        <f>'Reported burning'!D3737</f>
        <v>ND</v>
      </c>
      <c r="E3737" s="156" t="str">
        <f>'Reported burning'!E3737</f>
        <v>ND</v>
      </c>
      <c r="F3737" s="156" t="str">
        <f>'Reported burning'!F3737</f>
        <v>ND</v>
      </c>
      <c r="G3737" s="156" t="str">
        <f>'Reported burning'!G3737</f>
        <v>Forest</v>
      </c>
      <c r="H3737" s="156" t="str">
        <f>'Reported burning'!H3737</f>
        <v>Presence</v>
      </c>
      <c r="I3737" s="5"/>
      <c r="J3737" s="75" t="s">
        <v>2276</v>
      </c>
      <c r="K3737" s="75" t="s">
        <v>2276</v>
      </c>
      <c r="L3737" s="75" t="s">
        <v>2276</v>
      </c>
      <c r="M3737" s="75" t="s">
        <v>2276</v>
      </c>
      <c r="N3737" s="75" t="s">
        <v>2276</v>
      </c>
      <c r="O3737" s="75" t="s">
        <v>2276</v>
      </c>
      <c r="P3737" s="75" t="s">
        <v>2276</v>
      </c>
      <c r="Q3737" s="75" t="s">
        <v>2276</v>
      </c>
      <c r="R3737" s="75" t="s">
        <v>2276</v>
      </c>
      <c r="S3737" s="75" t="s">
        <v>2276</v>
      </c>
      <c r="T3737" s="75" t="s">
        <v>2276</v>
      </c>
      <c r="U3737" s="75" t="s">
        <v>2276</v>
      </c>
      <c r="V3737" s="75" t="s">
        <v>2276</v>
      </c>
      <c r="W3737" s="75" t="s">
        <v>2276</v>
      </c>
      <c r="X3737" s="75" t="s">
        <v>2276</v>
      </c>
      <c r="Y3737" s="75" t="s">
        <v>2276</v>
      </c>
      <c r="Z3737" s="75" t="s">
        <v>2276</v>
      </c>
      <c r="AA3737" s="204"/>
      <c r="AB3737" s="4" t="s">
        <v>9728</v>
      </c>
    </row>
    <row r="3738" spans="1:28" ht="39.5" customHeight="1">
      <c r="A3738" s="156" t="str">
        <f>'Reported burning'!A3738</f>
        <v>405c</v>
      </c>
      <c r="B3738" s="156" t="str">
        <f>'Reported burning'!B3738</f>
        <v>405c.8</v>
      </c>
      <c r="C3738" s="156" t="str">
        <f>'Reported burning'!C3738</f>
        <v>Human, escaped</v>
      </c>
      <c r="D3738" s="156" t="str">
        <f>'Reported burning'!D3738</f>
        <v>ND</v>
      </c>
      <c r="E3738" s="156" t="str">
        <f>'Reported burning'!E3738</f>
        <v>ND</v>
      </c>
      <c r="F3738" s="156" t="str">
        <f>'Reported burning'!F3738</f>
        <v>ND</v>
      </c>
      <c r="G3738" s="156" t="str">
        <f>'Reported burning'!G3738</f>
        <v>Forest</v>
      </c>
      <c r="H3738" s="156" t="str">
        <f>'Reported burning'!H3738</f>
        <v>Presence</v>
      </c>
      <c r="I3738" s="5"/>
      <c r="J3738" s="75" t="s">
        <v>2276</v>
      </c>
      <c r="K3738" s="75" t="s">
        <v>2276</v>
      </c>
      <c r="L3738" s="75" t="s">
        <v>2276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204"/>
      <c r="AB3738" s="4" t="s">
        <v>9728</v>
      </c>
    </row>
    <row r="3739" spans="1:28" ht="39.5" customHeight="1">
      <c r="A3739" s="156" t="str">
        <f>'Reported burning'!A3739</f>
        <v>405d</v>
      </c>
      <c r="B3739" s="156" t="str">
        <f>'Reported burning'!B3739</f>
        <v>405d.8</v>
      </c>
      <c r="C3739" s="156" t="str">
        <f>'Reported burning'!C3739</f>
        <v>Human, escaped</v>
      </c>
      <c r="D3739" s="156" t="str">
        <f>'Reported burning'!D3739</f>
        <v>ND</v>
      </c>
      <c r="E3739" s="156" t="str">
        <f>'Reported burning'!E3739</f>
        <v>ND</v>
      </c>
      <c r="F3739" s="156" t="str">
        <f>'Reported burning'!F3739</f>
        <v>ND</v>
      </c>
      <c r="G3739" s="156" t="str">
        <f>'Reported burning'!G3739</f>
        <v>Forest</v>
      </c>
      <c r="H3739" s="156" t="str">
        <f>'Reported burning'!H3739</f>
        <v>Presence</v>
      </c>
      <c r="I3739" s="5"/>
      <c r="J3739" s="75" t="s">
        <v>2276</v>
      </c>
      <c r="K3739" s="75" t="s">
        <v>2276</v>
      </c>
      <c r="L3739" s="75" t="s">
        <v>2276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204"/>
      <c r="AB3739" s="4" t="s">
        <v>9728</v>
      </c>
    </row>
    <row r="3740" spans="1:28" ht="39.5" customHeight="1">
      <c r="A3740" s="156" t="str">
        <f>'Reported burning'!A3740</f>
        <v>405f</v>
      </c>
      <c r="B3740" s="156" t="str">
        <f>'Reported burning'!B3740</f>
        <v>405f.8</v>
      </c>
      <c r="C3740" s="156" t="str">
        <f>'Reported burning'!C3740</f>
        <v>Human, escaped</v>
      </c>
      <c r="D3740" s="156" t="str">
        <f>'Reported burning'!D3740</f>
        <v>ND</v>
      </c>
      <c r="E3740" s="156" t="str">
        <f>'Reported burning'!E3740</f>
        <v>ND</v>
      </c>
      <c r="F3740" s="156" t="str">
        <f>'Reported burning'!F3740</f>
        <v>ND</v>
      </c>
      <c r="G3740" s="156" t="str">
        <f>'Reported burning'!G3740</f>
        <v>Forest</v>
      </c>
      <c r="H3740" s="156" t="str">
        <f>'Reported burning'!H3740</f>
        <v>Presence</v>
      </c>
      <c r="I3740" s="5"/>
      <c r="J3740" s="75" t="s">
        <v>2276</v>
      </c>
      <c r="K3740" s="75" t="s">
        <v>2276</v>
      </c>
      <c r="L3740" s="75" t="s">
        <v>2276</v>
      </c>
      <c r="M3740" s="75" t="s">
        <v>2276</v>
      </c>
      <c r="N3740" s="75" t="s">
        <v>2276</v>
      </c>
      <c r="O3740" s="75" t="s">
        <v>2276</v>
      </c>
      <c r="P3740" s="75" t="s">
        <v>2276</v>
      </c>
      <c r="Q3740" s="75" t="s">
        <v>2276</v>
      </c>
      <c r="R3740" s="75" t="s">
        <v>2276</v>
      </c>
      <c r="S3740" s="75" t="s">
        <v>2276</v>
      </c>
      <c r="T3740" s="75" t="s">
        <v>2276</v>
      </c>
      <c r="U3740" s="75" t="s">
        <v>2276</v>
      </c>
      <c r="V3740" s="75" t="s">
        <v>2276</v>
      </c>
      <c r="W3740" s="75" t="s">
        <v>2276</v>
      </c>
      <c r="X3740" s="75" t="s">
        <v>2276</v>
      </c>
      <c r="Y3740" s="75" t="s">
        <v>2276</v>
      </c>
      <c r="Z3740" s="75" t="s">
        <v>2276</v>
      </c>
      <c r="AA3740" s="204"/>
      <c r="AB3740" s="4" t="s">
        <v>9728</v>
      </c>
    </row>
    <row r="3741" spans="1:28" ht="43.5" customHeight="1">
      <c r="A3741" s="152" t="str">
        <f>'Reported burning'!A3741</f>
        <v>406a</v>
      </c>
      <c r="B3741" s="152" t="str">
        <f>'Reported burning'!B3741</f>
        <v>406a.1</v>
      </c>
      <c r="C3741" s="152" t="str">
        <f>'Reported burning'!C3741</f>
        <v>Unknown</v>
      </c>
      <c r="D3741" s="152" t="str">
        <f>'Reported burning'!D3741</f>
        <v>ND</v>
      </c>
      <c r="E3741" s="152" t="str">
        <f>'Reported burning'!E3741</f>
        <v>ND</v>
      </c>
      <c r="F3741" s="152" t="str">
        <f>'Reported burning'!F3741</f>
        <v>ND</v>
      </c>
      <c r="G3741" s="152" t="str">
        <f>'Reported burning'!G3741</f>
        <v>Cropland</v>
      </c>
      <c r="H3741" s="152" t="str">
        <f>'Reported burning'!H3741</f>
        <v>Presence</v>
      </c>
      <c r="I3741" s="204">
        <v>1997</v>
      </c>
      <c r="J3741" s="75" t="s">
        <v>2276</v>
      </c>
      <c r="K3741" s="75" t="s">
        <v>2276</v>
      </c>
      <c r="L3741" s="75" t="s">
        <v>2276</v>
      </c>
      <c r="M3741" s="75" t="s">
        <v>2276</v>
      </c>
      <c r="N3741" s="75" t="s">
        <v>2276</v>
      </c>
      <c r="O3741" s="75" t="s">
        <v>2276</v>
      </c>
      <c r="P3741" s="75" t="s">
        <v>2276</v>
      </c>
      <c r="Q3741" s="75" t="s">
        <v>2276</v>
      </c>
      <c r="R3741" s="75" t="s">
        <v>2276</v>
      </c>
      <c r="S3741" s="75" t="s">
        <v>2276</v>
      </c>
      <c r="T3741" s="21" t="s">
        <v>2376</v>
      </c>
      <c r="U3741" s="75" t="s">
        <v>2276</v>
      </c>
      <c r="V3741" s="75" t="s">
        <v>2276</v>
      </c>
      <c r="W3741" s="75" t="s">
        <v>2276</v>
      </c>
      <c r="X3741" s="75" t="s">
        <v>2276</v>
      </c>
      <c r="Y3741" s="75" t="s">
        <v>2276</v>
      </c>
      <c r="Z3741" s="75" t="s">
        <v>2276</v>
      </c>
      <c r="AA3741" s="204"/>
      <c r="AB3741" s="204"/>
    </row>
    <row r="3742" spans="1:28" ht="39.5" customHeight="1">
      <c r="A3742" s="156" t="str">
        <f>'Reported burning'!A3742</f>
        <v>406a</v>
      </c>
      <c r="B3742" s="156" t="str">
        <f>'Reported burning'!B3742</f>
        <v>406a.2</v>
      </c>
      <c r="C3742" s="156" t="str">
        <f>'Reported burning'!C3742</f>
        <v>Human, deliberate</v>
      </c>
      <c r="D3742" s="156" t="str">
        <f>'Reported burning'!D3742</f>
        <v>Accessibility</v>
      </c>
      <c r="E3742" s="156" t="str">
        <f>'Reported burning'!E3742</f>
        <v>Forestry, Small-scale</v>
      </c>
      <c r="F3742" s="156" t="str">
        <f>'Reported burning'!F3742</f>
        <v>Forest</v>
      </c>
      <c r="G3742" s="156" t="str">
        <f>'Reported burning'!G3742</f>
        <v>Forest</v>
      </c>
      <c r="H3742" s="156" t="str">
        <f>'Reported burning'!H3742</f>
        <v>Absence</v>
      </c>
      <c r="I3742" s="5"/>
      <c r="J3742" s="21">
        <v>0</v>
      </c>
      <c r="K3742" s="21">
        <v>0</v>
      </c>
      <c r="L3742" s="21">
        <v>0</v>
      </c>
      <c r="M3742" s="21">
        <v>0</v>
      </c>
      <c r="N3742" s="21">
        <v>0</v>
      </c>
      <c r="O3742" s="21">
        <v>0</v>
      </c>
      <c r="P3742" s="21">
        <v>0</v>
      </c>
      <c r="Q3742" s="21">
        <v>0</v>
      </c>
      <c r="R3742" s="21">
        <v>0</v>
      </c>
      <c r="S3742" s="21">
        <v>0</v>
      </c>
      <c r="T3742" s="21">
        <v>0</v>
      </c>
      <c r="U3742" s="21">
        <v>0</v>
      </c>
      <c r="V3742" s="21">
        <v>0</v>
      </c>
      <c r="W3742" s="75" t="s">
        <v>2276</v>
      </c>
      <c r="X3742" s="75" t="s">
        <v>2276</v>
      </c>
      <c r="Y3742" s="75" t="s">
        <v>2276</v>
      </c>
      <c r="Z3742" s="75" t="s">
        <v>2276</v>
      </c>
      <c r="AA3742" s="204"/>
      <c r="AB3742" s="204"/>
    </row>
    <row r="3743" spans="1:28" ht="39.5" customHeight="1">
      <c r="A3743" s="156" t="str">
        <f>'Reported burning'!A3743</f>
        <v>406a</v>
      </c>
      <c r="B3743" s="156" t="str">
        <f>'Reported burning'!B3743</f>
        <v>406a.3</v>
      </c>
      <c r="C3743" s="156" t="str">
        <f>'Reported burning'!C3743</f>
        <v>Human, escaped</v>
      </c>
      <c r="D3743" s="156" t="str">
        <f>'Reported burning'!D3743</f>
        <v>ND</v>
      </c>
      <c r="E3743" s="156" t="str">
        <f>'Reported burning'!E3743</f>
        <v>ND</v>
      </c>
      <c r="F3743" s="156" t="str">
        <f>'Reported burning'!F3743</f>
        <v>ND</v>
      </c>
      <c r="G3743" s="156" t="str">
        <f>'Reported burning'!G3743</f>
        <v>Forest</v>
      </c>
      <c r="H3743" s="156" t="str">
        <f>'Reported burning'!H3743</f>
        <v>Presence</v>
      </c>
      <c r="I3743" s="5"/>
      <c r="J3743" s="75" t="s">
        <v>2276</v>
      </c>
      <c r="K3743" s="75" t="s">
        <v>2276</v>
      </c>
      <c r="L3743" s="75" t="s">
        <v>2276</v>
      </c>
      <c r="M3743" s="75" t="s">
        <v>2276</v>
      </c>
      <c r="N3743" s="75" t="s">
        <v>2276</v>
      </c>
      <c r="O3743" s="75" t="s">
        <v>2276</v>
      </c>
      <c r="P3743" s="75" t="s">
        <v>2276</v>
      </c>
      <c r="Q3743" s="75" t="s">
        <v>2276</v>
      </c>
      <c r="R3743" s="75" t="s">
        <v>2276</v>
      </c>
      <c r="S3743" s="75" t="s">
        <v>2276</v>
      </c>
      <c r="T3743" s="75" t="s">
        <v>2276</v>
      </c>
      <c r="U3743" s="75" t="s">
        <v>2276</v>
      </c>
      <c r="V3743" s="75" t="s">
        <v>2276</v>
      </c>
      <c r="W3743" s="75" t="s">
        <v>2276</v>
      </c>
      <c r="X3743" s="75" t="s">
        <v>2276</v>
      </c>
      <c r="Y3743" s="75" t="s">
        <v>2276</v>
      </c>
      <c r="Z3743" s="75" t="s">
        <v>2276</v>
      </c>
      <c r="AA3743" s="204"/>
      <c r="AB3743" s="204"/>
    </row>
    <row r="3744" spans="1:28" ht="42" customHeight="1">
      <c r="A3744" s="156" t="str">
        <f>'Reported burning'!A3744</f>
        <v>407a</v>
      </c>
      <c r="B3744" s="156" t="str">
        <f>'Reported burning'!B3744</f>
        <v>407a.1</v>
      </c>
      <c r="C3744" s="156" t="str">
        <f>'Reported burning'!C3744</f>
        <v>Human, deliberate</v>
      </c>
      <c r="D3744" s="156" t="str">
        <f>'Reported burning'!D3744</f>
        <v>Charcoal production</v>
      </c>
      <c r="E3744" s="156" t="str">
        <f>'Reported burning'!E3744</f>
        <v>Forestry, Small-scale</v>
      </c>
      <c r="F3744" s="156" t="str">
        <f>'Reported burning'!F3744</f>
        <v>ND</v>
      </c>
      <c r="G3744" s="156" t="str">
        <f>'Reported burning'!G3744</f>
        <v>Forest</v>
      </c>
      <c r="H3744" s="156" t="str">
        <f>'Reported burning'!H3744</f>
        <v>Presence</v>
      </c>
      <c r="I3744" s="5"/>
      <c r="J3744" s="75" t="s">
        <v>2276</v>
      </c>
      <c r="K3744" s="21" t="s">
        <v>2362</v>
      </c>
      <c r="L3744" s="75" t="s">
        <v>2276</v>
      </c>
      <c r="M3744" s="21" t="s">
        <v>2362</v>
      </c>
      <c r="N3744" s="75" t="s">
        <v>2276</v>
      </c>
      <c r="O3744" s="21" t="s">
        <v>2362</v>
      </c>
      <c r="P3744" s="75" t="s">
        <v>2276</v>
      </c>
      <c r="Q3744" s="21" t="s">
        <v>2362</v>
      </c>
      <c r="R3744" s="75" t="s">
        <v>2276</v>
      </c>
      <c r="S3744" s="75" t="s">
        <v>2276</v>
      </c>
      <c r="T3744" s="75" t="s">
        <v>2276</v>
      </c>
      <c r="U3744" s="75" t="s">
        <v>2276</v>
      </c>
      <c r="V3744" s="75" t="s">
        <v>2276</v>
      </c>
      <c r="W3744" s="75" t="s">
        <v>2276</v>
      </c>
      <c r="X3744" s="75" t="s">
        <v>2276</v>
      </c>
      <c r="Y3744" s="75" t="s">
        <v>2276</v>
      </c>
      <c r="Z3744" s="75" t="s">
        <v>2276</v>
      </c>
      <c r="AA3744" s="204"/>
      <c r="AB3744" s="82" t="s">
        <v>9745</v>
      </c>
    </row>
    <row r="3745" spans="1:28" ht="42" customHeight="1">
      <c r="A3745" s="156" t="str">
        <f>'Reported burning'!A3745</f>
        <v>408a</v>
      </c>
      <c r="B3745" s="156" t="str">
        <f>'Reported burning'!B3745</f>
        <v>408a.1</v>
      </c>
      <c r="C3745" s="156" t="str">
        <f>'Reported burning'!C3745</f>
        <v>Human, deliberate</v>
      </c>
      <c r="D3745" s="156" t="str">
        <f>'Reported burning'!D3745</f>
        <v>Crop field preparation</v>
      </c>
      <c r="E3745" s="156" t="str">
        <f>'Reported burning'!E3745</f>
        <v>Cropping, Swidden</v>
      </c>
      <c r="F3745" s="156" t="str">
        <f>'Reported burning'!F3745</f>
        <v>Forest</v>
      </c>
      <c r="G3745" s="156" t="str">
        <f>'Reported burning'!G3745</f>
        <v>Forest</v>
      </c>
      <c r="H3745" s="156" t="str">
        <f>'Reported burning'!H3745</f>
        <v>Presence</v>
      </c>
      <c r="I3745" s="5"/>
      <c r="J3745" s="75" t="s">
        <v>2276</v>
      </c>
      <c r="K3745" s="75" t="s">
        <v>2276</v>
      </c>
      <c r="L3745" s="75" t="s">
        <v>2276</v>
      </c>
      <c r="M3745" s="75" t="s">
        <v>2276</v>
      </c>
      <c r="N3745" s="75" t="s">
        <v>2276</v>
      </c>
      <c r="O3745" s="75" t="s">
        <v>2276</v>
      </c>
      <c r="P3745" s="75" t="s">
        <v>2276</v>
      </c>
      <c r="Q3745" s="75" t="s">
        <v>2276</v>
      </c>
      <c r="R3745" s="75" t="s">
        <v>2276</v>
      </c>
      <c r="S3745" s="75" t="s">
        <v>2276</v>
      </c>
      <c r="T3745" s="75" t="s">
        <v>2276</v>
      </c>
      <c r="U3745" s="75" t="s">
        <v>2276</v>
      </c>
      <c r="V3745" s="75" t="s">
        <v>2276</v>
      </c>
      <c r="W3745" s="75" t="s">
        <v>2276</v>
      </c>
      <c r="X3745" s="75" t="s">
        <v>2276</v>
      </c>
      <c r="Y3745" s="75" t="s">
        <v>2276</v>
      </c>
      <c r="Z3745" s="75" t="s">
        <v>2276</v>
      </c>
      <c r="AA3745" s="204"/>
      <c r="AB3745" s="204"/>
    </row>
    <row r="3746" spans="1:28" ht="42" customHeight="1">
      <c r="A3746" s="156" t="str">
        <f>'Reported burning'!A3746</f>
        <v>408b</v>
      </c>
      <c r="B3746" s="156" t="str">
        <f>'Reported burning'!B3746</f>
        <v>408b.1</v>
      </c>
      <c r="C3746" s="156" t="str">
        <f>'Reported burning'!C3746</f>
        <v>Human, deliberate</v>
      </c>
      <c r="D3746" s="156" t="str">
        <f>'Reported burning'!D3746</f>
        <v>Crop field preparation</v>
      </c>
      <c r="E3746" s="156" t="str">
        <f>'Reported burning'!E3746</f>
        <v>Cropping, Swidden</v>
      </c>
      <c r="F3746" s="156" t="str">
        <f>'Reported burning'!F3746</f>
        <v>Forest</v>
      </c>
      <c r="G3746" s="156" t="str">
        <f>'Reported burning'!G3746</f>
        <v>Forest</v>
      </c>
      <c r="H3746" s="156" t="str">
        <f>'Reported burning'!H3746</f>
        <v>Presence</v>
      </c>
      <c r="I3746" s="5"/>
      <c r="J3746" s="75" t="s">
        <v>2276</v>
      </c>
      <c r="K3746" s="75" t="s">
        <v>2276</v>
      </c>
      <c r="L3746" s="75" t="s">
        <v>2276</v>
      </c>
      <c r="M3746" s="75" t="s">
        <v>2276</v>
      </c>
      <c r="N3746" s="75" t="s">
        <v>2276</v>
      </c>
      <c r="O3746" s="75" t="s">
        <v>2276</v>
      </c>
      <c r="P3746" s="75" t="s">
        <v>2276</v>
      </c>
      <c r="Q3746" s="75" t="s">
        <v>2276</v>
      </c>
      <c r="R3746" s="75" t="s">
        <v>2276</v>
      </c>
      <c r="S3746" s="75" t="s">
        <v>2276</v>
      </c>
      <c r="T3746" s="75" t="s">
        <v>2276</v>
      </c>
      <c r="U3746" s="75" t="s">
        <v>2276</v>
      </c>
      <c r="V3746" s="75" t="s">
        <v>2276</v>
      </c>
      <c r="W3746" s="75" t="s">
        <v>2276</v>
      </c>
      <c r="X3746" s="75" t="s">
        <v>2276</v>
      </c>
      <c r="Y3746" s="75" t="s">
        <v>2276</v>
      </c>
      <c r="Z3746" s="75" t="s">
        <v>2276</v>
      </c>
      <c r="AA3746" s="204"/>
      <c r="AB3746" s="204"/>
    </row>
    <row r="3747" spans="1:28" ht="42" customHeight="1">
      <c r="A3747" s="156" t="str">
        <f>'Reported burning'!A3747</f>
        <v>408c</v>
      </c>
      <c r="B3747" s="156" t="str">
        <f>'Reported burning'!B3747</f>
        <v>408c.1</v>
      </c>
      <c r="C3747" s="156" t="str">
        <f>'Reported burning'!C3747</f>
        <v>Human, deliberate</v>
      </c>
      <c r="D3747" s="156" t="str">
        <f>'Reported burning'!D3747</f>
        <v>Crop field preparation</v>
      </c>
      <c r="E3747" s="156" t="str">
        <f>'Reported burning'!E3747</f>
        <v>Cropping, Swidden</v>
      </c>
      <c r="F3747" s="156" t="str">
        <f>'Reported burning'!F3747</f>
        <v>Forest</v>
      </c>
      <c r="G3747" s="156" t="str">
        <f>'Reported burning'!G3747</f>
        <v>Forest</v>
      </c>
      <c r="H3747" s="156" t="str">
        <f>'Reported burning'!H3747</f>
        <v>Presence</v>
      </c>
      <c r="I3747" s="5"/>
      <c r="J3747" s="75" t="s">
        <v>2276</v>
      </c>
      <c r="K3747" s="75" t="s">
        <v>2276</v>
      </c>
      <c r="L3747" s="75" t="s">
        <v>2276</v>
      </c>
      <c r="M3747" s="75" t="s">
        <v>2276</v>
      </c>
      <c r="N3747" s="75" t="s">
        <v>2276</v>
      </c>
      <c r="O3747" s="75" t="s">
        <v>2276</v>
      </c>
      <c r="P3747" s="75" t="s">
        <v>2276</v>
      </c>
      <c r="Q3747" s="75" t="s">
        <v>2276</v>
      </c>
      <c r="R3747" s="75" t="s">
        <v>2276</v>
      </c>
      <c r="S3747" s="75" t="s">
        <v>2276</v>
      </c>
      <c r="T3747" s="75" t="s">
        <v>2276</v>
      </c>
      <c r="U3747" s="75" t="s">
        <v>2276</v>
      </c>
      <c r="V3747" s="75" t="s">
        <v>2276</v>
      </c>
      <c r="W3747" s="75" t="s">
        <v>2276</v>
      </c>
      <c r="X3747" s="75" t="s">
        <v>2276</v>
      </c>
      <c r="Y3747" s="75" t="s">
        <v>2276</v>
      </c>
      <c r="Z3747" s="75" t="s">
        <v>2276</v>
      </c>
      <c r="AA3747" s="204"/>
      <c r="AB3747" s="204"/>
    </row>
    <row r="3748" spans="1:28" ht="42" customHeight="1">
      <c r="A3748" s="156" t="str">
        <f>'Reported burning'!A3748</f>
        <v>408d</v>
      </c>
      <c r="B3748" s="156" t="str">
        <f>'Reported burning'!B3748</f>
        <v>408d.1</v>
      </c>
      <c r="C3748" s="156" t="str">
        <f>'Reported burning'!C3748</f>
        <v>Human, deliberate</v>
      </c>
      <c r="D3748" s="156" t="str">
        <f>'Reported burning'!D3748</f>
        <v>Crop field preparation</v>
      </c>
      <c r="E3748" s="156" t="str">
        <f>'Reported burning'!E3748</f>
        <v>Cropping, Swidden</v>
      </c>
      <c r="F3748" s="156" t="str">
        <f>'Reported burning'!F3748</f>
        <v>Forest</v>
      </c>
      <c r="G3748" s="156" t="str">
        <f>'Reported burning'!G3748</f>
        <v>Forest</v>
      </c>
      <c r="H3748" s="156" t="str">
        <f>'Reported burning'!H3748</f>
        <v>Presence</v>
      </c>
      <c r="I3748" s="5"/>
      <c r="J3748" s="75" t="s">
        <v>2276</v>
      </c>
      <c r="K3748" s="75" t="s">
        <v>2276</v>
      </c>
      <c r="L3748" s="75" t="s">
        <v>2276</v>
      </c>
      <c r="M3748" s="75" t="s">
        <v>2276</v>
      </c>
      <c r="N3748" s="75" t="s">
        <v>2276</v>
      </c>
      <c r="O3748" s="75" t="s">
        <v>2276</v>
      </c>
      <c r="P3748" s="75" t="s">
        <v>2276</v>
      </c>
      <c r="Q3748" s="75" t="s">
        <v>2276</v>
      </c>
      <c r="R3748" s="75" t="s">
        <v>2276</v>
      </c>
      <c r="S3748" s="75" t="s">
        <v>2276</v>
      </c>
      <c r="T3748" s="75" t="s">
        <v>2276</v>
      </c>
      <c r="U3748" s="75" t="s">
        <v>2276</v>
      </c>
      <c r="V3748" s="75" t="s">
        <v>2276</v>
      </c>
      <c r="W3748" s="75" t="s">
        <v>2276</v>
      </c>
      <c r="X3748" s="75" t="s">
        <v>2276</v>
      </c>
      <c r="Y3748" s="75" t="s">
        <v>2276</v>
      </c>
      <c r="Z3748" s="75" t="s">
        <v>2276</v>
      </c>
      <c r="AA3748" s="204"/>
      <c r="AB3748" s="204"/>
    </row>
    <row r="3749" spans="1:28" ht="42" customHeight="1">
      <c r="A3749" s="156" t="str">
        <f>'Reported burning'!A3749</f>
        <v>408e</v>
      </c>
      <c r="B3749" s="156" t="str">
        <f>'Reported burning'!B3749</f>
        <v>408e.1</v>
      </c>
      <c r="C3749" s="156" t="str">
        <f>'Reported burning'!C3749</f>
        <v>Human, deliberate</v>
      </c>
      <c r="D3749" s="156" t="str">
        <f>'Reported burning'!D3749</f>
        <v>Crop field preparation</v>
      </c>
      <c r="E3749" s="156" t="str">
        <f>'Reported burning'!E3749</f>
        <v>Cropping, Swidden</v>
      </c>
      <c r="F3749" s="156" t="str">
        <f>'Reported burning'!F3749</f>
        <v>Forest</v>
      </c>
      <c r="G3749" s="156" t="str">
        <f>'Reported burning'!G3749</f>
        <v>Forest</v>
      </c>
      <c r="H3749" s="156" t="str">
        <f>'Reported burning'!H3749</f>
        <v>Presence</v>
      </c>
      <c r="I3749" s="5"/>
      <c r="J3749" s="75" t="s">
        <v>2276</v>
      </c>
      <c r="K3749" s="75" t="s">
        <v>2276</v>
      </c>
      <c r="L3749" s="75" t="s">
        <v>2276</v>
      </c>
      <c r="M3749" s="75" t="s">
        <v>2276</v>
      </c>
      <c r="N3749" s="75" t="s">
        <v>2276</v>
      </c>
      <c r="O3749" s="75" t="s">
        <v>2276</v>
      </c>
      <c r="P3749" s="75" t="s">
        <v>2276</v>
      </c>
      <c r="Q3749" s="75" t="s">
        <v>2276</v>
      </c>
      <c r="R3749" s="75" t="s">
        <v>2276</v>
      </c>
      <c r="S3749" s="75" t="s">
        <v>2276</v>
      </c>
      <c r="T3749" s="75" t="s">
        <v>2276</v>
      </c>
      <c r="U3749" s="75" t="s">
        <v>2276</v>
      </c>
      <c r="V3749" s="75" t="s">
        <v>2276</v>
      </c>
      <c r="W3749" s="75" t="s">
        <v>2276</v>
      </c>
      <c r="X3749" s="75" t="s">
        <v>2276</v>
      </c>
      <c r="Y3749" s="75" t="s">
        <v>2276</v>
      </c>
      <c r="Z3749" s="75" t="s">
        <v>2276</v>
      </c>
      <c r="AA3749" s="204"/>
      <c r="AB3749" s="204"/>
    </row>
    <row r="3750" spans="1:28" ht="42" customHeight="1">
      <c r="A3750" s="156" t="str">
        <f>'Reported burning'!A3750</f>
        <v>408f</v>
      </c>
      <c r="B3750" s="156" t="str">
        <f>'Reported burning'!B3750</f>
        <v>408f.1</v>
      </c>
      <c r="C3750" s="156" t="str">
        <f>'Reported burning'!C3750</f>
        <v>Human, deliberate</v>
      </c>
      <c r="D3750" s="156" t="str">
        <f>'Reported burning'!D3750</f>
        <v>Crop field preparation</v>
      </c>
      <c r="E3750" s="156" t="str">
        <f>'Reported burning'!E3750</f>
        <v>Cropping, Swidden</v>
      </c>
      <c r="F3750" s="156" t="str">
        <f>'Reported burning'!F3750</f>
        <v>Forest</v>
      </c>
      <c r="G3750" s="156" t="str">
        <f>'Reported burning'!G3750</f>
        <v>Forest</v>
      </c>
      <c r="H3750" s="156" t="str">
        <f>'Reported burning'!H3750</f>
        <v>Presence</v>
      </c>
      <c r="I3750" s="5"/>
      <c r="J3750" s="75" t="s">
        <v>2276</v>
      </c>
      <c r="K3750" s="75" t="s">
        <v>2276</v>
      </c>
      <c r="L3750" s="75" t="s">
        <v>2276</v>
      </c>
      <c r="M3750" s="75" t="s">
        <v>2276</v>
      </c>
      <c r="N3750" s="75" t="s">
        <v>2276</v>
      </c>
      <c r="O3750" s="75" t="s">
        <v>2276</v>
      </c>
      <c r="P3750" s="75" t="s">
        <v>2276</v>
      </c>
      <c r="Q3750" s="75" t="s">
        <v>2276</v>
      </c>
      <c r="R3750" s="75" t="s">
        <v>2276</v>
      </c>
      <c r="S3750" s="75" t="s">
        <v>2276</v>
      </c>
      <c r="T3750" s="75" t="s">
        <v>2276</v>
      </c>
      <c r="U3750" s="75" t="s">
        <v>2276</v>
      </c>
      <c r="V3750" s="75" t="s">
        <v>2276</v>
      </c>
      <c r="W3750" s="75" t="s">
        <v>2276</v>
      </c>
      <c r="X3750" s="75" t="s">
        <v>2276</v>
      </c>
      <c r="Y3750" s="75" t="s">
        <v>2276</v>
      </c>
      <c r="Z3750" s="75" t="s">
        <v>2276</v>
      </c>
      <c r="AA3750" s="204"/>
      <c r="AB3750" s="204"/>
    </row>
    <row r="3751" spans="1:28" ht="42" customHeight="1">
      <c r="A3751" s="156" t="str">
        <f>'Reported burning'!A3751</f>
        <v>408g</v>
      </c>
      <c r="B3751" s="156" t="str">
        <f>'Reported burning'!B3751</f>
        <v>408g.1</v>
      </c>
      <c r="C3751" s="156" t="str">
        <f>'Reported burning'!C3751</f>
        <v>Human, deliberate</v>
      </c>
      <c r="D3751" s="156" t="str">
        <f>'Reported burning'!D3751</f>
        <v>Crop field preparation</v>
      </c>
      <c r="E3751" s="156" t="str">
        <f>'Reported burning'!E3751</f>
        <v>Cropping, Swidden</v>
      </c>
      <c r="F3751" s="156" t="str">
        <f>'Reported burning'!F3751</f>
        <v>Forest</v>
      </c>
      <c r="G3751" s="156" t="str">
        <f>'Reported burning'!G3751</f>
        <v>Forest</v>
      </c>
      <c r="H3751" s="156" t="str">
        <f>'Reported burning'!H3751</f>
        <v>Presence</v>
      </c>
      <c r="I3751" s="5"/>
      <c r="J3751" s="75" t="s">
        <v>2276</v>
      </c>
      <c r="K3751" s="75" t="s">
        <v>2276</v>
      </c>
      <c r="L3751" s="75" t="s">
        <v>2276</v>
      </c>
      <c r="M3751" s="75" t="s">
        <v>2276</v>
      </c>
      <c r="N3751" s="75" t="s">
        <v>2276</v>
      </c>
      <c r="O3751" s="75" t="s">
        <v>2276</v>
      </c>
      <c r="P3751" s="75" t="s">
        <v>2276</v>
      </c>
      <c r="Q3751" s="75" t="s">
        <v>2276</v>
      </c>
      <c r="R3751" s="75" t="s">
        <v>2276</v>
      </c>
      <c r="S3751" s="75" t="s">
        <v>2276</v>
      </c>
      <c r="T3751" s="75" t="s">
        <v>2276</v>
      </c>
      <c r="U3751" s="75" t="s">
        <v>2276</v>
      </c>
      <c r="V3751" s="75" t="s">
        <v>2276</v>
      </c>
      <c r="W3751" s="75" t="s">
        <v>2276</v>
      </c>
      <c r="X3751" s="75" t="s">
        <v>2276</v>
      </c>
      <c r="Y3751" s="75" t="s">
        <v>2276</v>
      </c>
      <c r="Z3751" s="75" t="s">
        <v>2276</v>
      </c>
      <c r="AA3751" s="204"/>
      <c r="AB3751" s="204"/>
    </row>
    <row r="3752" spans="1:28" ht="42" customHeight="1">
      <c r="A3752" s="156" t="str">
        <f>'Reported burning'!A3752</f>
        <v>408h</v>
      </c>
      <c r="B3752" s="156" t="str">
        <f>'Reported burning'!B3752</f>
        <v>408h.1</v>
      </c>
      <c r="C3752" s="156" t="str">
        <f>'Reported burning'!C3752</f>
        <v>Human, deliberate</v>
      </c>
      <c r="D3752" s="156" t="str">
        <f>'Reported burning'!D3752</f>
        <v>Crop field preparation</v>
      </c>
      <c r="E3752" s="156" t="str">
        <f>'Reported burning'!E3752</f>
        <v>Cropping, Swidden</v>
      </c>
      <c r="F3752" s="156" t="str">
        <f>'Reported burning'!F3752</f>
        <v>Forest</v>
      </c>
      <c r="G3752" s="156" t="str">
        <f>'Reported burning'!G3752</f>
        <v>Forest</v>
      </c>
      <c r="H3752" s="156" t="str">
        <f>'Reported burning'!H3752</f>
        <v>Presence</v>
      </c>
      <c r="I3752" s="5"/>
      <c r="J3752" s="75" t="s">
        <v>2276</v>
      </c>
      <c r="K3752" s="75" t="s">
        <v>2276</v>
      </c>
      <c r="L3752" s="75" t="s">
        <v>2276</v>
      </c>
      <c r="M3752" s="75" t="s">
        <v>2276</v>
      </c>
      <c r="N3752" s="75" t="s">
        <v>2276</v>
      </c>
      <c r="O3752" s="75" t="s">
        <v>2276</v>
      </c>
      <c r="P3752" s="75" t="s">
        <v>2276</v>
      </c>
      <c r="Q3752" s="75" t="s">
        <v>2276</v>
      </c>
      <c r="R3752" s="75" t="s">
        <v>2276</v>
      </c>
      <c r="S3752" s="75" t="s">
        <v>2276</v>
      </c>
      <c r="T3752" s="75" t="s">
        <v>2276</v>
      </c>
      <c r="U3752" s="75" t="s">
        <v>2276</v>
      </c>
      <c r="V3752" s="75" t="s">
        <v>2276</v>
      </c>
      <c r="W3752" s="75" t="s">
        <v>2276</v>
      </c>
      <c r="X3752" s="75" t="s">
        <v>2276</v>
      </c>
      <c r="Y3752" s="75" t="s">
        <v>2276</v>
      </c>
      <c r="Z3752" s="75" t="s">
        <v>2276</v>
      </c>
      <c r="AA3752" s="204"/>
      <c r="AB3752" s="204"/>
    </row>
    <row r="3753" spans="1:28" ht="42" customHeight="1">
      <c r="A3753" s="156" t="str">
        <f>'Reported burning'!A3753</f>
        <v>408i</v>
      </c>
      <c r="B3753" s="156" t="str">
        <f>'Reported burning'!B3753</f>
        <v>408i.1</v>
      </c>
      <c r="C3753" s="156" t="str">
        <f>'Reported burning'!C3753</f>
        <v>Human, deliberate</v>
      </c>
      <c r="D3753" s="156" t="str">
        <f>'Reported burning'!D3753</f>
        <v>Crop field preparation</v>
      </c>
      <c r="E3753" s="156" t="str">
        <f>'Reported burning'!E3753</f>
        <v>Cropping, Swidden</v>
      </c>
      <c r="F3753" s="156" t="str">
        <f>'Reported burning'!F3753</f>
        <v>Forest</v>
      </c>
      <c r="G3753" s="156" t="str">
        <f>'Reported burning'!G3753</f>
        <v>Forest</v>
      </c>
      <c r="H3753" s="156" t="str">
        <f>'Reported burning'!H3753</f>
        <v>Presence</v>
      </c>
      <c r="I3753" s="5"/>
      <c r="J3753" s="75" t="s">
        <v>2276</v>
      </c>
      <c r="K3753" s="75" t="s">
        <v>2276</v>
      </c>
      <c r="L3753" s="75" t="s">
        <v>2276</v>
      </c>
      <c r="M3753" s="75" t="s">
        <v>2276</v>
      </c>
      <c r="N3753" s="75" t="s">
        <v>2276</v>
      </c>
      <c r="O3753" s="75" t="s">
        <v>2276</v>
      </c>
      <c r="P3753" s="75" t="s">
        <v>2276</v>
      </c>
      <c r="Q3753" s="75" t="s">
        <v>2276</v>
      </c>
      <c r="R3753" s="75" t="s">
        <v>2276</v>
      </c>
      <c r="S3753" s="75" t="s">
        <v>2276</v>
      </c>
      <c r="T3753" s="75" t="s">
        <v>2276</v>
      </c>
      <c r="U3753" s="75" t="s">
        <v>2276</v>
      </c>
      <c r="V3753" s="75" t="s">
        <v>2276</v>
      </c>
      <c r="W3753" s="75" t="s">
        <v>2276</v>
      </c>
      <c r="X3753" s="75" t="s">
        <v>2276</v>
      </c>
      <c r="Y3753" s="75" t="s">
        <v>2276</v>
      </c>
      <c r="Z3753" s="75" t="s">
        <v>2276</v>
      </c>
      <c r="AA3753" s="204"/>
      <c r="AB3753" s="204"/>
    </row>
    <row r="3754" spans="1:28" ht="42" customHeight="1">
      <c r="A3754" s="156" t="str">
        <f>'Reported burning'!A3754</f>
        <v>408j</v>
      </c>
      <c r="B3754" s="156" t="str">
        <f>'Reported burning'!B3754</f>
        <v>408j.1</v>
      </c>
      <c r="C3754" s="156" t="str">
        <f>'Reported burning'!C3754</f>
        <v>Human, deliberate</v>
      </c>
      <c r="D3754" s="156" t="str">
        <f>'Reported burning'!D3754</f>
        <v>Crop field preparation</v>
      </c>
      <c r="E3754" s="156" t="str">
        <f>'Reported burning'!E3754</f>
        <v>Cropping, Swidden</v>
      </c>
      <c r="F3754" s="156" t="str">
        <f>'Reported burning'!F3754</f>
        <v>Forest</v>
      </c>
      <c r="G3754" s="156" t="str">
        <f>'Reported burning'!G3754</f>
        <v>Forest</v>
      </c>
      <c r="H3754" s="156" t="str">
        <f>'Reported burning'!H3754</f>
        <v>Presence</v>
      </c>
      <c r="I3754" s="5"/>
      <c r="J3754" s="75" t="s">
        <v>2276</v>
      </c>
      <c r="K3754" s="75" t="s">
        <v>2276</v>
      </c>
      <c r="L3754" s="75" t="s">
        <v>2276</v>
      </c>
      <c r="M3754" s="75" t="s">
        <v>2276</v>
      </c>
      <c r="N3754" s="75" t="s">
        <v>2276</v>
      </c>
      <c r="O3754" s="75" t="s">
        <v>2276</v>
      </c>
      <c r="P3754" s="75" t="s">
        <v>2276</v>
      </c>
      <c r="Q3754" s="75" t="s">
        <v>2276</v>
      </c>
      <c r="R3754" s="75" t="s">
        <v>2276</v>
      </c>
      <c r="S3754" s="75" t="s">
        <v>2276</v>
      </c>
      <c r="T3754" s="75" t="s">
        <v>2276</v>
      </c>
      <c r="U3754" s="75" t="s">
        <v>2276</v>
      </c>
      <c r="V3754" s="75" t="s">
        <v>2276</v>
      </c>
      <c r="W3754" s="75" t="s">
        <v>2276</v>
      </c>
      <c r="X3754" s="75" t="s">
        <v>2276</v>
      </c>
      <c r="Y3754" s="75" t="s">
        <v>2276</v>
      </c>
      <c r="Z3754" s="75" t="s">
        <v>2276</v>
      </c>
      <c r="AA3754" s="204"/>
      <c r="AB3754" s="204"/>
    </row>
    <row r="3755" spans="1:28" ht="42" customHeight="1">
      <c r="A3755" s="156" t="str">
        <f>'Reported burning'!A3755</f>
        <v>408k</v>
      </c>
      <c r="B3755" s="156" t="str">
        <f>'Reported burning'!B3755</f>
        <v>408k.1</v>
      </c>
      <c r="C3755" s="156" t="str">
        <f>'Reported burning'!C3755</f>
        <v>Human, deliberate</v>
      </c>
      <c r="D3755" s="156" t="str">
        <f>'Reported burning'!D3755</f>
        <v>Crop field preparation</v>
      </c>
      <c r="E3755" s="156" t="str">
        <f>'Reported burning'!E3755</f>
        <v>Cropping, Swidden</v>
      </c>
      <c r="F3755" s="156" t="str">
        <f>'Reported burning'!F3755</f>
        <v>Forest</v>
      </c>
      <c r="G3755" s="156" t="str">
        <f>'Reported burning'!G3755</f>
        <v>Forest</v>
      </c>
      <c r="H3755" s="156" t="str">
        <f>'Reported burning'!H3755</f>
        <v>Presence</v>
      </c>
      <c r="I3755" s="5"/>
      <c r="J3755" s="75" t="s">
        <v>2276</v>
      </c>
      <c r="K3755" s="75" t="s">
        <v>2276</v>
      </c>
      <c r="L3755" s="75" t="s">
        <v>2276</v>
      </c>
      <c r="M3755" s="75" t="s">
        <v>2276</v>
      </c>
      <c r="N3755" s="75" t="s">
        <v>2276</v>
      </c>
      <c r="O3755" s="75" t="s">
        <v>2276</v>
      </c>
      <c r="P3755" s="75" t="s">
        <v>2276</v>
      </c>
      <c r="Q3755" s="75" t="s">
        <v>2276</v>
      </c>
      <c r="R3755" s="75" t="s">
        <v>2276</v>
      </c>
      <c r="S3755" s="75" t="s">
        <v>2276</v>
      </c>
      <c r="T3755" s="75" t="s">
        <v>2276</v>
      </c>
      <c r="U3755" s="75" t="s">
        <v>2276</v>
      </c>
      <c r="V3755" s="75" t="s">
        <v>2276</v>
      </c>
      <c r="W3755" s="75" t="s">
        <v>2276</v>
      </c>
      <c r="X3755" s="75" t="s">
        <v>2276</v>
      </c>
      <c r="Y3755" s="75" t="s">
        <v>2276</v>
      </c>
      <c r="Z3755" s="75" t="s">
        <v>2276</v>
      </c>
      <c r="AA3755" s="204"/>
      <c r="AB3755" s="204"/>
    </row>
    <row r="3756" spans="1:28" ht="42" customHeight="1">
      <c r="A3756" s="156" t="str">
        <f>'Reported burning'!A3756</f>
        <v>408l</v>
      </c>
      <c r="B3756" s="156" t="str">
        <f>'Reported burning'!B3756</f>
        <v>408l.1</v>
      </c>
      <c r="C3756" s="156" t="str">
        <f>'Reported burning'!C3756</f>
        <v>Human, deliberate</v>
      </c>
      <c r="D3756" s="156" t="str">
        <f>'Reported burning'!D3756</f>
        <v>Crop field preparation</v>
      </c>
      <c r="E3756" s="156" t="str">
        <f>'Reported burning'!E3756</f>
        <v>Cropping, Swidden</v>
      </c>
      <c r="F3756" s="156" t="str">
        <f>'Reported burning'!F3756</f>
        <v>Forest</v>
      </c>
      <c r="G3756" s="156" t="str">
        <f>'Reported burning'!G3756</f>
        <v>Forest</v>
      </c>
      <c r="H3756" s="156" t="str">
        <f>'Reported burning'!H3756</f>
        <v>Presence</v>
      </c>
      <c r="I3756" s="5"/>
      <c r="J3756" s="75" t="s">
        <v>2276</v>
      </c>
      <c r="K3756" s="75" t="s">
        <v>2276</v>
      </c>
      <c r="L3756" s="75" t="s">
        <v>2276</v>
      </c>
      <c r="M3756" s="75" t="s">
        <v>2276</v>
      </c>
      <c r="N3756" s="75" t="s">
        <v>2276</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204"/>
      <c r="AB3756" s="204"/>
    </row>
    <row r="3757" spans="1:28" ht="42" customHeight="1">
      <c r="A3757" s="156" t="str">
        <f>'Reported burning'!A3757</f>
        <v>408m</v>
      </c>
      <c r="B3757" s="156" t="str">
        <f>'Reported burning'!B3757</f>
        <v>408m.1</v>
      </c>
      <c r="C3757" s="156" t="str">
        <f>'Reported burning'!C3757</f>
        <v>Human, deliberate</v>
      </c>
      <c r="D3757" s="156" t="str">
        <f>'Reported burning'!D3757</f>
        <v>Crop field preparation</v>
      </c>
      <c r="E3757" s="156" t="str">
        <f>'Reported burning'!E3757</f>
        <v>Cropping, Swidden</v>
      </c>
      <c r="F3757" s="156" t="str">
        <f>'Reported burning'!F3757</f>
        <v>Forest</v>
      </c>
      <c r="G3757" s="156" t="str">
        <f>'Reported burning'!G3757</f>
        <v>Forest</v>
      </c>
      <c r="H3757" s="156" t="str">
        <f>'Reported burning'!H3757</f>
        <v>Presence</v>
      </c>
      <c r="I3757" s="5"/>
      <c r="J3757" s="75" t="s">
        <v>2276</v>
      </c>
      <c r="K3757" s="75" t="s">
        <v>2276</v>
      </c>
      <c r="L3757" s="75" t="s">
        <v>2276</v>
      </c>
      <c r="M3757" s="75" t="s">
        <v>2276</v>
      </c>
      <c r="N3757" s="75" t="s">
        <v>2276</v>
      </c>
      <c r="O3757" s="75" t="s">
        <v>2276</v>
      </c>
      <c r="P3757" s="75" t="s">
        <v>2276</v>
      </c>
      <c r="Q3757" s="75" t="s">
        <v>2276</v>
      </c>
      <c r="R3757" s="75" t="s">
        <v>2276</v>
      </c>
      <c r="S3757" s="75" t="s">
        <v>2276</v>
      </c>
      <c r="T3757" s="75" t="s">
        <v>2276</v>
      </c>
      <c r="U3757" s="75" t="s">
        <v>2276</v>
      </c>
      <c r="V3757" s="75" t="s">
        <v>2276</v>
      </c>
      <c r="W3757" s="75" t="s">
        <v>2276</v>
      </c>
      <c r="X3757" s="75" t="s">
        <v>2276</v>
      </c>
      <c r="Y3757" s="75" t="s">
        <v>2276</v>
      </c>
      <c r="Z3757" s="75" t="s">
        <v>2276</v>
      </c>
      <c r="AA3757" s="204"/>
      <c r="AB3757" s="204"/>
    </row>
    <row r="3758" spans="1:28" ht="42" customHeight="1">
      <c r="A3758" s="156" t="str">
        <f>'Reported burning'!A3758</f>
        <v>408n</v>
      </c>
      <c r="B3758" s="156" t="str">
        <f>'Reported burning'!B3758</f>
        <v>408n.1</v>
      </c>
      <c r="C3758" s="156" t="str">
        <f>'Reported burning'!C3758</f>
        <v>Human, deliberate</v>
      </c>
      <c r="D3758" s="156" t="str">
        <f>'Reported burning'!D3758</f>
        <v>Crop field preparation</v>
      </c>
      <c r="E3758" s="156" t="str">
        <f>'Reported burning'!E3758</f>
        <v>Cropping, Swidden</v>
      </c>
      <c r="F3758" s="156" t="str">
        <f>'Reported burning'!F3758</f>
        <v>Forest</v>
      </c>
      <c r="G3758" s="156" t="str">
        <f>'Reported burning'!G3758</f>
        <v>Forest</v>
      </c>
      <c r="H3758" s="156" t="str">
        <f>'Reported burning'!H3758</f>
        <v>Presence</v>
      </c>
      <c r="I3758" s="5"/>
      <c r="J3758" s="75" t="s">
        <v>2276</v>
      </c>
      <c r="K3758" s="75" t="s">
        <v>2276</v>
      </c>
      <c r="L3758" s="75" t="s">
        <v>2276</v>
      </c>
      <c r="M3758" s="75" t="s">
        <v>2276</v>
      </c>
      <c r="N3758" s="75" t="s">
        <v>2276</v>
      </c>
      <c r="O3758" s="75" t="s">
        <v>2276</v>
      </c>
      <c r="P3758" s="75" t="s">
        <v>2276</v>
      </c>
      <c r="Q3758" s="75" t="s">
        <v>2276</v>
      </c>
      <c r="R3758" s="75" t="s">
        <v>2276</v>
      </c>
      <c r="S3758" s="75" t="s">
        <v>2276</v>
      </c>
      <c r="T3758" s="75" t="s">
        <v>2276</v>
      </c>
      <c r="U3758" s="75" t="s">
        <v>2276</v>
      </c>
      <c r="V3758" s="75" t="s">
        <v>2276</v>
      </c>
      <c r="W3758" s="75" t="s">
        <v>2276</v>
      </c>
      <c r="X3758" s="75" t="s">
        <v>2276</v>
      </c>
      <c r="Y3758" s="75" t="s">
        <v>2276</v>
      </c>
      <c r="Z3758" s="75" t="s">
        <v>2276</v>
      </c>
      <c r="AA3758" s="204"/>
      <c r="AB3758" s="204"/>
    </row>
    <row r="3759" spans="1:28" ht="42" customHeight="1">
      <c r="A3759" s="156" t="str">
        <f>'Reported burning'!A3759</f>
        <v>408o</v>
      </c>
      <c r="B3759" s="156" t="str">
        <f>'Reported burning'!B3759</f>
        <v>408o.1</v>
      </c>
      <c r="C3759" s="156" t="str">
        <f>'Reported burning'!C3759</f>
        <v>Human, deliberate</v>
      </c>
      <c r="D3759" s="156" t="str">
        <f>'Reported burning'!D3759</f>
        <v>Crop field preparation</v>
      </c>
      <c r="E3759" s="156" t="str">
        <f>'Reported burning'!E3759</f>
        <v>Cropping, Swidden</v>
      </c>
      <c r="F3759" s="156" t="str">
        <f>'Reported burning'!F3759</f>
        <v>Forest</v>
      </c>
      <c r="G3759" s="156" t="str">
        <f>'Reported burning'!G3759</f>
        <v>Forest</v>
      </c>
      <c r="H3759" s="156" t="str">
        <f>'Reported burning'!H3759</f>
        <v>Presence</v>
      </c>
      <c r="I3759" s="5"/>
      <c r="J3759" s="75" t="s">
        <v>2276</v>
      </c>
      <c r="K3759" s="75" t="s">
        <v>2276</v>
      </c>
      <c r="L3759" s="75" t="s">
        <v>2276</v>
      </c>
      <c r="M3759" s="75" t="s">
        <v>2276</v>
      </c>
      <c r="N3759" s="75" t="s">
        <v>2276</v>
      </c>
      <c r="O3759" s="75" t="s">
        <v>2276</v>
      </c>
      <c r="P3759" s="75" t="s">
        <v>2276</v>
      </c>
      <c r="Q3759" s="75" t="s">
        <v>2276</v>
      </c>
      <c r="R3759" s="75" t="s">
        <v>2276</v>
      </c>
      <c r="S3759" s="75" t="s">
        <v>2276</v>
      </c>
      <c r="T3759" s="75" t="s">
        <v>2276</v>
      </c>
      <c r="U3759" s="75" t="s">
        <v>2276</v>
      </c>
      <c r="V3759" s="75" t="s">
        <v>2276</v>
      </c>
      <c r="W3759" s="75" t="s">
        <v>2276</v>
      </c>
      <c r="X3759" s="75" t="s">
        <v>2276</v>
      </c>
      <c r="Y3759" s="75" t="s">
        <v>2276</v>
      </c>
      <c r="Z3759" s="75" t="s">
        <v>2276</v>
      </c>
      <c r="AA3759" s="204"/>
      <c r="AB3759" s="204"/>
    </row>
    <row r="3760" spans="1:28" ht="42" customHeight="1">
      <c r="A3760" s="156" t="str">
        <f>'Reported burning'!A3760</f>
        <v>408p</v>
      </c>
      <c r="B3760" s="156" t="str">
        <f>'Reported burning'!B3760</f>
        <v>408p.1</v>
      </c>
      <c r="C3760" s="156" t="str">
        <f>'Reported burning'!C3760</f>
        <v>Human, deliberate</v>
      </c>
      <c r="D3760" s="156" t="str">
        <f>'Reported burning'!D3760</f>
        <v>Crop field preparation</v>
      </c>
      <c r="E3760" s="156" t="str">
        <f>'Reported burning'!E3760</f>
        <v>Cropping, Swidden</v>
      </c>
      <c r="F3760" s="156" t="str">
        <f>'Reported burning'!F3760</f>
        <v>Forest</v>
      </c>
      <c r="G3760" s="156" t="str">
        <f>'Reported burning'!G3760</f>
        <v>Forest</v>
      </c>
      <c r="H3760" s="156" t="str">
        <f>'Reported burning'!H3760</f>
        <v>Presence</v>
      </c>
      <c r="I3760" s="5"/>
      <c r="J3760" s="75" t="s">
        <v>2276</v>
      </c>
      <c r="K3760" s="75" t="s">
        <v>2276</v>
      </c>
      <c r="L3760" s="75" t="s">
        <v>2276</v>
      </c>
      <c r="M3760" s="75" t="s">
        <v>2276</v>
      </c>
      <c r="N3760" s="75" t="s">
        <v>2276</v>
      </c>
      <c r="O3760" s="75" t="s">
        <v>2276</v>
      </c>
      <c r="P3760" s="75" t="s">
        <v>2276</v>
      </c>
      <c r="Q3760" s="75" t="s">
        <v>2276</v>
      </c>
      <c r="R3760" s="75" t="s">
        <v>2276</v>
      </c>
      <c r="S3760" s="75" t="s">
        <v>2276</v>
      </c>
      <c r="T3760" s="75" t="s">
        <v>2276</v>
      </c>
      <c r="U3760" s="75" t="s">
        <v>2276</v>
      </c>
      <c r="V3760" s="75" t="s">
        <v>2276</v>
      </c>
      <c r="W3760" s="75" t="s">
        <v>2276</v>
      </c>
      <c r="X3760" s="75" t="s">
        <v>2276</v>
      </c>
      <c r="Y3760" s="75" t="s">
        <v>2276</v>
      </c>
      <c r="Z3760" s="75" t="s">
        <v>2276</v>
      </c>
      <c r="AA3760" s="204"/>
      <c r="AB3760" s="204"/>
    </row>
    <row r="3761" spans="1:28" ht="42" customHeight="1">
      <c r="A3761" s="156" t="str">
        <f>'Reported burning'!A3761</f>
        <v>408q</v>
      </c>
      <c r="B3761" s="156" t="str">
        <f>'Reported burning'!B3761</f>
        <v>408q.1</v>
      </c>
      <c r="C3761" s="156" t="str">
        <f>'Reported burning'!C3761</f>
        <v>Human, deliberate</v>
      </c>
      <c r="D3761" s="156" t="str">
        <f>'Reported burning'!D3761</f>
        <v>Crop field preparation</v>
      </c>
      <c r="E3761" s="156" t="str">
        <f>'Reported burning'!E3761</f>
        <v>Cropping, Swidden</v>
      </c>
      <c r="F3761" s="156" t="str">
        <f>'Reported burning'!F3761</f>
        <v>Forest</v>
      </c>
      <c r="G3761" s="156" t="str">
        <f>'Reported burning'!G3761</f>
        <v>Forest</v>
      </c>
      <c r="H3761" s="156" t="str">
        <f>'Reported burning'!H3761</f>
        <v>Presence</v>
      </c>
      <c r="I3761" s="5"/>
      <c r="J3761" s="75" t="s">
        <v>2276</v>
      </c>
      <c r="K3761" s="75" t="s">
        <v>2276</v>
      </c>
      <c r="L3761" s="75" t="s">
        <v>2276</v>
      </c>
      <c r="M3761" s="75" t="s">
        <v>2276</v>
      </c>
      <c r="N3761" s="75" t="s">
        <v>2276</v>
      </c>
      <c r="O3761" s="75" t="s">
        <v>2276</v>
      </c>
      <c r="P3761" s="75" t="s">
        <v>2276</v>
      </c>
      <c r="Q3761" s="75" t="s">
        <v>2276</v>
      </c>
      <c r="R3761" s="75" t="s">
        <v>2276</v>
      </c>
      <c r="S3761" s="75" t="s">
        <v>2276</v>
      </c>
      <c r="T3761" s="75" t="s">
        <v>2276</v>
      </c>
      <c r="U3761" s="75" t="s">
        <v>2276</v>
      </c>
      <c r="V3761" s="75" t="s">
        <v>2276</v>
      </c>
      <c r="W3761" s="75" t="s">
        <v>2276</v>
      </c>
      <c r="X3761" s="75" t="s">
        <v>2276</v>
      </c>
      <c r="Y3761" s="75" t="s">
        <v>2276</v>
      </c>
      <c r="Z3761" s="75" t="s">
        <v>2276</v>
      </c>
      <c r="AA3761" s="204"/>
      <c r="AB3761" s="204"/>
    </row>
    <row r="3762" spans="1:28" ht="42" customHeight="1">
      <c r="A3762" s="156" t="str">
        <f>'Reported burning'!A3762</f>
        <v>408r</v>
      </c>
      <c r="B3762" s="156" t="str">
        <f>'Reported burning'!B3762</f>
        <v>408r.1</v>
      </c>
      <c r="C3762" s="156" t="str">
        <f>'Reported burning'!C3762</f>
        <v>Human, deliberate</v>
      </c>
      <c r="D3762" s="156" t="str">
        <f>'Reported burning'!D3762</f>
        <v>Crop field preparation</v>
      </c>
      <c r="E3762" s="156" t="str">
        <f>'Reported burning'!E3762</f>
        <v>Cropping, Swidden</v>
      </c>
      <c r="F3762" s="156" t="str">
        <f>'Reported burning'!F3762</f>
        <v>Forest</v>
      </c>
      <c r="G3762" s="156" t="str">
        <f>'Reported burning'!G3762</f>
        <v>Forest</v>
      </c>
      <c r="H3762" s="156" t="str">
        <f>'Reported burning'!H3762</f>
        <v>Presence</v>
      </c>
      <c r="I3762" s="5"/>
      <c r="J3762" s="75" t="s">
        <v>2276</v>
      </c>
      <c r="K3762" s="75" t="s">
        <v>2276</v>
      </c>
      <c r="L3762" s="75" t="s">
        <v>2276</v>
      </c>
      <c r="M3762" s="75" t="s">
        <v>2276</v>
      </c>
      <c r="N3762" s="75" t="s">
        <v>2276</v>
      </c>
      <c r="O3762" s="75" t="s">
        <v>2276</v>
      </c>
      <c r="P3762" s="75" t="s">
        <v>2276</v>
      </c>
      <c r="Q3762" s="75" t="s">
        <v>2276</v>
      </c>
      <c r="R3762" s="75" t="s">
        <v>2276</v>
      </c>
      <c r="S3762" s="75" t="s">
        <v>2276</v>
      </c>
      <c r="T3762" s="75" t="s">
        <v>2276</v>
      </c>
      <c r="U3762" s="75" t="s">
        <v>2276</v>
      </c>
      <c r="V3762" s="75" t="s">
        <v>2276</v>
      </c>
      <c r="W3762" s="75" t="s">
        <v>2276</v>
      </c>
      <c r="X3762" s="75" t="s">
        <v>2276</v>
      </c>
      <c r="Y3762" s="75" t="s">
        <v>2276</v>
      </c>
      <c r="Z3762" s="75" t="s">
        <v>2276</v>
      </c>
      <c r="AA3762" s="204"/>
      <c r="AB3762" s="204"/>
    </row>
    <row r="3763" spans="1:28" ht="42" customHeight="1">
      <c r="A3763" s="156" t="str">
        <f>'Reported burning'!A3763</f>
        <v>408s</v>
      </c>
      <c r="B3763" s="156" t="str">
        <f>'Reported burning'!B3763</f>
        <v>408s.1</v>
      </c>
      <c r="C3763" s="156" t="str">
        <f>'Reported burning'!C3763</f>
        <v>Human, deliberate</v>
      </c>
      <c r="D3763" s="156" t="str">
        <f>'Reported burning'!D3763</f>
        <v>Crop field preparation</v>
      </c>
      <c r="E3763" s="156" t="str">
        <f>'Reported burning'!E3763</f>
        <v>Cropping, Swidden</v>
      </c>
      <c r="F3763" s="156" t="str">
        <f>'Reported burning'!F3763</f>
        <v>Forest</v>
      </c>
      <c r="G3763" s="156" t="str">
        <f>'Reported burning'!G3763</f>
        <v>Forest</v>
      </c>
      <c r="H3763" s="156" t="str">
        <f>'Reported burning'!H3763</f>
        <v>Presence</v>
      </c>
      <c r="I3763" s="5"/>
      <c r="J3763" s="75" t="s">
        <v>2276</v>
      </c>
      <c r="K3763" s="75" t="s">
        <v>2276</v>
      </c>
      <c r="L3763" s="75" t="s">
        <v>2276</v>
      </c>
      <c r="M3763" s="75" t="s">
        <v>2276</v>
      </c>
      <c r="N3763" s="75" t="s">
        <v>2276</v>
      </c>
      <c r="O3763" s="75" t="s">
        <v>2276</v>
      </c>
      <c r="P3763" s="75" t="s">
        <v>2276</v>
      </c>
      <c r="Q3763" s="75" t="s">
        <v>2276</v>
      </c>
      <c r="R3763" s="75" t="s">
        <v>2276</v>
      </c>
      <c r="S3763" s="75" t="s">
        <v>2276</v>
      </c>
      <c r="T3763" s="75" t="s">
        <v>2276</v>
      </c>
      <c r="U3763" s="75" t="s">
        <v>2276</v>
      </c>
      <c r="V3763" s="75" t="s">
        <v>2276</v>
      </c>
      <c r="W3763" s="75" t="s">
        <v>2276</v>
      </c>
      <c r="X3763" s="75" t="s">
        <v>2276</v>
      </c>
      <c r="Y3763" s="75" t="s">
        <v>2276</v>
      </c>
      <c r="Z3763" s="75" t="s">
        <v>2276</v>
      </c>
      <c r="AA3763" s="204"/>
      <c r="AB3763" s="204"/>
    </row>
    <row r="3764" spans="1:28" ht="42" customHeight="1">
      <c r="A3764" s="156" t="str">
        <f>'Reported burning'!A3764</f>
        <v>408a</v>
      </c>
      <c r="B3764" s="156" t="str">
        <f>'Reported burning'!B3764</f>
        <v>408a.2</v>
      </c>
      <c r="C3764" s="156" t="str">
        <f>'Reported burning'!C3764</f>
        <v>Human, escaped</v>
      </c>
      <c r="D3764" s="156" t="str">
        <f>'Reported burning'!D3764</f>
        <v>ND</v>
      </c>
      <c r="E3764" s="156" t="str">
        <f>'Reported burning'!E3764</f>
        <v>ND</v>
      </c>
      <c r="F3764" s="156" t="str">
        <f>'Reported burning'!F3764</f>
        <v>Forest</v>
      </c>
      <c r="G3764" s="156" t="str">
        <f>'Reported burning'!G3764</f>
        <v>Forest</v>
      </c>
      <c r="H3764" s="156" t="str">
        <f>'Reported burning'!H3764</f>
        <v>Presence</v>
      </c>
      <c r="I3764" s="5"/>
      <c r="J3764" s="75" t="s">
        <v>2276</v>
      </c>
      <c r="K3764" s="75" t="s">
        <v>2276</v>
      </c>
      <c r="L3764" s="75" t="s">
        <v>2276</v>
      </c>
      <c r="M3764" s="75" t="s">
        <v>2276</v>
      </c>
      <c r="N3764" s="75" t="s">
        <v>2276</v>
      </c>
      <c r="O3764" s="75" t="s">
        <v>2276</v>
      </c>
      <c r="P3764" s="75" t="s">
        <v>2276</v>
      </c>
      <c r="Q3764" s="75" t="s">
        <v>2276</v>
      </c>
      <c r="R3764" s="75" t="s">
        <v>2276</v>
      </c>
      <c r="S3764" s="75" t="s">
        <v>2276</v>
      </c>
      <c r="T3764" s="75" t="s">
        <v>2276</v>
      </c>
      <c r="U3764" s="75" t="s">
        <v>2276</v>
      </c>
      <c r="V3764" s="75" t="s">
        <v>2276</v>
      </c>
      <c r="W3764" s="75" t="s">
        <v>2276</v>
      </c>
      <c r="X3764" s="75" t="s">
        <v>2276</v>
      </c>
      <c r="Y3764" s="75" t="s">
        <v>2276</v>
      </c>
      <c r="Z3764" s="75" t="s">
        <v>2276</v>
      </c>
      <c r="AA3764" s="204"/>
      <c r="AB3764" s="204"/>
    </row>
    <row r="3765" spans="1:28" ht="42" customHeight="1">
      <c r="A3765" s="156" t="str">
        <f>'Reported burning'!A3765</f>
        <v>408b</v>
      </c>
      <c r="B3765" s="156" t="str">
        <f>'Reported burning'!B3765</f>
        <v>408b.2</v>
      </c>
      <c r="C3765" s="156" t="str">
        <f>'Reported burning'!C3765</f>
        <v>Human, escaped</v>
      </c>
      <c r="D3765" s="156" t="str">
        <f>'Reported burning'!D3765</f>
        <v>ND</v>
      </c>
      <c r="E3765" s="156" t="str">
        <f>'Reported burning'!E3765</f>
        <v>ND</v>
      </c>
      <c r="F3765" s="156" t="str">
        <f>'Reported burning'!F3765</f>
        <v>Forest</v>
      </c>
      <c r="G3765" s="156" t="str">
        <f>'Reported burning'!G3765</f>
        <v>Forest</v>
      </c>
      <c r="H3765" s="156" t="str">
        <f>'Reported burning'!H3765</f>
        <v>Presence</v>
      </c>
      <c r="I3765" s="5"/>
      <c r="J3765" s="75" t="s">
        <v>2276</v>
      </c>
      <c r="K3765" s="75" t="s">
        <v>2276</v>
      </c>
      <c r="L3765" s="75" t="s">
        <v>2276</v>
      </c>
      <c r="M3765" s="75" t="s">
        <v>2276</v>
      </c>
      <c r="N3765" s="75" t="s">
        <v>2276</v>
      </c>
      <c r="O3765" s="75" t="s">
        <v>2276</v>
      </c>
      <c r="P3765" s="75" t="s">
        <v>2276</v>
      </c>
      <c r="Q3765" s="75" t="s">
        <v>2276</v>
      </c>
      <c r="R3765" s="75" t="s">
        <v>2276</v>
      </c>
      <c r="S3765" s="75" t="s">
        <v>2276</v>
      </c>
      <c r="T3765" s="75" t="s">
        <v>2276</v>
      </c>
      <c r="U3765" s="75" t="s">
        <v>2276</v>
      </c>
      <c r="V3765" s="75" t="s">
        <v>2276</v>
      </c>
      <c r="W3765" s="75" t="s">
        <v>2276</v>
      </c>
      <c r="X3765" s="75" t="s">
        <v>2276</v>
      </c>
      <c r="Y3765" s="75" t="s">
        <v>2276</v>
      </c>
      <c r="Z3765" s="75" t="s">
        <v>2276</v>
      </c>
      <c r="AA3765" s="204"/>
      <c r="AB3765" s="204"/>
    </row>
    <row r="3766" spans="1:28" ht="42" customHeight="1">
      <c r="A3766" s="156" t="str">
        <f>'Reported burning'!A3766</f>
        <v>408c</v>
      </c>
      <c r="B3766" s="156" t="str">
        <f>'Reported burning'!B3766</f>
        <v>408c.2</v>
      </c>
      <c r="C3766" s="156" t="str">
        <f>'Reported burning'!C3766</f>
        <v>Human, escaped</v>
      </c>
      <c r="D3766" s="156" t="str">
        <f>'Reported burning'!D3766</f>
        <v>ND</v>
      </c>
      <c r="E3766" s="156" t="str">
        <f>'Reported burning'!E3766</f>
        <v>ND</v>
      </c>
      <c r="F3766" s="156" t="str">
        <f>'Reported burning'!F3766</f>
        <v>Forest</v>
      </c>
      <c r="G3766" s="156" t="str">
        <f>'Reported burning'!G3766</f>
        <v>Forest</v>
      </c>
      <c r="H3766" s="156" t="str">
        <f>'Reported burning'!H3766</f>
        <v>Presence</v>
      </c>
      <c r="I3766" s="5"/>
      <c r="J3766" s="75" t="s">
        <v>2276</v>
      </c>
      <c r="K3766" s="75" t="s">
        <v>2276</v>
      </c>
      <c r="L3766" s="75" t="s">
        <v>2276</v>
      </c>
      <c r="M3766" s="75" t="s">
        <v>2276</v>
      </c>
      <c r="N3766" s="75" t="s">
        <v>2276</v>
      </c>
      <c r="O3766" s="75" t="s">
        <v>2276</v>
      </c>
      <c r="P3766" s="75" t="s">
        <v>2276</v>
      </c>
      <c r="Q3766" s="75" t="s">
        <v>2276</v>
      </c>
      <c r="R3766" s="75" t="s">
        <v>2276</v>
      </c>
      <c r="S3766" s="75" t="s">
        <v>2276</v>
      </c>
      <c r="T3766" s="75" t="s">
        <v>2276</v>
      </c>
      <c r="U3766" s="75" t="s">
        <v>2276</v>
      </c>
      <c r="V3766" s="75" t="s">
        <v>2276</v>
      </c>
      <c r="W3766" s="75" t="s">
        <v>2276</v>
      </c>
      <c r="X3766" s="75" t="s">
        <v>2276</v>
      </c>
      <c r="Y3766" s="75" t="s">
        <v>2276</v>
      </c>
      <c r="Z3766" s="75" t="s">
        <v>2276</v>
      </c>
      <c r="AA3766" s="204"/>
      <c r="AB3766" s="204"/>
    </row>
    <row r="3767" spans="1:28" ht="42" customHeight="1">
      <c r="A3767" s="156" t="str">
        <f>'Reported burning'!A3767</f>
        <v>408d</v>
      </c>
      <c r="B3767" s="156" t="str">
        <f>'Reported burning'!B3767</f>
        <v>408d.2</v>
      </c>
      <c r="C3767" s="156" t="str">
        <f>'Reported burning'!C3767</f>
        <v>Human, escaped</v>
      </c>
      <c r="D3767" s="156" t="str">
        <f>'Reported burning'!D3767</f>
        <v>ND</v>
      </c>
      <c r="E3767" s="156" t="str">
        <f>'Reported burning'!E3767</f>
        <v>ND</v>
      </c>
      <c r="F3767" s="156" t="str">
        <f>'Reported burning'!F3767</f>
        <v>Forest</v>
      </c>
      <c r="G3767" s="156" t="str">
        <f>'Reported burning'!G3767</f>
        <v>Forest</v>
      </c>
      <c r="H3767" s="156" t="str">
        <f>'Reported burning'!H3767</f>
        <v>Presence</v>
      </c>
      <c r="I3767" s="5"/>
      <c r="J3767" s="75" t="s">
        <v>2276</v>
      </c>
      <c r="K3767" s="75" t="s">
        <v>2276</v>
      </c>
      <c r="L3767" s="75" t="s">
        <v>2276</v>
      </c>
      <c r="M3767" s="75" t="s">
        <v>2276</v>
      </c>
      <c r="N3767" s="75" t="s">
        <v>2276</v>
      </c>
      <c r="O3767" s="75" t="s">
        <v>2276</v>
      </c>
      <c r="P3767" s="75" t="s">
        <v>2276</v>
      </c>
      <c r="Q3767" s="75" t="s">
        <v>2276</v>
      </c>
      <c r="R3767" s="75" t="s">
        <v>2276</v>
      </c>
      <c r="S3767" s="75" t="s">
        <v>2276</v>
      </c>
      <c r="T3767" s="75" t="s">
        <v>2276</v>
      </c>
      <c r="U3767" s="75" t="s">
        <v>2276</v>
      </c>
      <c r="V3767" s="75" t="s">
        <v>2276</v>
      </c>
      <c r="W3767" s="75" t="s">
        <v>2276</v>
      </c>
      <c r="X3767" s="75" t="s">
        <v>2276</v>
      </c>
      <c r="Y3767" s="75" t="s">
        <v>2276</v>
      </c>
      <c r="Z3767" s="75" t="s">
        <v>2276</v>
      </c>
      <c r="AA3767" s="204"/>
      <c r="AB3767" s="204"/>
    </row>
    <row r="3768" spans="1:28" ht="42" customHeight="1">
      <c r="A3768" s="156" t="str">
        <f>'Reported burning'!A3768</f>
        <v>408e</v>
      </c>
      <c r="B3768" s="156" t="str">
        <f>'Reported burning'!B3768</f>
        <v>408e.2</v>
      </c>
      <c r="C3768" s="156" t="str">
        <f>'Reported burning'!C3768</f>
        <v>Human, escaped</v>
      </c>
      <c r="D3768" s="156" t="str">
        <f>'Reported burning'!D3768</f>
        <v>ND</v>
      </c>
      <c r="E3768" s="156" t="str">
        <f>'Reported burning'!E3768</f>
        <v>ND</v>
      </c>
      <c r="F3768" s="156" t="str">
        <f>'Reported burning'!F3768</f>
        <v>Forest</v>
      </c>
      <c r="G3768" s="156" t="str">
        <f>'Reported burning'!G3768</f>
        <v>Forest</v>
      </c>
      <c r="H3768" s="156" t="str">
        <f>'Reported burning'!H3768</f>
        <v>Presence</v>
      </c>
      <c r="I3768" s="5"/>
      <c r="J3768" s="75" t="s">
        <v>2276</v>
      </c>
      <c r="K3768" s="75" t="s">
        <v>2276</v>
      </c>
      <c r="L3768" s="75" t="s">
        <v>2276</v>
      </c>
      <c r="M3768" s="75" t="s">
        <v>2276</v>
      </c>
      <c r="N3768" s="75" t="s">
        <v>2276</v>
      </c>
      <c r="O3768" s="75" t="s">
        <v>2276</v>
      </c>
      <c r="P3768" s="75" t="s">
        <v>2276</v>
      </c>
      <c r="Q3768" s="75" t="s">
        <v>2276</v>
      </c>
      <c r="R3768" s="75" t="s">
        <v>2276</v>
      </c>
      <c r="S3768" s="75" t="s">
        <v>2276</v>
      </c>
      <c r="T3768" s="75" t="s">
        <v>2276</v>
      </c>
      <c r="U3768" s="75" t="s">
        <v>2276</v>
      </c>
      <c r="V3768" s="75" t="s">
        <v>2276</v>
      </c>
      <c r="W3768" s="75" t="s">
        <v>2276</v>
      </c>
      <c r="X3768" s="75" t="s">
        <v>2276</v>
      </c>
      <c r="Y3768" s="75" t="s">
        <v>2276</v>
      </c>
      <c r="Z3768" s="75" t="s">
        <v>2276</v>
      </c>
      <c r="AA3768" s="204"/>
      <c r="AB3768" s="204"/>
    </row>
    <row r="3769" spans="1:28" ht="42" customHeight="1">
      <c r="A3769" s="156" t="str">
        <f>'Reported burning'!A3769</f>
        <v>408f</v>
      </c>
      <c r="B3769" s="156" t="str">
        <f>'Reported burning'!B3769</f>
        <v>408f.2</v>
      </c>
      <c r="C3769" s="156" t="str">
        <f>'Reported burning'!C3769</f>
        <v>Human, escaped</v>
      </c>
      <c r="D3769" s="156" t="str">
        <f>'Reported burning'!D3769</f>
        <v>ND</v>
      </c>
      <c r="E3769" s="156" t="str">
        <f>'Reported burning'!E3769</f>
        <v>ND</v>
      </c>
      <c r="F3769" s="156" t="str">
        <f>'Reported burning'!F3769</f>
        <v>Forest</v>
      </c>
      <c r="G3769" s="156" t="str">
        <f>'Reported burning'!G3769</f>
        <v>Forest</v>
      </c>
      <c r="H3769" s="156" t="str">
        <f>'Reported burning'!H3769</f>
        <v>Presence</v>
      </c>
      <c r="I3769" s="5"/>
      <c r="J3769" s="75" t="s">
        <v>2276</v>
      </c>
      <c r="K3769" s="75" t="s">
        <v>2276</v>
      </c>
      <c r="L3769" s="75" t="s">
        <v>2276</v>
      </c>
      <c r="M3769" s="75" t="s">
        <v>2276</v>
      </c>
      <c r="N3769" s="75" t="s">
        <v>2276</v>
      </c>
      <c r="O3769" s="75" t="s">
        <v>2276</v>
      </c>
      <c r="P3769" s="75" t="s">
        <v>2276</v>
      </c>
      <c r="Q3769" s="75" t="s">
        <v>2276</v>
      </c>
      <c r="R3769" s="75" t="s">
        <v>2276</v>
      </c>
      <c r="S3769" s="75" t="s">
        <v>2276</v>
      </c>
      <c r="T3769" s="75" t="s">
        <v>2276</v>
      </c>
      <c r="U3769" s="75" t="s">
        <v>2276</v>
      </c>
      <c r="V3769" s="75" t="s">
        <v>2276</v>
      </c>
      <c r="W3769" s="75" t="s">
        <v>2276</v>
      </c>
      <c r="X3769" s="75" t="s">
        <v>2276</v>
      </c>
      <c r="Y3769" s="75" t="s">
        <v>2276</v>
      </c>
      <c r="Z3769" s="75" t="s">
        <v>2276</v>
      </c>
      <c r="AA3769" s="204"/>
      <c r="AB3769" s="204"/>
    </row>
    <row r="3770" spans="1:28" ht="42" customHeight="1">
      <c r="A3770" s="156" t="str">
        <f>'Reported burning'!A3770</f>
        <v>408g</v>
      </c>
      <c r="B3770" s="156" t="str">
        <f>'Reported burning'!B3770</f>
        <v>408g.2</v>
      </c>
      <c r="C3770" s="156" t="str">
        <f>'Reported burning'!C3770</f>
        <v>Human, escaped</v>
      </c>
      <c r="D3770" s="156" t="str">
        <f>'Reported burning'!D3770</f>
        <v>ND</v>
      </c>
      <c r="E3770" s="156" t="str">
        <f>'Reported burning'!E3770</f>
        <v>ND</v>
      </c>
      <c r="F3770" s="156" t="str">
        <f>'Reported burning'!F3770</f>
        <v>Forest</v>
      </c>
      <c r="G3770" s="156" t="str">
        <f>'Reported burning'!G3770</f>
        <v>Forest</v>
      </c>
      <c r="H3770" s="156" t="str">
        <f>'Reported burning'!H3770</f>
        <v>Presence</v>
      </c>
      <c r="I3770" s="5"/>
      <c r="J3770" s="75" t="s">
        <v>2276</v>
      </c>
      <c r="K3770" s="75" t="s">
        <v>2276</v>
      </c>
      <c r="L3770" s="75" t="s">
        <v>2276</v>
      </c>
      <c r="M3770" s="75" t="s">
        <v>2276</v>
      </c>
      <c r="N3770" s="75" t="s">
        <v>2276</v>
      </c>
      <c r="O3770" s="75" t="s">
        <v>2276</v>
      </c>
      <c r="P3770" s="75" t="s">
        <v>2276</v>
      </c>
      <c r="Q3770" s="75" t="s">
        <v>2276</v>
      </c>
      <c r="R3770" s="75" t="s">
        <v>2276</v>
      </c>
      <c r="S3770" s="75" t="s">
        <v>2276</v>
      </c>
      <c r="T3770" s="75" t="s">
        <v>2276</v>
      </c>
      <c r="U3770" s="75" t="s">
        <v>2276</v>
      </c>
      <c r="V3770" s="75" t="s">
        <v>2276</v>
      </c>
      <c r="W3770" s="75" t="s">
        <v>2276</v>
      </c>
      <c r="X3770" s="75" t="s">
        <v>2276</v>
      </c>
      <c r="Y3770" s="75" t="s">
        <v>2276</v>
      </c>
      <c r="Z3770" s="75" t="s">
        <v>2276</v>
      </c>
      <c r="AA3770" s="204"/>
      <c r="AB3770" s="204"/>
    </row>
    <row r="3771" spans="1:28" ht="42" customHeight="1">
      <c r="A3771" s="156" t="str">
        <f>'Reported burning'!A3771</f>
        <v>408h</v>
      </c>
      <c r="B3771" s="156" t="str">
        <f>'Reported burning'!B3771</f>
        <v>408h.2</v>
      </c>
      <c r="C3771" s="156" t="str">
        <f>'Reported burning'!C3771</f>
        <v>Human, escaped</v>
      </c>
      <c r="D3771" s="156" t="str">
        <f>'Reported burning'!D3771</f>
        <v>ND</v>
      </c>
      <c r="E3771" s="156" t="str">
        <f>'Reported burning'!E3771</f>
        <v>ND</v>
      </c>
      <c r="F3771" s="156" t="str">
        <f>'Reported burning'!F3771</f>
        <v>Forest</v>
      </c>
      <c r="G3771" s="156" t="str">
        <f>'Reported burning'!G3771</f>
        <v>Forest</v>
      </c>
      <c r="H3771" s="156" t="str">
        <f>'Reported burning'!H3771</f>
        <v>Presence</v>
      </c>
      <c r="I3771" s="5"/>
      <c r="J3771" s="75" t="s">
        <v>2276</v>
      </c>
      <c r="K3771" s="75" t="s">
        <v>2276</v>
      </c>
      <c r="L3771" s="75" t="s">
        <v>2276</v>
      </c>
      <c r="M3771" s="75" t="s">
        <v>2276</v>
      </c>
      <c r="N3771" s="75" t="s">
        <v>2276</v>
      </c>
      <c r="O3771" s="75" t="s">
        <v>2276</v>
      </c>
      <c r="P3771" s="75" t="s">
        <v>2276</v>
      </c>
      <c r="Q3771" s="75" t="s">
        <v>2276</v>
      </c>
      <c r="R3771" s="75" t="s">
        <v>2276</v>
      </c>
      <c r="S3771" s="75" t="s">
        <v>2276</v>
      </c>
      <c r="T3771" s="75" t="s">
        <v>2276</v>
      </c>
      <c r="U3771" s="75" t="s">
        <v>2276</v>
      </c>
      <c r="V3771" s="75" t="s">
        <v>2276</v>
      </c>
      <c r="W3771" s="75" t="s">
        <v>2276</v>
      </c>
      <c r="X3771" s="75" t="s">
        <v>2276</v>
      </c>
      <c r="Y3771" s="75" t="s">
        <v>2276</v>
      </c>
      <c r="Z3771" s="75" t="s">
        <v>2276</v>
      </c>
      <c r="AA3771" s="204"/>
      <c r="AB3771" s="204"/>
    </row>
    <row r="3772" spans="1:28" ht="42" customHeight="1">
      <c r="A3772" s="156" t="str">
        <f>'Reported burning'!A3772</f>
        <v>408i</v>
      </c>
      <c r="B3772" s="156" t="str">
        <f>'Reported burning'!B3772</f>
        <v>408i.2</v>
      </c>
      <c r="C3772" s="156" t="str">
        <f>'Reported burning'!C3772</f>
        <v>Human, escaped</v>
      </c>
      <c r="D3772" s="156" t="str">
        <f>'Reported burning'!D3772</f>
        <v>ND</v>
      </c>
      <c r="E3772" s="156" t="str">
        <f>'Reported burning'!E3772</f>
        <v>ND</v>
      </c>
      <c r="F3772" s="156" t="str">
        <f>'Reported burning'!F3772</f>
        <v>Forest</v>
      </c>
      <c r="G3772" s="156" t="str">
        <f>'Reported burning'!G3772</f>
        <v>Forest</v>
      </c>
      <c r="H3772" s="156" t="str">
        <f>'Reported burning'!H3772</f>
        <v>Presence</v>
      </c>
      <c r="I3772" s="5"/>
      <c r="J3772" s="75" t="s">
        <v>2276</v>
      </c>
      <c r="K3772" s="75" t="s">
        <v>2276</v>
      </c>
      <c r="L3772" s="75" t="s">
        <v>2276</v>
      </c>
      <c r="M3772" s="75" t="s">
        <v>2276</v>
      </c>
      <c r="N3772" s="75" t="s">
        <v>2276</v>
      </c>
      <c r="O3772" s="75" t="s">
        <v>2276</v>
      </c>
      <c r="P3772" s="75" t="s">
        <v>2276</v>
      </c>
      <c r="Q3772" s="75" t="s">
        <v>2276</v>
      </c>
      <c r="R3772" s="75" t="s">
        <v>2276</v>
      </c>
      <c r="S3772" s="75" t="s">
        <v>2276</v>
      </c>
      <c r="T3772" s="75" t="s">
        <v>2276</v>
      </c>
      <c r="U3772" s="75" t="s">
        <v>2276</v>
      </c>
      <c r="V3772" s="75" t="s">
        <v>2276</v>
      </c>
      <c r="W3772" s="75" t="s">
        <v>2276</v>
      </c>
      <c r="X3772" s="75" t="s">
        <v>2276</v>
      </c>
      <c r="Y3772" s="75" t="s">
        <v>2276</v>
      </c>
      <c r="Z3772" s="75" t="s">
        <v>2276</v>
      </c>
      <c r="AA3772" s="204"/>
      <c r="AB3772" s="204"/>
    </row>
    <row r="3773" spans="1:28" ht="42" customHeight="1">
      <c r="A3773" s="156" t="str">
        <f>'Reported burning'!A3773</f>
        <v>408j</v>
      </c>
      <c r="B3773" s="156" t="str">
        <f>'Reported burning'!B3773</f>
        <v>408j.2</v>
      </c>
      <c r="C3773" s="156" t="str">
        <f>'Reported burning'!C3773</f>
        <v>Human, escaped</v>
      </c>
      <c r="D3773" s="156" t="str">
        <f>'Reported burning'!D3773</f>
        <v>ND</v>
      </c>
      <c r="E3773" s="156" t="str">
        <f>'Reported burning'!E3773</f>
        <v>ND</v>
      </c>
      <c r="F3773" s="156" t="str">
        <f>'Reported burning'!F3773</f>
        <v>Forest</v>
      </c>
      <c r="G3773" s="156" t="str">
        <f>'Reported burning'!G3773</f>
        <v>Forest</v>
      </c>
      <c r="H3773" s="156" t="str">
        <f>'Reported burning'!H3773</f>
        <v>Presence</v>
      </c>
      <c r="I3773" s="5"/>
      <c r="J3773" s="75" t="s">
        <v>2276</v>
      </c>
      <c r="K3773" s="75" t="s">
        <v>2276</v>
      </c>
      <c r="L3773" s="75" t="s">
        <v>2276</v>
      </c>
      <c r="M3773" s="75" t="s">
        <v>2276</v>
      </c>
      <c r="N3773" s="75" t="s">
        <v>2276</v>
      </c>
      <c r="O3773" s="75" t="s">
        <v>2276</v>
      </c>
      <c r="P3773" s="75" t="s">
        <v>2276</v>
      </c>
      <c r="Q3773" s="75" t="s">
        <v>2276</v>
      </c>
      <c r="R3773" s="75" t="s">
        <v>2276</v>
      </c>
      <c r="S3773" s="75" t="s">
        <v>2276</v>
      </c>
      <c r="T3773" s="75" t="s">
        <v>2276</v>
      </c>
      <c r="U3773" s="75" t="s">
        <v>2276</v>
      </c>
      <c r="V3773" s="75" t="s">
        <v>2276</v>
      </c>
      <c r="W3773" s="75" t="s">
        <v>2276</v>
      </c>
      <c r="X3773" s="75" t="s">
        <v>2276</v>
      </c>
      <c r="Y3773" s="75" t="s">
        <v>2276</v>
      </c>
      <c r="Z3773" s="75" t="s">
        <v>2276</v>
      </c>
      <c r="AA3773" s="204"/>
      <c r="AB3773" s="204"/>
    </row>
    <row r="3774" spans="1:28" ht="42" customHeight="1">
      <c r="A3774" s="156" t="str">
        <f>'Reported burning'!A3774</f>
        <v>408k</v>
      </c>
      <c r="B3774" s="156" t="str">
        <f>'Reported burning'!B3774</f>
        <v>408k.2</v>
      </c>
      <c r="C3774" s="156" t="str">
        <f>'Reported burning'!C3774</f>
        <v>Human, escaped</v>
      </c>
      <c r="D3774" s="156" t="str">
        <f>'Reported burning'!D3774</f>
        <v>ND</v>
      </c>
      <c r="E3774" s="156" t="str">
        <f>'Reported burning'!E3774</f>
        <v>ND</v>
      </c>
      <c r="F3774" s="156" t="str">
        <f>'Reported burning'!F3774</f>
        <v>Forest</v>
      </c>
      <c r="G3774" s="156" t="str">
        <f>'Reported burning'!G3774</f>
        <v>Forest</v>
      </c>
      <c r="H3774" s="156" t="str">
        <f>'Reported burning'!H3774</f>
        <v>Presence</v>
      </c>
      <c r="I3774" s="5"/>
      <c r="J3774" s="75" t="s">
        <v>2276</v>
      </c>
      <c r="K3774" s="75" t="s">
        <v>2276</v>
      </c>
      <c r="L3774" s="75" t="s">
        <v>2276</v>
      </c>
      <c r="M3774" s="75" t="s">
        <v>2276</v>
      </c>
      <c r="N3774" s="75" t="s">
        <v>2276</v>
      </c>
      <c r="O3774" s="75" t="s">
        <v>2276</v>
      </c>
      <c r="P3774" s="75" t="s">
        <v>2276</v>
      </c>
      <c r="Q3774" s="75" t="s">
        <v>2276</v>
      </c>
      <c r="R3774" s="75" t="s">
        <v>2276</v>
      </c>
      <c r="S3774" s="75" t="s">
        <v>2276</v>
      </c>
      <c r="T3774" s="75" t="s">
        <v>2276</v>
      </c>
      <c r="U3774" s="75" t="s">
        <v>2276</v>
      </c>
      <c r="V3774" s="75" t="s">
        <v>2276</v>
      </c>
      <c r="W3774" s="75" t="s">
        <v>2276</v>
      </c>
      <c r="X3774" s="75" t="s">
        <v>2276</v>
      </c>
      <c r="Y3774" s="75" t="s">
        <v>2276</v>
      </c>
      <c r="Z3774" s="75" t="s">
        <v>2276</v>
      </c>
      <c r="AA3774" s="204"/>
      <c r="AB3774" s="204"/>
    </row>
    <row r="3775" spans="1:28" ht="42" customHeight="1">
      <c r="A3775" s="156" t="str">
        <f>'Reported burning'!A3775</f>
        <v>408l</v>
      </c>
      <c r="B3775" s="156" t="str">
        <f>'Reported burning'!B3775</f>
        <v>408l.2</v>
      </c>
      <c r="C3775" s="156" t="str">
        <f>'Reported burning'!C3775</f>
        <v>Human, escaped</v>
      </c>
      <c r="D3775" s="156" t="str">
        <f>'Reported burning'!D3775</f>
        <v>ND</v>
      </c>
      <c r="E3775" s="156" t="str">
        <f>'Reported burning'!E3775</f>
        <v>ND</v>
      </c>
      <c r="F3775" s="156" t="str">
        <f>'Reported burning'!F3775</f>
        <v>Forest</v>
      </c>
      <c r="G3775" s="156" t="str">
        <f>'Reported burning'!G3775</f>
        <v>Forest</v>
      </c>
      <c r="H3775" s="156" t="str">
        <f>'Reported burning'!H3775</f>
        <v>Presence</v>
      </c>
      <c r="I3775" s="5"/>
      <c r="J3775" s="75" t="s">
        <v>2276</v>
      </c>
      <c r="K3775" s="75" t="s">
        <v>2276</v>
      </c>
      <c r="L3775" s="75" t="s">
        <v>2276</v>
      </c>
      <c r="M3775" s="75" t="s">
        <v>2276</v>
      </c>
      <c r="N3775" s="75" t="s">
        <v>2276</v>
      </c>
      <c r="O3775" s="75" t="s">
        <v>2276</v>
      </c>
      <c r="P3775" s="75" t="s">
        <v>2276</v>
      </c>
      <c r="Q3775" s="75" t="s">
        <v>2276</v>
      </c>
      <c r="R3775" s="75" t="s">
        <v>2276</v>
      </c>
      <c r="S3775" s="75" t="s">
        <v>2276</v>
      </c>
      <c r="T3775" s="75" t="s">
        <v>2276</v>
      </c>
      <c r="U3775" s="75" t="s">
        <v>2276</v>
      </c>
      <c r="V3775" s="75" t="s">
        <v>2276</v>
      </c>
      <c r="W3775" s="75" t="s">
        <v>2276</v>
      </c>
      <c r="X3775" s="75" t="s">
        <v>2276</v>
      </c>
      <c r="Y3775" s="75" t="s">
        <v>2276</v>
      </c>
      <c r="Z3775" s="75" t="s">
        <v>2276</v>
      </c>
      <c r="AA3775" s="204"/>
      <c r="AB3775" s="204"/>
    </row>
    <row r="3776" spans="1:28" ht="42" customHeight="1">
      <c r="A3776" s="156" t="str">
        <f>'Reported burning'!A3776</f>
        <v>408m</v>
      </c>
      <c r="B3776" s="156" t="str">
        <f>'Reported burning'!B3776</f>
        <v>408m.2</v>
      </c>
      <c r="C3776" s="156" t="str">
        <f>'Reported burning'!C3776</f>
        <v>Human, escaped</v>
      </c>
      <c r="D3776" s="156" t="str">
        <f>'Reported burning'!D3776</f>
        <v>ND</v>
      </c>
      <c r="E3776" s="156" t="str">
        <f>'Reported burning'!E3776</f>
        <v>ND</v>
      </c>
      <c r="F3776" s="156" t="str">
        <f>'Reported burning'!F3776</f>
        <v>Forest</v>
      </c>
      <c r="G3776" s="156" t="str">
        <f>'Reported burning'!G3776</f>
        <v>Forest</v>
      </c>
      <c r="H3776" s="156" t="str">
        <f>'Reported burning'!H3776</f>
        <v>Presence</v>
      </c>
      <c r="I3776" s="5"/>
      <c r="J3776" s="75" t="s">
        <v>2276</v>
      </c>
      <c r="K3776" s="75" t="s">
        <v>2276</v>
      </c>
      <c r="L3776" s="75" t="s">
        <v>2276</v>
      </c>
      <c r="M3776" s="75" t="s">
        <v>2276</v>
      </c>
      <c r="N3776" s="75" t="s">
        <v>2276</v>
      </c>
      <c r="O3776" s="75" t="s">
        <v>2276</v>
      </c>
      <c r="P3776" s="75" t="s">
        <v>2276</v>
      </c>
      <c r="Q3776" s="75" t="s">
        <v>2276</v>
      </c>
      <c r="R3776" s="75" t="s">
        <v>2276</v>
      </c>
      <c r="S3776" s="75" t="s">
        <v>2276</v>
      </c>
      <c r="T3776" s="75" t="s">
        <v>2276</v>
      </c>
      <c r="U3776" s="75" t="s">
        <v>2276</v>
      </c>
      <c r="V3776" s="75" t="s">
        <v>2276</v>
      </c>
      <c r="W3776" s="75" t="s">
        <v>2276</v>
      </c>
      <c r="X3776" s="75" t="s">
        <v>2276</v>
      </c>
      <c r="Y3776" s="75" t="s">
        <v>2276</v>
      </c>
      <c r="Z3776" s="75" t="s">
        <v>2276</v>
      </c>
      <c r="AA3776" s="204"/>
      <c r="AB3776" s="204"/>
    </row>
    <row r="3777" spans="1:28" ht="42" customHeight="1">
      <c r="A3777" s="156" t="str">
        <f>'Reported burning'!A3777</f>
        <v>408n</v>
      </c>
      <c r="B3777" s="156" t="str">
        <f>'Reported burning'!B3777</f>
        <v>408n.2</v>
      </c>
      <c r="C3777" s="156" t="str">
        <f>'Reported burning'!C3777</f>
        <v>Human, escaped</v>
      </c>
      <c r="D3777" s="156" t="str">
        <f>'Reported burning'!D3777</f>
        <v>ND</v>
      </c>
      <c r="E3777" s="156" t="str">
        <f>'Reported burning'!E3777</f>
        <v>ND</v>
      </c>
      <c r="F3777" s="156" t="str">
        <f>'Reported burning'!F3777</f>
        <v>Forest</v>
      </c>
      <c r="G3777" s="156" t="str">
        <f>'Reported burning'!G3777</f>
        <v>Forest</v>
      </c>
      <c r="H3777" s="156" t="str">
        <f>'Reported burning'!H3777</f>
        <v>Presence</v>
      </c>
      <c r="I3777" s="5"/>
      <c r="J3777" s="75" t="s">
        <v>2276</v>
      </c>
      <c r="K3777" s="75" t="s">
        <v>2276</v>
      </c>
      <c r="L3777" s="75" t="s">
        <v>2276</v>
      </c>
      <c r="M3777" s="75" t="s">
        <v>2276</v>
      </c>
      <c r="N3777" s="75" t="s">
        <v>2276</v>
      </c>
      <c r="O3777" s="75" t="s">
        <v>2276</v>
      </c>
      <c r="P3777" s="75" t="s">
        <v>2276</v>
      </c>
      <c r="Q3777" s="75" t="s">
        <v>2276</v>
      </c>
      <c r="R3777" s="75" t="s">
        <v>2276</v>
      </c>
      <c r="S3777" s="75" t="s">
        <v>2276</v>
      </c>
      <c r="T3777" s="75" t="s">
        <v>2276</v>
      </c>
      <c r="U3777" s="75" t="s">
        <v>2276</v>
      </c>
      <c r="V3777" s="75" t="s">
        <v>2276</v>
      </c>
      <c r="W3777" s="75" t="s">
        <v>2276</v>
      </c>
      <c r="X3777" s="75" t="s">
        <v>2276</v>
      </c>
      <c r="Y3777" s="75" t="s">
        <v>2276</v>
      </c>
      <c r="Z3777" s="75" t="s">
        <v>2276</v>
      </c>
      <c r="AA3777" s="204"/>
      <c r="AB3777" s="204"/>
    </row>
    <row r="3778" spans="1:28" ht="42" customHeight="1">
      <c r="A3778" s="156" t="str">
        <f>'Reported burning'!A3778</f>
        <v>408o</v>
      </c>
      <c r="B3778" s="156" t="str">
        <f>'Reported burning'!B3778</f>
        <v>408o.2</v>
      </c>
      <c r="C3778" s="156" t="str">
        <f>'Reported burning'!C3778</f>
        <v>Human, escaped</v>
      </c>
      <c r="D3778" s="156" t="str">
        <f>'Reported burning'!D3778</f>
        <v>ND</v>
      </c>
      <c r="E3778" s="156" t="str">
        <f>'Reported burning'!E3778</f>
        <v>ND</v>
      </c>
      <c r="F3778" s="156" t="str">
        <f>'Reported burning'!F3778</f>
        <v>Forest</v>
      </c>
      <c r="G3778" s="156" t="str">
        <f>'Reported burning'!G3778</f>
        <v>Forest</v>
      </c>
      <c r="H3778" s="156" t="str">
        <f>'Reported burning'!H3778</f>
        <v>Absence</v>
      </c>
      <c r="I3778" s="5"/>
      <c r="J3778" s="21">
        <v>0</v>
      </c>
      <c r="K3778" s="21">
        <v>0</v>
      </c>
      <c r="L3778" s="21">
        <v>0</v>
      </c>
      <c r="M3778" s="21">
        <v>0</v>
      </c>
      <c r="N3778" s="21">
        <v>0</v>
      </c>
      <c r="O3778" s="21">
        <v>0</v>
      </c>
      <c r="P3778" s="21">
        <v>0</v>
      </c>
      <c r="Q3778" s="21">
        <v>0</v>
      </c>
      <c r="R3778" s="21">
        <v>0</v>
      </c>
      <c r="S3778" s="21">
        <v>0</v>
      </c>
      <c r="T3778" s="21">
        <v>0</v>
      </c>
      <c r="U3778" s="21">
        <v>0</v>
      </c>
      <c r="V3778" s="21">
        <v>0</v>
      </c>
      <c r="W3778" s="75" t="s">
        <v>2276</v>
      </c>
      <c r="X3778" s="75" t="s">
        <v>2276</v>
      </c>
      <c r="Y3778" s="75" t="s">
        <v>2276</v>
      </c>
      <c r="Z3778" s="75" t="s">
        <v>2276</v>
      </c>
      <c r="AA3778" s="204"/>
      <c r="AB3778" s="204"/>
    </row>
    <row r="3779" spans="1:28" ht="42" customHeight="1">
      <c r="A3779" s="156" t="str">
        <f>'Reported burning'!A3779</f>
        <v>408p</v>
      </c>
      <c r="B3779" s="156" t="str">
        <f>'Reported burning'!B3779</f>
        <v>408p.2</v>
      </c>
      <c r="C3779" s="156" t="str">
        <f>'Reported burning'!C3779</f>
        <v>Human, escaped</v>
      </c>
      <c r="D3779" s="156" t="str">
        <f>'Reported burning'!D3779</f>
        <v>ND</v>
      </c>
      <c r="E3779" s="156" t="str">
        <f>'Reported burning'!E3779</f>
        <v>ND</v>
      </c>
      <c r="F3779" s="156" t="str">
        <f>'Reported burning'!F3779</f>
        <v>Forest</v>
      </c>
      <c r="G3779" s="156" t="str">
        <f>'Reported burning'!G3779</f>
        <v>Forest</v>
      </c>
      <c r="H3779" s="156" t="str">
        <f>'Reported burning'!H3779</f>
        <v>Presence</v>
      </c>
      <c r="I3779" s="5"/>
      <c r="J3779" s="75" t="s">
        <v>2276</v>
      </c>
      <c r="K3779" s="75" t="s">
        <v>2276</v>
      </c>
      <c r="L3779" s="75" t="s">
        <v>2276</v>
      </c>
      <c r="M3779" s="75" t="s">
        <v>2276</v>
      </c>
      <c r="N3779" s="75" t="s">
        <v>2276</v>
      </c>
      <c r="O3779" s="75" t="s">
        <v>2276</v>
      </c>
      <c r="P3779" s="75" t="s">
        <v>2276</v>
      </c>
      <c r="Q3779" s="75" t="s">
        <v>2276</v>
      </c>
      <c r="R3779" s="75" t="s">
        <v>2276</v>
      </c>
      <c r="S3779" s="75" t="s">
        <v>2276</v>
      </c>
      <c r="T3779" s="75" t="s">
        <v>2276</v>
      </c>
      <c r="U3779" s="75" t="s">
        <v>2276</v>
      </c>
      <c r="V3779" s="75" t="s">
        <v>2276</v>
      </c>
      <c r="W3779" s="75" t="s">
        <v>2276</v>
      </c>
      <c r="X3779" s="75" t="s">
        <v>2276</v>
      </c>
      <c r="Y3779" s="75" t="s">
        <v>2276</v>
      </c>
      <c r="Z3779" s="75" t="s">
        <v>2276</v>
      </c>
      <c r="AA3779" s="204"/>
      <c r="AB3779" s="204"/>
    </row>
    <row r="3780" spans="1:28" ht="42" customHeight="1">
      <c r="A3780" s="156" t="str">
        <f>'Reported burning'!A3780</f>
        <v>408q</v>
      </c>
      <c r="B3780" s="156" t="str">
        <f>'Reported burning'!B3780</f>
        <v>408q.2</v>
      </c>
      <c r="C3780" s="156" t="str">
        <f>'Reported burning'!C3780</f>
        <v>Human, escaped</v>
      </c>
      <c r="D3780" s="156" t="str">
        <f>'Reported burning'!D3780</f>
        <v>ND</v>
      </c>
      <c r="E3780" s="156" t="str">
        <f>'Reported burning'!E3780</f>
        <v>ND</v>
      </c>
      <c r="F3780" s="156" t="str">
        <f>'Reported burning'!F3780</f>
        <v>Forest</v>
      </c>
      <c r="G3780" s="156" t="str">
        <f>'Reported burning'!G3780</f>
        <v>Forest</v>
      </c>
      <c r="H3780" s="156" t="str">
        <f>'Reported burning'!H3780</f>
        <v>Absence</v>
      </c>
      <c r="I3780" s="5"/>
      <c r="J3780" s="21">
        <v>0</v>
      </c>
      <c r="K3780" s="21">
        <v>0</v>
      </c>
      <c r="L3780" s="21">
        <v>0</v>
      </c>
      <c r="M3780" s="21">
        <v>0</v>
      </c>
      <c r="N3780" s="21">
        <v>0</v>
      </c>
      <c r="O3780" s="21">
        <v>0</v>
      </c>
      <c r="P3780" s="21">
        <v>0</v>
      </c>
      <c r="Q3780" s="21">
        <v>0</v>
      </c>
      <c r="R3780" s="21">
        <v>0</v>
      </c>
      <c r="S3780" s="21">
        <v>0</v>
      </c>
      <c r="T3780" s="21">
        <v>0</v>
      </c>
      <c r="U3780" s="21">
        <v>0</v>
      </c>
      <c r="V3780" s="21">
        <v>0</v>
      </c>
      <c r="W3780" s="75" t="s">
        <v>2276</v>
      </c>
      <c r="X3780" s="75" t="s">
        <v>2276</v>
      </c>
      <c r="Y3780" s="75" t="s">
        <v>2276</v>
      </c>
      <c r="Z3780" s="75" t="s">
        <v>2276</v>
      </c>
      <c r="AA3780" s="204"/>
      <c r="AB3780" s="204"/>
    </row>
    <row r="3781" spans="1:28" ht="42" customHeight="1">
      <c r="A3781" s="156" t="str">
        <f>'Reported burning'!A3781</f>
        <v>408r</v>
      </c>
      <c r="B3781" s="156" t="str">
        <f>'Reported burning'!B3781</f>
        <v>408r.2</v>
      </c>
      <c r="C3781" s="156" t="str">
        <f>'Reported burning'!C3781</f>
        <v>Human, escaped</v>
      </c>
      <c r="D3781" s="156" t="str">
        <f>'Reported burning'!D3781</f>
        <v>ND</v>
      </c>
      <c r="E3781" s="156" t="str">
        <f>'Reported burning'!E3781</f>
        <v>ND</v>
      </c>
      <c r="F3781" s="156" t="str">
        <f>'Reported burning'!F3781</f>
        <v>Forest</v>
      </c>
      <c r="G3781" s="156" t="str">
        <f>'Reported burning'!G3781</f>
        <v>Forest</v>
      </c>
      <c r="H3781" s="156" t="str">
        <f>'Reported burning'!H3781</f>
        <v>Presence</v>
      </c>
      <c r="I3781" s="5"/>
      <c r="J3781" s="75" t="s">
        <v>2276</v>
      </c>
      <c r="K3781" s="75" t="s">
        <v>2276</v>
      </c>
      <c r="L3781" s="75" t="s">
        <v>2276</v>
      </c>
      <c r="M3781" s="75" t="s">
        <v>2276</v>
      </c>
      <c r="N3781" s="75" t="s">
        <v>2276</v>
      </c>
      <c r="O3781" s="75" t="s">
        <v>2276</v>
      </c>
      <c r="P3781" s="75" t="s">
        <v>2276</v>
      </c>
      <c r="Q3781" s="75" t="s">
        <v>2276</v>
      </c>
      <c r="R3781" s="75" t="s">
        <v>2276</v>
      </c>
      <c r="S3781" s="75" t="s">
        <v>2276</v>
      </c>
      <c r="T3781" s="75" t="s">
        <v>2276</v>
      </c>
      <c r="U3781" s="75" t="s">
        <v>2276</v>
      </c>
      <c r="V3781" s="75" t="s">
        <v>2276</v>
      </c>
      <c r="W3781" s="75" t="s">
        <v>2276</v>
      </c>
      <c r="X3781" s="75" t="s">
        <v>2276</v>
      </c>
      <c r="Y3781" s="75" t="s">
        <v>2276</v>
      </c>
      <c r="Z3781" s="75" t="s">
        <v>2276</v>
      </c>
      <c r="AA3781" s="204"/>
      <c r="AB3781" s="204"/>
    </row>
    <row r="3782" spans="1:28" ht="42" customHeight="1">
      <c r="A3782" s="156" t="str">
        <f>'Reported burning'!A3782</f>
        <v>408s</v>
      </c>
      <c r="B3782" s="156" t="str">
        <f>'Reported burning'!B3782</f>
        <v>408s.2</v>
      </c>
      <c r="C3782" s="156" t="str">
        <f>'Reported burning'!C3782</f>
        <v>Human, escaped</v>
      </c>
      <c r="D3782" s="156" t="str">
        <f>'Reported burning'!D3782</f>
        <v>ND</v>
      </c>
      <c r="E3782" s="156" t="str">
        <f>'Reported burning'!E3782</f>
        <v>ND</v>
      </c>
      <c r="F3782" s="156" t="str">
        <f>'Reported burning'!F3782</f>
        <v>Forest</v>
      </c>
      <c r="G3782" s="156" t="str">
        <f>'Reported burning'!G3782</f>
        <v>Forest</v>
      </c>
      <c r="H3782" s="156" t="str">
        <f>'Reported burning'!H3782</f>
        <v>Absence</v>
      </c>
      <c r="I3782" s="5"/>
      <c r="J3782" s="21">
        <v>0</v>
      </c>
      <c r="K3782" s="21">
        <v>0</v>
      </c>
      <c r="L3782" s="21">
        <v>0</v>
      </c>
      <c r="M3782" s="21">
        <v>0</v>
      </c>
      <c r="N3782" s="21">
        <v>0</v>
      </c>
      <c r="O3782" s="21">
        <v>0</v>
      </c>
      <c r="P3782" s="21">
        <v>0</v>
      </c>
      <c r="Q3782" s="21">
        <v>0</v>
      </c>
      <c r="R3782" s="21">
        <v>0</v>
      </c>
      <c r="S3782" s="21">
        <v>0</v>
      </c>
      <c r="T3782" s="21">
        <v>0</v>
      </c>
      <c r="U3782" s="21">
        <v>0</v>
      </c>
      <c r="V3782" s="21">
        <v>0</v>
      </c>
      <c r="W3782" s="75" t="s">
        <v>2276</v>
      </c>
      <c r="X3782" s="75" t="s">
        <v>2276</v>
      </c>
      <c r="Y3782" s="75" t="s">
        <v>2276</v>
      </c>
      <c r="Z3782" s="75" t="s">
        <v>2276</v>
      </c>
      <c r="AA3782" s="204"/>
      <c r="AB3782" s="204"/>
    </row>
    <row r="3783" spans="1:28" ht="42" customHeight="1">
      <c r="A3783" s="156" t="str">
        <f>'Reported burning'!A3783</f>
        <v>408a</v>
      </c>
      <c r="B3783" s="156" t="str">
        <f>'Reported burning'!B3783</f>
        <v>408a.3</v>
      </c>
      <c r="C3783" s="156" t="str">
        <f>'Reported burning'!C3783</f>
        <v>Human, deliberate</v>
      </c>
      <c r="D3783" s="156" t="str">
        <f>'Reported burning'!D3783</f>
        <v>Crop field preparation</v>
      </c>
      <c r="E3783" s="156" t="str">
        <f>'Reported burning'!E3783</f>
        <v>Cropping, Swidden</v>
      </c>
      <c r="F3783" s="156" t="str">
        <f>'Reported burning'!F3783</f>
        <v>Secondary vegetation</v>
      </c>
      <c r="G3783" s="156" t="str">
        <f>'Reported burning'!G3783</f>
        <v>Secondary vegetation</v>
      </c>
      <c r="H3783" s="156" t="str">
        <f>'Reported burning'!H3783</f>
        <v>Presence</v>
      </c>
      <c r="I3783" s="5"/>
      <c r="J3783" s="75" t="s">
        <v>2276</v>
      </c>
      <c r="K3783" s="75" t="s">
        <v>2276</v>
      </c>
      <c r="L3783" s="75" t="s">
        <v>2276</v>
      </c>
      <c r="M3783" s="75" t="s">
        <v>2276</v>
      </c>
      <c r="N3783" s="75" t="s">
        <v>2276</v>
      </c>
      <c r="O3783" s="75" t="s">
        <v>2276</v>
      </c>
      <c r="P3783" s="75" t="s">
        <v>2276</v>
      </c>
      <c r="Q3783" s="75" t="s">
        <v>2276</v>
      </c>
      <c r="R3783" s="75" t="s">
        <v>2276</v>
      </c>
      <c r="S3783" s="75" t="s">
        <v>2276</v>
      </c>
      <c r="T3783" s="75" t="s">
        <v>2276</v>
      </c>
      <c r="U3783" s="75" t="s">
        <v>2276</v>
      </c>
      <c r="V3783" s="75" t="s">
        <v>2276</v>
      </c>
      <c r="W3783" s="75" t="s">
        <v>2276</v>
      </c>
      <c r="X3783" s="75" t="s">
        <v>2276</v>
      </c>
      <c r="Y3783" s="75" t="s">
        <v>2276</v>
      </c>
      <c r="Z3783" s="75" t="s">
        <v>2276</v>
      </c>
      <c r="AA3783" s="204"/>
      <c r="AB3783" s="204"/>
    </row>
    <row r="3784" spans="1:28" ht="42" customHeight="1">
      <c r="A3784" s="156" t="str">
        <f>'Reported burning'!A3784</f>
        <v>408b</v>
      </c>
      <c r="B3784" s="156" t="str">
        <f>'Reported burning'!B3784</f>
        <v>408b.3</v>
      </c>
      <c r="C3784" s="156" t="str">
        <f>'Reported burning'!C3784</f>
        <v>Human, deliberate</v>
      </c>
      <c r="D3784" s="156" t="str">
        <f>'Reported burning'!D3784</f>
        <v>Crop field preparation</v>
      </c>
      <c r="E3784" s="156" t="str">
        <f>'Reported burning'!E3784</f>
        <v>Cropping, Swidden</v>
      </c>
      <c r="F3784" s="156" t="str">
        <f>'Reported burning'!F3784</f>
        <v>Secondary vegetation</v>
      </c>
      <c r="G3784" s="156" t="str">
        <f>'Reported burning'!G3784</f>
        <v>Secondary vegetation</v>
      </c>
      <c r="H3784" s="156" t="str">
        <f>'Reported burning'!H3784</f>
        <v>Presence</v>
      </c>
      <c r="I3784" s="5"/>
      <c r="J3784" s="75" t="s">
        <v>2276</v>
      </c>
      <c r="K3784" s="75" t="s">
        <v>2276</v>
      </c>
      <c r="L3784" s="75" t="s">
        <v>2276</v>
      </c>
      <c r="M3784" s="75" t="s">
        <v>2276</v>
      </c>
      <c r="N3784" s="75" t="s">
        <v>2276</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204"/>
      <c r="AB3784" s="204"/>
    </row>
    <row r="3785" spans="1:28" ht="42" customHeight="1">
      <c r="A3785" s="156" t="str">
        <f>'Reported burning'!A3785</f>
        <v>408c</v>
      </c>
      <c r="B3785" s="156" t="str">
        <f>'Reported burning'!B3785</f>
        <v>408c.3</v>
      </c>
      <c r="C3785" s="156" t="str">
        <f>'Reported burning'!C3785</f>
        <v>Human, deliberate</v>
      </c>
      <c r="D3785" s="156" t="str">
        <f>'Reported burning'!D3785</f>
        <v>Crop field preparation</v>
      </c>
      <c r="E3785" s="156" t="str">
        <f>'Reported burning'!E3785</f>
        <v>Cropping, Swidden</v>
      </c>
      <c r="F3785" s="156" t="str">
        <f>'Reported burning'!F3785</f>
        <v>Secondary vegetation</v>
      </c>
      <c r="G3785" s="156" t="str">
        <f>'Reported burning'!G3785</f>
        <v>Secondary vegetation</v>
      </c>
      <c r="H3785" s="156" t="str">
        <f>'Reported burning'!H3785</f>
        <v>Presence</v>
      </c>
      <c r="I3785" s="5"/>
      <c r="J3785" s="75" t="s">
        <v>2276</v>
      </c>
      <c r="K3785" s="75" t="s">
        <v>2276</v>
      </c>
      <c r="L3785" s="75" t="s">
        <v>2276</v>
      </c>
      <c r="M3785" s="75" t="s">
        <v>2276</v>
      </c>
      <c r="N3785" s="75" t="s">
        <v>2276</v>
      </c>
      <c r="O3785" s="75" t="s">
        <v>2276</v>
      </c>
      <c r="P3785" s="75" t="s">
        <v>2276</v>
      </c>
      <c r="Q3785" s="75" t="s">
        <v>2276</v>
      </c>
      <c r="R3785" s="75" t="s">
        <v>2276</v>
      </c>
      <c r="S3785" s="75" t="s">
        <v>2276</v>
      </c>
      <c r="T3785" s="75" t="s">
        <v>2276</v>
      </c>
      <c r="U3785" s="75" t="s">
        <v>2276</v>
      </c>
      <c r="V3785" s="75" t="s">
        <v>2276</v>
      </c>
      <c r="W3785" s="75" t="s">
        <v>2276</v>
      </c>
      <c r="X3785" s="75" t="s">
        <v>2276</v>
      </c>
      <c r="Y3785" s="75" t="s">
        <v>2276</v>
      </c>
      <c r="Z3785" s="75" t="s">
        <v>2276</v>
      </c>
      <c r="AA3785" s="204"/>
      <c r="AB3785" s="204"/>
    </row>
    <row r="3786" spans="1:28" ht="42" customHeight="1">
      <c r="A3786" s="156" t="str">
        <f>'Reported burning'!A3786</f>
        <v>408d</v>
      </c>
      <c r="B3786" s="156" t="str">
        <f>'Reported burning'!B3786</f>
        <v>408d.3</v>
      </c>
      <c r="C3786" s="156" t="str">
        <f>'Reported burning'!C3786</f>
        <v>Human, deliberate</v>
      </c>
      <c r="D3786" s="156" t="str">
        <f>'Reported burning'!D3786</f>
        <v>Crop field preparation</v>
      </c>
      <c r="E3786" s="156" t="str">
        <f>'Reported burning'!E3786</f>
        <v>Cropping, Swidden</v>
      </c>
      <c r="F3786" s="156" t="str">
        <f>'Reported burning'!F3786</f>
        <v>Secondary vegetation</v>
      </c>
      <c r="G3786" s="156" t="str">
        <f>'Reported burning'!G3786</f>
        <v>Secondary vegetation</v>
      </c>
      <c r="H3786" s="156" t="str">
        <f>'Reported burning'!H3786</f>
        <v>Presence</v>
      </c>
      <c r="I3786" s="5"/>
      <c r="J3786" s="75" t="s">
        <v>2276</v>
      </c>
      <c r="K3786" s="75" t="s">
        <v>2276</v>
      </c>
      <c r="L3786" s="75" t="s">
        <v>2276</v>
      </c>
      <c r="M3786" s="75" t="s">
        <v>2276</v>
      </c>
      <c r="N3786" s="75" t="s">
        <v>2276</v>
      </c>
      <c r="O3786" s="75" t="s">
        <v>2276</v>
      </c>
      <c r="P3786" s="75" t="s">
        <v>2276</v>
      </c>
      <c r="Q3786" s="75" t="s">
        <v>2276</v>
      </c>
      <c r="R3786" s="75" t="s">
        <v>2276</v>
      </c>
      <c r="S3786" s="75" t="s">
        <v>2276</v>
      </c>
      <c r="T3786" s="75" t="s">
        <v>2276</v>
      </c>
      <c r="U3786" s="75" t="s">
        <v>2276</v>
      </c>
      <c r="V3786" s="75" t="s">
        <v>2276</v>
      </c>
      <c r="W3786" s="75" t="s">
        <v>2276</v>
      </c>
      <c r="X3786" s="75" t="s">
        <v>2276</v>
      </c>
      <c r="Y3786" s="75" t="s">
        <v>2276</v>
      </c>
      <c r="Z3786" s="75" t="s">
        <v>2276</v>
      </c>
      <c r="AA3786" s="204"/>
      <c r="AB3786" s="204"/>
    </row>
    <row r="3787" spans="1:28" ht="42" customHeight="1">
      <c r="A3787" s="156" t="str">
        <f>'Reported burning'!A3787</f>
        <v>408e</v>
      </c>
      <c r="B3787" s="156" t="str">
        <f>'Reported burning'!B3787</f>
        <v>408e.3</v>
      </c>
      <c r="C3787" s="156" t="str">
        <f>'Reported burning'!C3787</f>
        <v>Human, deliberate</v>
      </c>
      <c r="D3787" s="156" t="str">
        <f>'Reported burning'!D3787</f>
        <v>Crop field preparation</v>
      </c>
      <c r="E3787" s="156" t="str">
        <f>'Reported burning'!E3787</f>
        <v>Cropping, Swidden</v>
      </c>
      <c r="F3787" s="156" t="str">
        <f>'Reported burning'!F3787</f>
        <v>Secondary vegetation</v>
      </c>
      <c r="G3787" s="156" t="str">
        <f>'Reported burning'!G3787</f>
        <v>Secondary vegetation</v>
      </c>
      <c r="H3787" s="156" t="str">
        <f>'Reported burning'!H3787</f>
        <v>Presence</v>
      </c>
      <c r="I3787" s="5"/>
      <c r="J3787" s="75" t="s">
        <v>2276</v>
      </c>
      <c r="K3787" s="75" t="s">
        <v>2276</v>
      </c>
      <c r="L3787" s="75" t="s">
        <v>2276</v>
      </c>
      <c r="M3787" s="75" t="s">
        <v>2276</v>
      </c>
      <c r="N3787" s="75" t="s">
        <v>2276</v>
      </c>
      <c r="O3787" s="75" t="s">
        <v>2276</v>
      </c>
      <c r="P3787" s="75" t="s">
        <v>2276</v>
      </c>
      <c r="Q3787" s="75" t="s">
        <v>2276</v>
      </c>
      <c r="R3787" s="75" t="s">
        <v>2276</v>
      </c>
      <c r="S3787" s="75" t="s">
        <v>2276</v>
      </c>
      <c r="T3787" s="75" t="s">
        <v>2276</v>
      </c>
      <c r="U3787" s="75" t="s">
        <v>2276</v>
      </c>
      <c r="V3787" s="75" t="s">
        <v>2276</v>
      </c>
      <c r="W3787" s="75" t="s">
        <v>2276</v>
      </c>
      <c r="X3787" s="75" t="s">
        <v>2276</v>
      </c>
      <c r="Y3787" s="75" t="s">
        <v>2276</v>
      </c>
      <c r="Z3787" s="75" t="s">
        <v>2276</v>
      </c>
      <c r="AA3787" s="204"/>
      <c r="AB3787" s="204"/>
    </row>
    <row r="3788" spans="1:28" ht="42" customHeight="1">
      <c r="A3788" s="156" t="str">
        <f>'Reported burning'!A3788</f>
        <v>408f</v>
      </c>
      <c r="B3788" s="156" t="str">
        <f>'Reported burning'!B3788</f>
        <v>408f.3</v>
      </c>
      <c r="C3788" s="156" t="str">
        <f>'Reported burning'!C3788</f>
        <v>Human, deliberate</v>
      </c>
      <c r="D3788" s="156" t="str">
        <f>'Reported burning'!D3788</f>
        <v>Crop field preparation</v>
      </c>
      <c r="E3788" s="156" t="str">
        <f>'Reported burning'!E3788</f>
        <v>Cropping, Swidden</v>
      </c>
      <c r="F3788" s="156" t="str">
        <f>'Reported burning'!F3788</f>
        <v>Secondary vegetation</v>
      </c>
      <c r="G3788" s="156" t="str">
        <f>'Reported burning'!G3788</f>
        <v>Secondary vegetation</v>
      </c>
      <c r="H3788" s="156" t="str">
        <f>'Reported burning'!H3788</f>
        <v>Presence</v>
      </c>
      <c r="I3788" s="5"/>
      <c r="J3788" s="75" t="s">
        <v>2276</v>
      </c>
      <c r="K3788" s="75" t="s">
        <v>2276</v>
      </c>
      <c r="L3788" s="75" t="s">
        <v>2276</v>
      </c>
      <c r="M3788" s="75" t="s">
        <v>2276</v>
      </c>
      <c r="N3788" s="75" t="s">
        <v>2276</v>
      </c>
      <c r="O3788" s="75" t="s">
        <v>2276</v>
      </c>
      <c r="P3788" s="75" t="s">
        <v>2276</v>
      </c>
      <c r="Q3788" s="75" t="s">
        <v>2276</v>
      </c>
      <c r="R3788" s="75" t="s">
        <v>2276</v>
      </c>
      <c r="S3788" s="75" t="s">
        <v>2276</v>
      </c>
      <c r="T3788" s="75" t="s">
        <v>2276</v>
      </c>
      <c r="U3788" s="75" t="s">
        <v>2276</v>
      </c>
      <c r="V3788" s="75" t="s">
        <v>2276</v>
      </c>
      <c r="W3788" s="75" t="s">
        <v>2276</v>
      </c>
      <c r="X3788" s="75" t="s">
        <v>2276</v>
      </c>
      <c r="Y3788" s="75" t="s">
        <v>2276</v>
      </c>
      <c r="Z3788" s="75" t="s">
        <v>2276</v>
      </c>
      <c r="AA3788" s="204"/>
      <c r="AB3788" s="204"/>
    </row>
    <row r="3789" spans="1:28" ht="42" customHeight="1">
      <c r="A3789" s="156" t="str">
        <f>'Reported burning'!A3789</f>
        <v>408g</v>
      </c>
      <c r="B3789" s="156" t="str">
        <f>'Reported burning'!B3789</f>
        <v>408g.3</v>
      </c>
      <c r="C3789" s="156" t="str">
        <f>'Reported burning'!C3789</f>
        <v>Human, deliberate</v>
      </c>
      <c r="D3789" s="156" t="str">
        <f>'Reported burning'!D3789</f>
        <v>Crop field preparation</v>
      </c>
      <c r="E3789" s="156" t="str">
        <f>'Reported burning'!E3789</f>
        <v>Cropping, Swidden</v>
      </c>
      <c r="F3789" s="156" t="str">
        <f>'Reported burning'!F3789</f>
        <v>Secondary vegetation</v>
      </c>
      <c r="G3789" s="156" t="str">
        <f>'Reported burning'!G3789</f>
        <v>Secondary vegetation</v>
      </c>
      <c r="H3789" s="156" t="str">
        <f>'Reported burning'!H3789</f>
        <v>Presence</v>
      </c>
      <c r="I3789" s="5"/>
      <c r="J3789" s="75" t="s">
        <v>2276</v>
      </c>
      <c r="K3789" s="75" t="s">
        <v>2276</v>
      </c>
      <c r="L3789" s="75" t="s">
        <v>2276</v>
      </c>
      <c r="M3789" s="75" t="s">
        <v>2276</v>
      </c>
      <c r="N3789" s="75" t="s">
        <v>2276</v>
      </c>
      <c r="O3789" s="75" t="s">
        <v>2276</v>
      </c>
      <c r="P3789" s="75" t="s">
        <v>2276</v>
      </c>
      <c r="Q3789" s="75" t="s">
        <v>2276</v>
      </c>
      <c r="R3789" s="75" t="s">
        <v>2276</v>
      </c>
      <c r="S3789" s="75" t="s">
        <v>2276</v>
      </c>
      <c r="T3789" s="75" t="s">
        <v>2276</v>
      </c>
      <c r="U3789" s="75" t="s">
        <v>2276</v>
      </c>
      <c r="V3789" s="75" t="s">
        <v>2276</v>
      </c>
      <c r="W3789" s="75" t="s">
        <v>2276</v>
      </c>
      <c r="X3789" s="75" t="s">
        <v>2276</v>
      </c>
      <c r="Y3789" s="75" t="s">
        <v>2276</v>
      </c>
      <c r="Z3789" s="75" t="s">
        <v>2276</v>
      </c>
      <c r="AA3789" s="204"/>
      <c r="AB3789" s="204"/>
    </row>
    <row r="3790" spans="1:28" ht="42" customHeight="1">
      <c r="A3790" s="156" t="str">
        <f>'Reported burning'!A3790</f>
        <v>408h</v>
      </c>
      <c r="B3790" s="156" t="str">
        <f>'Reported burning'!B3790</f>
        <v>408h.3</v>
      </c>
      <c r="C3790" s="156" t="str">
        <f>'Reported burning'!C3790</f>
        <v>Human, deliberate</v>
      </c>
      <c r="D3790" s="156" t="str">
        <f>'Reported burning'!D3790</f>
        <v>Crop field preparation</v>
      </c>
      <c r="E3790" s="156" t="str">
        <f>'Reported burning'!E3790</f>
        <v>Cropping, Swidden</v>
      </c>
      <c r="F3790" s="156" t="str">
        <f>'Reported burning'!F3790</f>
        <v>Secondary vegetation</v>
      </c>
      <c r="G3790" s="156" t="str">
        <f>'Reported burning'!G3790</f>
        <v>Secondary vegetation</v>
      </c>
      <c r="H3790" s="156" t="str">
        <f>'Reported burning'!H3790</f>
        <v>Presence</v>
      </c>
      <c r="I3790" s="5"/>
      <c r="J3790" s="75" t="s">
        <v>2276</v>
      </c>
      <c r="K3790" s="75" t="s">
        <v>2276</v>
      </c>
      <c r="L3790" s="75" t="s">
        <v>2276</v>
      </c>
      <c r="M3790" s="75" t="s">
        <v>2276</v>
      </c>
      <c r="N3790" s="75" t="s">
        <v>2276</v>
      </c>
      <c r="O3790" s="75" t="s">
        <v>2276</v>
      </c>
      <c r="P3790" s="75" t="s">
        <v>2276</v>
      </c>
      <c r="Q3790" s="75" t="s">
        <v>2276</v>
      </c>
      <c r="R3790" s="75" t="s">
        <v>2276</v>
      </c>
      <c r="S3790" s="75" t="s">
        <v>2276</v>
      </c>
      <c r="T3790" s="75" t="s">
        <v>2276</v>
      </c>
      <c r="U3790" s="75" t="s">
        <v>2276</v>
      </c>
      <c r="V3790" s="75" t="s">
        <v>2276</v>
      </c>
      <c r="W3790" s="75" t="s">
        <v>2276</v>
      </c>
      <c r="X3790" s="75" t="s">
        <v>2276</v>
      </c>
      <c r="Y3790" s="75" t="s">
        <v>2276</v>
      </c>
      <c r="Z3790" s="75" t="s">
        <v>2276</v>
      </c>
      <c r="AA3790" s="204"/>
      <c r="AB3790" s="204"/>
    </row>
    <row r="3791" spans="1:28" ht="42" customHeight="1">
      <c r="A3791" s="156" t="str">
        <f>'Reported burning'!A3791</f>
        <v>408i</v>
      </c>
      <c r="B3791" s="156" t="str">
        <f>'Reported burning'!B3791</f>
        <v>408i.3</v>
      </c>
      <c r="C3791" s="156" t="str">
        <f>'Reported burning'!C3791</f>
        <v>Human, deliberate</v>
      </c>
      <c r="D3791" s="156" t="str">
        <f>'Reported burning'!D3791</f>
        <v>Crop field preparation</v>
      </c>
      <c r="E3791" s="156" t="str">
        <f>'Reported burning'!E3791</f>
        <v>Cropping, Swidden</v>
      </c>
      <c r="F3791" s="156" t="str">
        <f>'Reported burning'!F3791</f>
        <v>Secondary vegetation</v>
      </c>
      <c r="G3791" s="156" t="str">
        <f>'Reported burning'!G3791</f>
        <v>Secondary vegetation</v>
      </c>
      <c r="H3791" s="156" t="str">
        <f>'Reported burning'!H3791</f>
        <v>Presence</v>
      </c>
      <c r="I3791" s="5"/>
      <c r="J3791" s="75" t="s">
        <v>2276</v>
      </c>
      <c r="K3791" s="75" t="s">
        <v>2276</v>
      </c>
      <c r="L3791" s="75" t="s">
        <v>2276</v>
      </c>
      <c r="M3791" s="75" t="s">
        <v>2276</v>
      </c>
      <c r="N3791" s="75" t="s">
        <v>2276</v>
      </c>
      <c r="O3791" s="75" t="s">
        <v>2276</v>
      </c>
      <c r="P3791" s="75" t="s">
        <v>2276</v>
      </c>
      <c r="Q3791" s="75" t="s">
        <v>2276</v>
      </c>
      <c r="R3791" s="75" t="s">
        <v>2276</v>
      </c>
      <c r="S3791" s="75" t="s">
        <v>2276</v>
      </c>
      <c r="T3791" s="75" t="s">
        <v>2276</v>
      </c>
      <c r="U3791" s="75" t="s">
        <v>2276</v>
      </c>
      <c r="V3791" s="75" t="s">
        <v>2276</v>
      </c>
      <c r="W3791" s="75" t="s">
        <v>2276</v>
      </c>
      <c r="X3791" s="75" t="s">
        <v>2276</v>
      </c>
      <c r="Y3791" s="75" t="s">
        <v>2276</v>
      </c>
      <c r="Z3791" s="75" t="s">
        <v>2276</v>
      </c>
      <c r="AA3791" s="204"/>
      <c r="AB3791" s="204"/>
    </row>
    <row r="3792" spans="1:28" ht="42" customHeight="1">
      <c r="A3792" s="156" t="str">
        <f>'Reported burning'!A3792</f>
        <v>408j</v>
      </c>
      <c r="B3792" s="156" t="str">
        <f>'Reported burning'!B3792</f>
        <v>408j.3</v>
      </c>
      <c r="C3792" s="156" t="str">
        <f>'Reported burning'!C3792</f>
        <v>Human, deliberate</v>
      </c>
      <c r="D3792" s="156" t="str">
        <f>'Reported burning'!D3792</f>
        <v>Crop field preparation</v>
      </c>
      <c r="E3792" s="156" t="str">
        <f>'Reported burning'!E3792</f>
        <v>Cropping, Swidden</v>
      </c>
      <c r="F3792" s="156" t="str">
        <f>'Reported burning'!F3792</f>
        <v>Secondary vegetation</v>
      </c>
      <c r="G3792" s="156" t="str">
        <f>'Reported burning'!G3792</f>
        <v>Secondary vegetation</v>
      </c>
      <c r="H3792" s="156" t="str">
        <f>'Reported burning'!H3792</f>
        <v>Presence</v>
      </c>
      <c r="I3792" s="5"/>
      <c r="J3792" s="75" t="s">
        <v>2276</v>
      </c>
      <c r="K3792" s="75" t="s">
        <v>2276</v>
      </c>
      <c r="L3792" s="75" t="s">
        <v>2276</v>
      </c>
      <c r="M3792" s="75" t="s">
        <v>2276</v>
      </c>
      <c r="N3792" s="75" t="s">
        <v>2276</v>
      </c>
      <c r="O3792" s="75" t="s">
        <v>2276</v>
      </c>
      <c r="P3792" s="75" t="s">
        <v>2276</v>
      </c>
      <c r="Q3792" s="75" t="s">
        <v>2276</v>
      </c>
      <c r="R3792" s="75" t="s">
        <v>2276</v>
      </c>
      <c r="S3792" s="75" t="s">
        <v>2276</v>
      </c>
      <c r="T3792" s="75" t="s">
        <v>2276</v>
      </c>
      <c r="U3792" s="75" t="s">
        <v>2276</v>
      </c>
      <c r="V3792" s="75" t="s">
        <v>2276</v>
      </c>
      <c r="W3792" s="75" t="s">
        <v>2276</v>
      </c>
      <c r="X3792" s="75" t="s">
        <v>2276</v>
      </c>
      <c r="Y3792" s="75" t="s">
        <v>2276</v>
      </c>
      <c r="Z3792" s="75" t="s">
        <v>2276</v>
      </c>
      <c r="AA3792" s="204"/>
      <c r="AB3792" s="204"/>
    </row>
    <row r="3793" spans="1:28" ht="42" customHeight="1">
      <c r="A3793" s="156" t="str">
        <f>'Reported burning'!A3793</f>
        <v>408k</v>
      </c>
      <c r="B3793" s="156" t="str">
        <f>'Reported burning'!B3793</f>
        <v>408k.3</v>
      </c>
      <c r="C3793" s="156" t="str">
        <f>'Reported burning'!C3793</f>
        <v>Human, deliberate</v>
      </c>
      <c r="D3793" s="156" t="str">
        <f>'Reported burning'!D3793</f>
        <v>Crop field preparation</v>
      </c>
      <c r="E3793" s="156" t="str">
        <f>'Reported burning'!E3793</f>
        <v>Cropping, Swidden</v>
      </c>
      <c r="F3793" s="156" t="str">
        <f>'Reported burning'!F3793</f>
        <v>Secondary vegetation</v>
      </c>
      <c r="G3793" s="156" t="str">
        <f>'Reported burning'!G3793</f>
        <v>Secondary vegetation</v>
      </c>
      <c r="H3793" s="156" t="str">
        <f>'Reported burning'!H3793</f>
        <v>Presence</v>
      </c>
      <c r="I3793" s="5"/>
      <c r="J3793" s="75" t="s">
        <v>2276</v>
      </c>
      <c r="K3793" s="75" t="s">
        <v>2276</v>
      </c>
      <c r="L3793" s="75" t="s">
        <v>2276</v>
      </c>
      <c r="M3793" s="75" t="s">
        <v>2276</v>
      </c>
      <c r="N3793" s="75" t="s">
        <v>2276</v>
      </c>
      <c r="O3793" s="75" t="s">
        <v>2276</v>
      </c>
      <c r="P3793" s="75" t="s">
        <v>2276</v>
      </c>
      <c r="Q3793" s="75" t="s">
        <v>2276</v>
      </c>
      <c r="R3793" s="75" t="s">
        <v>2276</v>
      </c>
      <c r="S3793" s="75" t="s">
        <v>2276</v>
      </c>
      <c r="T3793" s="75" t="s">
        <v>2276</v>
      </c>
      <c r="U3793" s="75" t="s">
        <v>2276</v>
      </c>
      <c r="V3793" s="75" t="s">
        <v>2276</v>
      </c>
      <c r="W3793" s="75" t="s">
        <v>2276</v>
      </c>
      <c r="X3793" s="75" t="s">
        <v>2276</v>
      </c>
      <c r="Y3793" s="75" t="s">
        <v>2276</v>
      </c>
      <c r="Z3793" s="75" t="s">
        <v>2276</v>
      </c>
      <c r="AA3793" s="204"/>
      <c r="AB3793" s="204"/>
    </row>
    <row r="3794" spans="1:28" ht="42" customHeight="1">
      <c r="A3794" s="156" t="str">
        <f>'Reported burning'!A3794</f>
        <v>408l</v>
      </c>
      <c r="B3794" s="156" t="str">
        <f>'Reported burning'!B3794</f>
        <v>408l.3</v>
      </c>
      <c r="C3794" s="156" t="str">
        <f>'Reported burning'!C3794</f>
        <v>Human, deliberate</v>
      </c>
      <c r="D3794" s="156" t="str">
        <f>'Reported burning'!D3794</f>
        <v>Crop field preparation</v>
      </c>
      <c r="E3794" s="156" t="str">
        <f>'Reported burning'!E3794</f>
        <v>Cropping, Swidden</v>
      </c>
      <c r="F3794" s="156" t="str">
        <f>'Reported burning'!F3794</f>
        <v>Secondary vegetation</v>
      </c>
      <c r="G3794" s="156" t="str">
        <f>'Reported burning'!G3794</f>
        <v>Secondary vegetation</v>
      </c>
      <c r="H3794" s="156" t="str">
        <f>'Reported burning'!H3794</f>
        <v>Presence</v>
      </c>
      <c r="I3794" s="5"/>
      <c r="J3794" s="75" t="s">
        <v>2276</v>
      </c>
      <c r="K3794" s="75" t="s">
        <v>2276</v>
      </c>
      <c r="L3794" s="75" t="s">
        <v>2276</v>
      </c>
      <c r="M3794" s="75" t="s">
        <v>2276</v>
      </c>
      <c r="N3794" s="75" t="s">
        <v>2276</v>
      </c>
      <c r="O3794" s="75" t="s">
        <v>2276</v>
      </c>
      <c r="P3794" s="75" t="s">
        <v>2276</v>
      </c>
      <c r="Q3794" s="75" t="s">
        <v>2276</v>
      </c>
      <c r="R3794" s="75" t="s">
        <v>2276</v>
      </c>
      <c r="S3794" s="75" t="s">
        <v>2276</v>
      </c>
      <c r="T3794" s="75" t="s">
        <v>2276</v>
      </c>
      <c r="U3794" s="75" t="s">
        <v>2276</v>
      </c>
      <c r="V3794" s="75" t="s">
        <v>2276</v>
      </c>
      <c r="W3794" s="75" t="s">
        <v>2276</v>
      </c>
      <c r="X3794" s="75" t="s">
        <v>2276</v>
      </c>
      <c r="Y3794" s="75" t="s">
        <v>2276</v>
      </c>
      <c r="Z3794" s="75" t="s">
        <v>2276</v>
      </c>
      <c r="AA3794" s="204"/>
      <c r="AB3794" s="204"/>
    </row>
    <row r="3795" spans="1:28" ht="42" customHeight="1">
      <c r="A3795" s="156" t="str">
        <f>'Reported burning'!A3795</f>
        <v>408m</v>
      </c>
      <c r="B3795" s="156" t="str">
        <f>'Reported burning'!B3795</f>
        <v>408m.3</v>
      </c>
      <c r="C3795" s="156" t="str">
        <f>'Reported burning'!C3795</f>
        <v>Human, deliberate</v>
      </c>
      <c r="D3795" s="156" t="str">
        <f>'Reported burning'!D3795</f>
        <v>Crop field preparation</v>
      </c>
      <c r="E3795" s="156" t="str">
        <f>'Reported burning'!E3795</f>
        <v>Cropping, Swidden</v>
      </c>
      <c r="F3795" s="156" t="str">
        <f>'Reported burning'!F3795</f>
        <v>Secondary vegetation</v>
      </c>
      <c r="G3795" s="156" t="str">
        <f>'Reported burning'!G3795</f>
        <v>Secondary vegetation</v>
      </c>
      <c r="H3795" s="156" t="str">
        <f>'Reported burning'!H3795</f>
        <v>Presence</v>
      </c>
      <c r="I3795" s="5"/>
      <c r="J3795" s="75" t="s">
        <v>2276</v>
      </c>
      <c r="K3795" s="75" t="s">
        <v>2276</v>
      </c>
      <c r="L3795" s="75" t="s">
        <v>2276</v>
      </c>
      <c r="M3795" s="75" t="s">
        <v>2276</v>
      </c>
      <c r="N3795" s="75" t="s">
        <v>2276</v>
      </c>
      <c r="O3795" s="75" t="s">
        <v>2276</v>
      </c>
      <c r="P3795" s="75" t="s">
        <v>2276</v>
      </c>
      <c r="Q3795" s="75" t="s">
        <v>2276</v>
      </c>
      <c r="R3795" s="75" t="s">
        <v>2276</v>
      </c>
      <c r="S3795" s="75" t="s">
        <v>2276</v>
      </c>
      <c r="T3795" s="75" t="s">
        <v>2276</v>
      </c>
      <c r="U3795" s="75" t="s">
        <v>2276</v>
      </c>
      <c r="V3795" s="75" t="s">
        <v>2276</v>
      </c>
      <c r="W3795" s="75" t="s">
        <v>2276</v>
      </c>
      <c r="X3795" s="75" t="s">
        <v>2276</v>
      </c>
      <c r="Y3795" s="75" t="s">
        <v>2276</v>
      </c>
      <c r="Z3795" s="75" t="s">
        <v>2276</v>
      </c>
      <c r="AA3795" s="204"/>
      <c r="AB3795" s="204"/>
    </row>
    <row r="3796" spans="1:28" ht="42" customHeight="1">
      <c r="A3796" s="156" t="str">
        <f>'Reported burning'!A3796</f>
        <v>408n</v>
      </c>
      <c r="B3796" s="156" t="str">
        <f>'Reported burning'!B3796</f>
        <v>408n.3</v>
      </c>
      <c r="C3796" s="156" t="str">
        <f>'Reported burning'!C3796</f>
        <v>Human, deliberate</v>
      </c>
      <c r="D3796" s="156" t="str">
        <f>'Reported burning'!D3796</f>
        <v>Crop field preparation</v>
      </c>
      <c r="E3796" s="156" t="str">
        <f>'Reported burning'!E3796</f>
        <v>Cropping, Swidden</v>
      </c>
      <c r="F3796" s="156" t="str">
        <f>'Reported burning'!F3796</f>
        <v>Secondary vegetation</v>
      </c>
      <c r="G3796" s="156" t="str">
        <f>'Reported burning'!G3796</f>
        <v>Secondary vegetation</v>
      </c>
      <c r="H3796" s="156" t="str">
        <f>'Reported burning'!H3796</f>
        <v>Presence</v>
      </c>
      <c r="I3796" s="5"/>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204"/>
      <c r="AB3796" s="204"/>
    </row>
    <row r="3797" spans="1:28" ht="42" customHeight="1">
      <c r="A3797" s="156" t="str">
        <f>'Reported burning'!A3797</f>
        <v>408o</v>
      </c>
      <c r="B3797" s="156" t="str">
        <f>'Reported burning'!B3797</f>
        <v>408o.3</v>
      </c>
      <c r="C3797" s="156" t="str">
        <f>'Reported burning'!C3797</f>
        <v>Human, deliberate</v>
      </c>
      <c r="D3797" s="156" t="str">
        <f>'Reported burning'!D3797</f>
        <v>Crop field preparation</v>
      </c>
      <c r="E3797" s="156" t="str">
        <f>'Reported burning'!E3797</f>
        <v>Cropping, Swidden</v>
      </c>
      <c r="F3797" s="156" t="str">
        <f>'Reported burning'!F3797</f>
        <v>Secondary vegetation</v>
      </c>
      <c r="G3797" s="156" t="str">
        <f>'Reported burning'!G3797</f>
        <v>Secondary vegetation</v>
      </c>
      <c r="H3797" s="156" t="str">
        <f>'Reported burning'!H3797</f>
        <v>Presence</v>
      </c>
      <c r="I3797" s="5"/>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204"/>
      <c r="AB3797" s="204"/>
    </row>
    <row r="3798" spans="1:28" ht="42" customHeight="1">
      <c r="A3798" s="156" t="str">
        <f>'Reported burning'!A3798</f>
        <v>408p</v>
      </c>
      <c r="B3798" s="156" t="str">
        <f>'Reported burning'!B3798</f>
        <v>408p.3</v>
      </c>
      <c r="C3798" s="156" t="str">
        <f>'Reported burning'!C3798</f>
        <v>Human, deliberate</v>
      </c>
      <c r="D3798" s="156" t="str">
        <f>'Reported burning'!D3798</f>
        <v>Crop field preparation</v>
      </c>
      <c r="E3798" s="156" t="str">
        <f>'Reported burning'!E3798</f>
        <v>Cropping, Swidden</v>
      </c>
      <c r="F3798" s="156" t="str">
        <f>'Reported burning'!F3798</f>
        <v>Secondary vegetation</v>
      </c>
      <c r="G3798" s="156" t="str">
        <f>'Reported burning'!G3798</f>
        <v>Secondary vegetation</v>
      </c>
      <c r="H3798" s="156" t="str">
        <f>'Reported burning'!H3798</f>
        <v>Presence</v>
      </c>
      <c r="I3798" s="5"/>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204"/>
      <c r="AB3798" s="204"/>
    </row>
    <row r="3799" spans="1:28" ht="42" customHeight="1">
      <c r="A3799" s="156" t="str">
        <f>'Reported burning'!A3799</f>
        <v>408q</v>
      </c>
      <c r="B3799" s="156" t="str">
        <f>'Reported burning'!B3799</f>
        <v>408q.3</v>
      </c>
      <c r="C3799" s="156" t="str">
        <f>'Reported burning'!C3799</f>
        <v>Human, deliberate</v>
      </c>
      <c r="D3799" s="156" t="str">
        <f>'Reported burning'!D3799</f>
        <v>Crop field preparation</v>
      </c>
      <c r="E3799" s="156" t="str">
        <f>'Reported burning'!E3799</f>
        <v>Cropping, Swidden</v>
      </c>
      <c r="F3799" s="156" t="str">
        <f>'Reported burning'!F3799</f>
        <v>Secondary vegetation</v>
      </c>
      <c r="G3799" s="156" t="str">
        <f>'Reported burning'!G3799</f>
        <v>Secondary vegetation</v>
      </c>
      <c r="H3799" s="156" t="str">
        <f>'Reported burning'!H3799</f>
        <v>Presence</v>
      </c>
      <c r="I3799" s="5"/>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204"/>
      <c r="AB3799" s="204"/>
    </row>
    <row r="3800" spans="1:28" ht="42" customHeight="1">
      <c r="A3800" s="156" t="str">
        <f>'Reported burning'!A3800</f>
        <v>408r</v>
      </c>
      <c r="B3800" s="156" t="str">
        <f>'Reported burning'!B3800</f>
        <v>408r.3</v>
      </c>
      <c r="C3800" s="156" t="str">
        <f>'Reported burning'!C3800</f>
        <v>Human, deliberate</v>
      </c>
      <c r="D3800" s="156" t="str">
        <f>'Reported burning'!D3800</f>
        <v>Crop field preparation</v>
      </c>
      <c r="E3800" s="156" t="str">
        <f>'Reported burning'!E3800</f>
        <v>Cropping, Swidden</v>
      </c>
      <c r="F3800" s="156" t="str">
        <f>'Reported burning'!F3800</f>
        <v>Secondary vegetation</v>
      </c>
      <c r="G3800" s="156" t="str">
        <f>'Reported burning'!G3800</f>
        <v>Secondary vegetation</v>
      </c>
      <c r="H3800" s="156" t="str">
        <f>'Reported burning'!H3800</f>
        <v>Presence</v>
      </c>
      <c r="I3800" s="5"/>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204"/>
      <c r="AB3800" s="204"/>
    </row>
    <row r="3801" spans="1:28" ht="42" customHeight="1">
      <c r="A3801" s="156" t="str">
        <f>'Reported burning'!A3801</f>
        <v>408s</v>
      </c>
      <c r="B3801" s="156" t="str">
        <f>'Reported burning'!B3801</f>
        <v>408s.3</v>
      </c>
      <c r="C3801" s="156" t="str">
        <f>'Reported burning'!C3801</f>
        <v>Human, deliberate</v>
      </c>
      <c r="D3801" s="156" t="str">
        <f>'Reported burning'!D3801</f>
        <v>Crop field preparation</v>
      </c>
      <c r="E3801" s="156" t="str">
        <f>'Reported burning'!E3801</f>
        <v>Cropping, Swidden</v>
      </c>
      <c r="F3801" s="156" t="str">
        <f>'Reported burning'!F3801</f>
        <v>Secondary vegetation</v>
      </c>
      <c r="G3801" s="156" t="str">
        <f>'Reported burning'!G3801</f>
        <v>Secondary vegetation</v>
      </c>
      <c r="H3801" s="156" t="str">
        <f>'Reported burning'!H3801</f>
        <v>Presence</v>
      </c>
      <c r="I3801" s="5"/>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204"/>
      <c r="AB3801" s="204"/>
    </row>
    <row r="3802" spans="1:28" ht="42" customHeight="1">
      <c r="A3802" s="156" t="str">
        <f>'Reported burning'!A3802</f>
        <v>408h</v>
      </c>
      <c r="B3802" s="156" t="str">
        <f>'Reported burning'!B3802</f>
        <v>408h.4</v>
      </c>
      <c r="C3802" s="156" t="str">
        <f>'Reported burning'!C3802</f>
        <v>Human, deliberate</v>
      </c>
      <c r="D3802" s="156" t="str">
        <f>'Reported burning'!D3802</f>
        <v>Forest clearance</v>
      </c>
      <c r="E3802" s="156" t="str">
        <f>'Reported burning'!E3802</f>
        <v>Forestry, Industrial</v>
      </c>
      <c r="F3802" s="156" t="str">
        <f>'Reported burning'!F3802</f>
        <v>Forest</v>
      </c>
      <c r="G3802" s="156" t="str">
        <f>'Reported burning'!G3802</f>
        <v>Forest</v>
      </c>
      <c r="H3802" s="156" t="str">
        <f>'Reported burning'!H3802</f>
        <v>Presence</v>
      </c>
      <c r="I3802" s="5"/>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204"/>
      <c r="AB3802" s="82" t="s">
        <v>9852</v>
      </c>
    </row>
    <row r="3803" spans="1:28" ht="42" customHeight="1">
      <c r="A3803" s="156" t="str">
        <f>'Reported burning'!A3803</f>
        <v>408i</v>
      </c>
      <c r="B3803" s="156" t="str">
        <f>'Reported burning'!B3803</f>
        <v>408i.4</v>
      </c>
      <c r="C3803" s="156" t="str">
        <f>'Reported burning'!C3803</f>
        <v>Human, deliberate</v>
      </c>
      <c r="D3803" s="156" t="str">
        <f>'Reported burning'!D3803</f>
        <v>Forest clearance</v>
      </c>
      <c r="E3803" s="156" t="str">
        <f>'Reported burning'!E3803</f>
        <v>Forestry, Industrial</v>
      </c>
      <c r="F3803" s="156" t="str">
        <f>'Reported burning'!F3803</f>
        <v>Forest</v>
      </c>
      <c r="G3803" s="156" t="str">
        <f>'Reported burning'!G3803</f>
        <v>Forest</v>
      </c>
      <c r="H3803" s="156" t="str">
        <f>'Reported burning'!H3803</f>
        <v>Presence</v>
      </c>
      <c r="I3803" s="5"/>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204"/>
      <c r="AB3803" s="82" t="s">
        <v>9852</v>
      </c>
    </row>
    <row r="3804" spans="1:28" ht="42" customHeight="1">
      <c r="A3804" s="156" t="str">
        <f>'Reported burning'!A3804</f>
        <v>408j</v>
      </c>
      <c r="B3804" s="156" t="str">
        <f>'Reported burning'!B3804</f>
        <v>408j.4</v>
      </c>
      <c r="C3804" s="156" t="str">
        <f>'Reported burning'!C3804</f>
        <v>Human, deliberate</v>
      </c>
      <c r="D3804" s="156" t="str">
        <f>'Reported burning'!D3804</f>
        <v>Forest clearance</v>
      </c>
      <c r="E3804" s="156" t="str">
        <f>'Reported burning'!E3804</f>
        <v>Forestry, Industrial</v>
      </c>
      <c r="F3804" s="156" t="str">
        <f>'Reported burning'!F3804</f>
        <v>Forest</v>
      </c>
      <c r="G3804" s="156" t="str">
        <f>'Reported burning'!G3804</f>
        <v>Forest</v>
      </c>
      <c r="H3804" s="156" t="str">
        <f>'Reported burning'!H3804</f>
        <v>Presence</v>
      </c>
      <c r="I3804" s="5"/>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204"/>
      <c r="AB3804" s="82" t="s">
        <v>9852</v>
      </c>
    </row>
    <row r="3805" spans="1:28" ht="42" customHeight="1">
      <c r="A3805" s="156" t="str">
        <f>'Reported burning'!A3805</f>
        <v>408m</v>
      </c>
      <c r="B3805" s="156" t="str">
        <f>'Reported burning'!B3805</f>
        <v>408m.4</v>
      </c>
      <c r="C3805" s="156" t="str">
        <f>'Reported burning'!C3805</f>
        <v>Human, deliberate</v>
      </c>
      <c r="D3805" s="156" t="str">
        <f>'Reported burning'!D3805</f>
        <v>Forest clearance</v>
      </c>
      <c r="E3805" s="156" t="str">
        <f>'Reported burning'!E3805</f>
        <v>Forestry, Industrial</v>
      </c>
      <c r="F3805" s="156" t="str">
        <f>'Reported burning'!F3805</f>
        <v>Forest</v>
      </c>
      <c r="G3805" s="156" t="str">
        <f>'Reported burning'!G3805</f>
        <v>Forest</v>
      </c>
      <c r="H3805" s="156" t="str">
        <f>'Reported burning'!H3805</f>
        <v>Presence</v>
      </c>
      <c r="I3805" s="5"/>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204"/>
      <c r="AB3805" s="82" t="s">
        <v>9852</v>
      </c>
    </row>
    <row r="3806" spans="1:28" ht="42" customHeight="1">
      <c r="A3806" s="156" t="str">
        <f>'Reported burning'!A3806</f>
        <v>408p</v>
      </c>
      <c r="B3806" s="156" t="str">
        <f>'Reported burning'!B3806</f>
        <v>408p.4</v>
      </c>
      <c r="C3806" s="156" t="str">
        <f>'Reported burning'!C3806</f>
        <v>Human, deliberate</v>
      </c>
      <c r="D3806" s="156" t="str">
        <f>'Reported burning'!D3806</f>
        <v>Forest clearance</v>
      </c>
      <c r="E3806" s="156" t="str">
        <f>'Reported burning'!E3806</f>
        <v>Forestry, Industrial</v>
      </c>
      <c r="F3806" s="156" t="str">
        <f>'Reported burning'!F3806</f>
        <v>Forest</v>
      </c>
      <c r="G3806" s="156" t="str">
        <f>'Reported burning'!G3806</f>
        <v>Forest</v>
      </c>
      <c r="H3806" s="156" t="str">
        <f>'Reported burning'!H3806</f>
        <v>Presence</v>
      </c>
      <c r="I3806" s="5"/>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204"/>
      <c r="AB3806" s="82" t="s">
        <v>9852</v>
      </c>
    </row>
    <row r="3807" spans="1:28" ht="42" customHeight="1">
      <c r="A3807" s="156" t="str">
        <f>'Reported burning'!A3807</f>
        <v>408q</v>
      </c>
      <c r="B3807" s="156" t="str">
        <f>'Reported burning'!B3807</f>
        <v>408q.4</v>
      </c>
      <c r="C3807" s="156" t="str">
        <f>'Reported burning'!C3807</f>
        <v>Human, deliberate</v>
      </c>
      <c r="D3807" s="156" t="str">
        <f>'Reported burning'!D3807</f>
        <v>Forest clearance</v>
      </c>
      <c r="E3807" s="156" t="str">
        <f>'Reported burning'!E3807</f>
        <v>Forestry, Industrial</v>
      </c>
      <c r="F3807" s="156" t="str">
        <f>'Reported burning'!F3807</f>
        <v>Forest</v>
      </c>
      <c r="G3807" s="156" t="str">
        <f>'Reported burning'!G3807</f>
        <v>Forest</v>
      </c>
      <c r="H3807" s="156" t="str">
        <f>'Reported burning'!H3807</f>
        <v>Presence</v>
      </c>
      <c r="I3807" s="5"/>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204"/>
      <c r="AB3807" s="82" t="s">
        <v>9852</v>
      </c>
    </row>
    <row r="3808" spans="1:28" ht="48.5" customHeight="1">
      <c r="A3808" s="156" t="str">
        <f>'Reported burning'!A3808</f>
        <v>408r</v>
      </c>
      <c r="B3808" s="156" t="str">
        <f>'Reported burning'!B3808</f>
        <v>408r.4</v>
      </c>
      <c r="C3808" s="156" t="str">
        <f>'Reported burning'!C3808</f>
        <v>Human, deliberate</v>
      </c>
      <c r="D3808" s="156" t="str">
        <f>'Reported burning'!D3808</f>
        <v>Forest clearance</v>
      </c>
      <c r="E3808" s="156" t="str">
        <f>'Reported burning'!E3808</f>
        <v>Forestry, Industrial</v>
      </c>
      <c r="F3808" s="156" t="str">
        <f>'Reported burning'!F3808</f>
        <v>Forest</v>
      </c>
      <c r="G3808" s="156" t="str">
        <f>'Reported burning'!G3808</f>
        <v>Forest</v>
      </c>
      <c r="H3808" s="156" t="str">
        <f>'Reported burning'!H3808</f>
        <v>Presence</v>
      </c>
      <c r="I3808" s="5"/>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204"/>
      <c r="AB3808" s="82" t="s">
        <v>9852</v>
      </c>
    </row>
    <row r="3809" spans="1:28" ht="48.5" customHeight="1">
      <c r="A3809" s="152" t="str">
        <f>'Reported burning'!A3809</f>
        <v>409a</v>
      </c>
      <c r="B3809" s="152" t="str">
        <f>'Reported burning'!B3809</f>
        <v>409a.1</v>
      </c>
      <c r="C3809" s="152" t="str">
        <f>'Reported burning'!C3809</f>
        <v>Human, escaped</v>
      </c>
      <c r="D3809" s="152" t="str">
        <f>'Reported burning'!D3809</f>
        <v>ND</v>
      </c>
      <c r="E3809" s="152" t="str">
        <f>'Reported burning'!E3809</f>
        <v>Forestry, Traditional</v>
      </c>
      <c r="F3809" s="152" t="str">
        <f>'Reported burning'!F3809</f>
        <v>Shrubland (Mixed forest &amp; grassland)</v>
      </c>
      <c r="G3809" s="152" t="str">
        <f>'Reported burning'!G3809</f>
        <v>Cropland</v>
      </c>
      <c r="H3809" s="152" t="str">
        <f>'Reported burning'!H3809</f>
        <v>Presence</v>
      </c>
      <c r="I3809" s="204"/>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204"/>
      <c r="AB3809" s="204"/>
    </row>
    <row r="3810" spans="1:28" ht="48.5" customHeight="1">
      <c r="A3810" s="152" t="str">
        <f>'Reported burning'!A3810</f>
        <v>409a</v>
      </c>
      <c r="B3810" s="152" t="str">
        <f>'Reported burning'!B3810</f>
        <v>409a.2</v>
      </c>
      <c r="C3810" s="152" t="str">
        <f>'Reported burning'!C3810</f>
        <v>Human, deliberate</v>
      </c>
      <c r="D3810" s="152" t="str">
        <f>'Reported burning'!D3810</f>
        <v>Hunting</v>
      </c>
      <c r="E3810" s="152" t="str">
        <f>'Reported burning'!E3810</f>
        <v>Forestry, Traditional</v>
      </c>
      <c r="F3810" s="152" t="str">
        <f>'Reported burning'!F3810</f>
        <v>Shrubland (Mixed forest &amp; grassland)</v>
      </c>
      <c r="G3810" s="152" t="str">
        <f>'Reported burning'!G3810</f>
        <v>Shrubland (Mixed forest &amp; grassland)</v>
      </c>
      <c r="H3810" s="152" t="str">
        <f>'Reported burning'!H3810</f>
        <v>Presence</v>
      </c>
      <c r="I3810" s="204"/>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4" t="s">
        <v>9865</v>
      </c>
      <c r="AB3810" s="204"/>
    </row>
    <row r="3811" spans="1:28" ht="48.5" customHeight="1">
      <c r="A3811" s="152" t="str">
        <f>'Reported burning'!A3811</f>
        <v>409a</v>
      </c>
      <c r="B3811" s="152" t="str">
        <f>'Reported burning'!B3811</f>
        <v>409a.3</v>
      </c>
      <c r="C3811" s="152" t="str">
        <f>'Reported burning'!C3811</f>
        <v>Human, deliberate</v>
      </c>
      <c r="D3811" s="152" t="str">
        <f>'Reported burning'!D3811</f>
        <v>Pyrome management</v>
      </c>
      <c r="E3811" s="152" t="str">
        <f>'Reported burning'!E3811</f>
        <v>Forestry, Traditional</v>
      </c>
      <c r="F3811" s="152" t="str">
        <f>'Reported burning'!F3811</f>
        <v>Shrubland (Mixed forest &amp; grassland)</v>
      </c>
      <c r="G3811" s="152" t="str">
        <f>'Reported burning'!G3811</f>
        <v>Shrubland (Mixed forest &amp; grassland)</v>
      </c>
      <c r="H3811" s="152" t="str">
        <f>'Reported burning'!H3811</f>
        <v>Presence</v>
      </c>
      <c r="I3811" s="204"/>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4" t="s">
        <v>9865</v>
      </c>
      <c r="AB3811" s="204"/>
    </row>
    <row r="3812" spans="1:28" ht="48.5" customHeight="1">
      <c r="A3812" s="152" t="str">
        <f>'Reported burning'!A3812</f>
        <v>409a</v>
      </c>
      <c r="B3812" s="152" t="str">
        <f>'Reported burning'!B3812</f>
        <v>409a.4</v>
      </c>
      <c r="C3812" s="152" t="str">
        <f>'Reported burning'!C3812</f>
        <v>Human, deliberate</v>
      </c>
      <c r="D3812" s="152" t="str">
        <f>'Reported burning'!D3812</f>
        <v>Cultural &amp; Spiritual</v>
      </c>
      <c r="E3812" s="152" t="str">
        <f>'Reported burning'!E3812</f>
        <v>Forestry, Traditional</v>
      </c>
      <c r="F3812" s="152" t="str">
        <f>'Reported burning'!F3812</f>
        <v>Shrubland (Mixed forest &amp; grassland)</v>
      </c>
      <c r="G3812" s="152" t="str">
        <f>'Reported burning'!G3812</f>
        <v>Shrubland (Mixed forest &amp; grassland)</v>
      </c>
      <c r="H3812" s="152" t="str">
        <f>'Reported burning'!H3812</f>
        <v>Presence</v>
      </c>
      <c r="I3812" s="204"/>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4" t="s">
        <v>9865</v>
      </c>
      <c r="AB3812" s="204"/>
    </row>
    <row r="3813" spans="1:28" ht="48.5" customHeight="1">
      <c r="A3813" s="152" t="str">
        <f>'Reported burning'!A3813</f>
        <v>409a</v>
      </c>
      <c r="B3813" s="152" t="str">
        <f>'Reported burning'!B3813</f>
        <v>409a.5</v>
      </c>
      <c r="C3813" s="152" t="str">
        <f>'Reported burning'!C3813</f>
        <v>Human, deliberate</v>
      </c>
      <c r="D3813" s="152" t="str">
        <f>'Reported burning'!D3813</f>
        <v>Harvesting of Timber</v>
      </c>
      <c r="E3813" s="152" t="str">
        <f>'Reported burning'!E3813</f>
        <v>Forestry, Small-scale</v>
      </c>
      <c r="F3813" s="152" t="str">
        <f>'Reported burning'!F3813</f>
        <v>Shrubland (Mixed forest &amp; grassland)</v>
      </c>
      <c r="G3813" s="152" t="str">
        <f>'Reported burning'!G3813</f>
        <v>Shrubland (Mixed forest &amp; grassland)</v>
      </c>
      <c r="H3813" s="152" t="str">
        <f>'Reported burning'!H3813</f>
        <v>Presence</v>
      </c>
      <c r="I3813" s="204"/>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82" t="s">
        <v>9862</v>
      </c>
      <c r="AB3813" s="204"/>
    </row>
    <row r="3814" spans="1:28" ht="48.5" customHeight="1">
      <c r="A3814" s="152" t="str">
        <f>'Reported burning'!A3814</f>
        <v>409a</v>
      </c>
      <c r="B3814" s="152" t="str">
        <f>'Reported burning'!B3814</f>
        <v>409a.6</v>
      </c>
      <c r="C3814" s="152" t="str">
        <f>'Reported burning'!C3814</f>
        <v>Human, escaped</v>
      </c>
      <c r="D3814" s="152" t="str">
        <f>'Reported burning'!D3814</f>
        <v>Harvesting of Timber</v>
      </c>
      <c r="E3814" s="152" t="str">
        <f>'Reported burning'!E3814</f>
        <v>Forestry, Small-scale</v>
      </c>
      <c r="F3814" s="152" t="str">
        <f>'Reported burning'!F3814</f>
        <v>Shrubland (Mixed forest &amp; grassland)</v>
      </c>
      <c r="G3814" s="152" t="str">
        <f>'Reported burning'!G3814</f>
        <v>Shrubland (Mixed forest &amp; grassland)</v>
      </c>
      <c r="H3814" s="152" t="str">
        <f>'Reported burning'!H3814</f>
        <v>Presence</v>
      </c>
      <c r="I3814" s="204"/>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204"/>
      <c r="AB3814" s="204"/>
    </row>
    <row r="3815" spans="1:28" ht="48.5" customHeight="1">
      <c r="A3815" s="152" t="str">
        <f>'Reported burning'!A3815</f>
        <v>409a</v>
      </c>
      <c r="B3815" s="152" t="str">
        <f>'Reported burning'!B3815</f>
        <v>409a.7</v>
      </c>
      <c r="C3815" s="152" t="str">
        <f>'Reported burning'!C3815</f>
        <v>Human, escaped</v>
      </c>
      <c r="D3815" s="152" t="str">
        <f>'Reported burning'!D3815</f>
        <v>Pyrome management</v>
      </c>
      <c r="E3815" s="152" t="str">
        <f>'Reported burning'!E3815</f>
        <v>Forestry, Traditional</v>
      </c>
      <c r="F3815" s="152" t="str">
        <f>'Reported burning'!F3815</f>
        <v>Forest</v>
      </c>
      <c r="G3815" s="152" t="str">
        <f>'Reported burning'!G3815</f>
        <v>Forest</v>
      </c>
      <c r="H3815" s="152" t="str">
        <f>'Reported burning'!H3815</f>
        <v>Presence</v>
      </c>
      <c r="I3815" s="204"/>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21" t="s">
        <v>2375</v>
      </c>
      <c r="X3815" s="75" t="s">
        <v>2276</v>
      </c>
      <c r="Y3815" s="75" t="s">
        <v>2276</v>
      </c>
      <c r="Z3815" s="75" t="s">
        <v>2276</v>
      </c>
      <c r="AA3815" s="4" t="s">
        <v>9866</v>
      </c>
      <c r="AB3815" s="204"/>
    </row>
    <row r="3816" spans="1:28" ht="46" customHeight="1">
      <c r="A3816" s="156" t="str">
        <f>'Reported burning'!A3816</f>
        <v>410a</v>
      </c>
      <c r="B3816" s="156" t="str">
        <f>'Reported burning'!B3816</f>
        <v>410a.1</v>
      </c>
      <c r="C3816" s="156" t="str">
        <f>'Reported burning'!C3816</f>
        <v>Human, deliberate</v>
      </c>
      <c r="D3816" s="156" t="str">
        <f>'Reported burning'!D3816</f>
        <v>Forest clearance</v>
      </c>
      <c r="E3816" s="156" t="str">
        <f>'Reported burning'!E3816</f>
        <v>Cropping, Swidden</v>
      </c>
      <c r="F3816" s="156" t="str">
        <f>'Reported burning'!F3816</f>
        <v>Forest</v>
      </c>
      <c r="G3816" s="156" t="str">
        <f>'Reported burning'!G3816</f>
        <v>Forest</v>
      </c>
      <c r="H3816" s="156" t="str">
        <f>'Reported burning'!H3816</f>
        <v>Presence</v>
      </c>
      <c r="I3816" s="5"/>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204"/>
      <c r="AB3816" s="204"/>
    </row>
    <row r="3817" spans="1:28" ht="46" customHeight="1">
      <c r="A3817" s="156" t="str">
        <f>'Reported burning'!A3817</f>
        <v>410a</v>
      </c>
      <c r="B3817" s="156" t="str">
        <f>'Reported burning'!B3817</f>
        <v>410a.2</v>
      </c>
      <c r="C3817" s="156" t="str">
        <f>'Reported burning'!C3817</f>
        <v>Human, deliberate</v>
      </c>
      <c r="D3817" s="156" t="str">
        <f>'Reported burning'!D3817</f>
        <v>Crop field preparation</v>
      </c>
      <c r="E3817" s="156" t="str">
        <f>'Reported burning'!E3817</f>
        <v>Cropping, Monoculture, Subsistence-oriented</v>
      </c>
      <c r="F3817" s="156" t="str">
        <f>'Reported burning'!F3817</f>
        <v>Forest</v>
      </c>
      <c r="G3817" s="156" t="str">
        <f>'Reported burning'!G3817</f>
        <v>Forest</v>
      </c>
      <c r="H3817" s="156" t="str">
        <f>'Reported burning'!H3817</f>
        <v>Presence</v>
      </c>
      <c r="I3817" s="5"/>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204"/>
      <c r="AB3817" s="204"/>
    </row>
    <row r="3818" spans="1:28" ht="46" customHeight="1">
      <c r="A3818" s="156" t="str">
        <f>'Reported burning'!A3818</f>
        <v>410a</v>
      </c>
      <c r="B3818" s="156" t="str">
        <f>'Reported burning'!B3818</f>
        <v>410a.3</v>
      </c>
      <c r="C3818" s="156" t="str">
        <f>'Reported burning'!C3818</f>
        <v>Human, deliberate</v>
      </c>
      <c r="D3818" s="156" t="str">
        <f>'Reported burning'!D3818</f>
        <v>Forest clearance</v>
      </c>
      <c r="E3818" s="156" t="str">
        <f>'Reported burning'!E3818</f>
        <v>Agroforestry, Subsistence-oriented</v>
      </c>
      <c r="F3818" s="156" t="str">
        <f>'Reported burning'!F3818</f>
        <v>Forest</v>
      </c>
      <c r="G3818" s="156" t="str">
        <f>'Reported burning'!G3818</f>
        <v>Forest</v>
      </c>
      <c r="H3818" s="156" t="str">
        <f>'Reported burning'!H3818</f>
        <v>Presence</v>
      </c>
      <c r="I3818" s="5"/>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204"/>
      <c r="AB3818" s="204"/>
    </row>
    <row r="3819" spans="1:28">
      <c r="A3819" s="156">
        <f>'Reported burning'!A3819</f>
        <v>0</v>
      </c>
      <c r="B3819" s="156">
        <f>'Reported burning'!B3819</f>
        <v>0</v>
      </c>
      <c r="C3819" s="156">
        <f>'Reported burning'!C3819</f>
        <v>0</v>
      </c>
      <c r="D3819" s="156">
        <f>'Reported burning'!D3819</f>
        <v>0</v>
      </c>
      <c r="E3819" s="156">
        <f>'Reported burning'!E3819</f>
        <v>0</v>
      </c>
      <c r="F3819" s="156">
        <f>'Reported burning'!F3819</f>
        <v>0</v>
      </c>
      <c r="G3819" s="156">
        <f>'Reported burning'!G3819</f>
        <v>0</v>
      </c>
      <c r="H3819" s="156">
        <f>'Reported burning'!H3819</f>
        <v>0</v>
      </c>
      <c r="I3819" s="5"/>
    </row>
    <row r="3820" spans="1:28">
      <c r="A3820" s="156">
        <f>'Reported burning'!A3820</f>
        <v>0</v>
      </c>
      <c r="B3820" s="156">
        <f>'Reported burning'!B3820</f>
        <v>0</v>
      </c>
      <c r="C3820" s="156">
        <f>'Reported burning'!C3820</f>
        <v>0</v>
      </c>
      <c r="D3820" s="156">
        <f>'Reported burning'!D3820</f>
        <v>0</v>
      </c>
      <c r="E3820" s="156">
        <f>'Reported burning'!E3820</f>
        <v>0</v>
      </c>
      <c r="F3820" s="156">
        <f>'Reported burning'!F3820</f>
        <v>0</v>
      </c>
      <c r="G3820" s="156">
        <f>'Reported burning'!G3820</f>
        <v>0</v>
      </c>
      <c r="H3820" s="156">
        <f>'Reported burning'!H3820</f>
        <v>0</v>
      </c>
      <c r="I3820" s="5"/>
    </row>
    <row r="3821" spans="1:28">
      <c r="A3821" s="156">
        <f>'Reported burning'!A3821</f>
        <v>0</v>
      </c>
      <c r="B3821" s="156">
        <f>'Reported burning'!B3821</f>
        <v>0</v>
      </c>
      <c r="C3821" s="156">
        <f>'Reported burning'!C3821</f>
        <v>0</v>
      </c>
      <c r="D3821" s="156">
        <f>'Reported burning'!D3821</f>
        <v>0</v>
      </c>
      <c r="E3821" s="156">
        <f>'Reported burning'!E3821</f>
        <v>0</v>
      </c>
      <c r="F3821" s="156">
        <f>'Reported burning'!F3821</f>
        <v>0</v>
      </c>
      <c r="G3821" s="156">
        <f>'Reported burning'!G3821</f>
        <v>0</v>
      </c>
      <c r="H3821" s="156">
        <f>'Reported burning'!H3821</f>
        <v>0</v>
      </c>
      <c r="I3821" s="5"/>
    </row>
    <row r="3822" spans="1:28">
      <c r="A3822" s="156">
        <f>'Reported burning'!A3822</f>
        <v>0</v>
      </c>
      <c r="B3822" s="156">
        <f>'Reported burning'!B3822</f>
        <v>0</v>
      </c>
      <c r="C3822" s="156">
        <f>'Reported burning'!C3822</f>
        <v>0</v>
      </c>
      <c r="D3822" s="156">
        <f>'Reported burning'!D3822</f>
        <v>0</v>
      </c>
      <c r="E3822" s="156">
        <f>'Reported burning'!E3822</f>
        <v>0</v>
      </c>
      <c r="F3822" s="156">
        <f>'Reported burning'!F3822</f>
        <v>0</v>
      </c>
      <c r="G3822" s="156">
        <f>'Reported burning'!G3822</f>
        <v>0</v>
      </c>
      <c r="H3822" s="156">
        <f>'Reported burning'!H3822</f>
        <v>0</v>
      </c>
      <c r="I3822" s="5"/>
    </row>
    <row r="3823" spans="1:28">
      <c r="A3823" s="156">
        <f>'Reported burning'!A3823</f>
        <v>0</v>
      </c>
      <c r="B3823" s="156">
        <f>'Reported burning'!B3823</f>
        <v>0</v>
      </c>
      <c r="C3823" s="156">
        <f>'Reported burning'!C3823</f>
        <v>0</v>
      </c>
      <c r="D3823" s="156">
        <f>'Reported burning'!D3823</f>
        <v>0</v>
      </c>
      <c r="E3823" s="156">
        <f>'Reported burning'!E3823</f>
        <v>0</v>
      </c>
      <c r="F3823" s="156">
        <f>'Reported burning'!F3823</f>
        <v>0</v>
      </c>
      <c r="G3823" s="156">
        <f>'Reported burning'!G3823</f>
        <v>0</v>
      </c>
      <c r="H3823" s="156">
        <f>'Reported burning'!H3823</f>
        <v>0</v>
      </c>
      <c r="I3823" s="5"/>
    </row>
    <row r="3824" spans="1:28">
      <c r="A3824" s="156">
        <f>'Reported burning'!A3824</f>
        <v>0</v>
      </c>
      <c r="B3824" s="156">
        <f>'Reported burning'!B3824</f>
        <v>0</v>
      </c>
      <c r="C3824" s="156">
        <f>'Reported burning'!C3824</f>
        <v>0</v>
      </c>
      <c r="D3824" s="156">
        <f>'Reported burning'!D3824</f>
        <v>0</v>
      </c>
      <c r="E3824" s="156">
        <f>'Reported burning'!E3824</f>
        <v>0</v>
      </c>
      <c r="F3824" s="156">
        <f>'Reported burning'!F3824</f>
        <v>0</v>
      </c>
      <c r="G3824" s="156">
        <f>'Reported burning'!G3824</f>
        <v>0</v>
      </c>
      <c r="H3824" s="156">
        <f>'Reported burning'!H3824</f>
        <v>0</v>
      </c>
      <c r="I3824" s="5"/>
    </row>
    <row r="3825" spans="1:9">
      <c r="A3825" s="156">
        <f>'Reported burning'!A3825</f>
        <v>0</v>
      </c>
      <c r="B3825" s="156">
        <f>'Reported burning'!B3825</f>
        <v>0</v>
      </c>
      <c r="C3825" s="156">
        <f>'Reported burning'!C3825</f>
        <v>0</v>
      </c>
      <c r="D3825" s="156">
        <f>'Reported burning'!D3825</f>
        <v>0</v>
      </c>
      <c r="E3825" s="156">
        <f>'Reported burning'!E3825</f>
        <v>0</v>
      </c>
      <c r="F3825" s="156">
        <f>'Reported burning'!F3825</f>
        <v>0</v>
      </c>
      <c r="G3825" s="156">
        <f>'Reported burning'!G3825</f>
        <v>0</v>
      </c>
      <c r="H3825" s="156">
        <f>'Reported burning'!H3825</f>
        <v>0</v>
      </c>
      <c r="I3825" s="5"/>
    </row>
    <row r="3826" spans="1:9">
      <c r="A3826" s="156">
        <f>'Reported burning'!A3826</f>
        <v>0</v>
      </c>
      <c r="B3826" s="156">
        <f>'Reported burning'!B3826</f>
        <v>0</v>
      </c>
      <c r="C3826" s="156">
        <f>'Reported burning'!C3826</f>
        <v>0</v>
      </c>
      <c r="D3826" s="156">
        <f>'Reported burning'!D3826</f>
        <v>0</v>
      </c>
      <c r="E3826" s="156">
        <f>'Reported burning'!E3826</f>
        <v>0</v>
      </c>
      <c r="F3826" s="156">
        <f>'Reported burning'!F3826</f>
        <v>0</v>
      </c>
      <c r="G3826" s="156">
        <f>'Reported burning'!G3826</f>
        <v>0</v>
      </c>
      <c r="H3826" s="156">
        <f>'Reported burning'!H3826</f>
        <v>0</v>
      </c>
      <c r="I3826" s="5"/>
    </row>
    <row r="3827" spans="1:9">
      <c r="A3827" s="156">
        <f>'Reported burning'!A3827</f>
        <v>0</v>
      </c>
      <c r="B3827" s="156">
        <f>'Reported burning'!B3827</f>
        <v>0</v>
      </c>
      <c r="C3827" s="156">
        <f>'Reported burning'!C3827</f>
        <v>0</v>
      </c>
      <c r="D3827" s="156">
        <f>'Reported burning'!D3827</f>
        <v>0</v>
      </c>
      <c r="E3827" s="156">
        <f>'Reported burning'!E3827</f>
        <v>0</v>
      </c>
      <c r="F3827" s="156">
        <f>'Reported burning'!F3827</f>
        <v>0</v>
      </c>
      <c r="G3827" s="156">
        <f>'Reported burning'!G3827</f>
        <v>0</v>
      </c>
      <c r="H3827" s="156">
        <f>'Reported burning'!H3827</f>
        <v>0</v>
      </c>
      <c r="I3827" s="5"/>
    </row>
    <row r="3828" spans="1:9">
      <c r="A3828" s="156">
        <f>'Reported burning'!A3828</f>
        <v>0</v>
      </c>
      <c r="B3828" s="156">
        <f>'Reported burning'!B3828</f>
        <v>0</v>
      </c>
      <c r="C3828" s="156">
        <f>'Reported burning'!C3828</f>
        <v>0</v>
      </c>
      <c r="D3828" s="156">
        <f>'Reported burning'!D3828</f>
        <v>0</v>
      </c>
      <c r="E3828" s="156">
        <f>'Reported burning'!E3828</f>
        <v>0</v>
      </c>
      <c r="F3828" s="156">
        <f>'Reported burning'!F3828</f>
        <v>0</v>
      </c>
      <c r="G3828" s="156">
        <f>'Reported burning'!G3828</f>
        <v>0</v>
      </c>
      <c r="H3828" s="156">
        <f>'Reported burning'!H3828</f>
        <v>0</v>
      </c>
      <c r="I3828" s="5"/>
    </row>
    <row r="3829" spans="1:9">
      <c r="A3829" s="156">
        <f>'Reported burning'!A3829</f>
        <v>0</v>
      </c>
      <c r="B3829" s="156">
        <f>'Reported burning'!B3829</f>
        <v>0</v>
      </c>
      <c r="C3829" s="156">
        <f>'Reported burning'!C3829</f>
        <v>0</v>
      </c>
      <c r="D3829" s="156">
        <f>'Reported burning'!D3829</f>
        <v>0</v>
      </c>
      <c r="E3829" s="156">
        <f>'Reported burning'!E3829</f>
        <v>0</v>
      </c>
      <c r="F3829" s="156">
        <f>'Reported burning'!F3829</f>
        <v>0</v>
      </c>
      <c r="G3829" s="156">
        <f>'Reported burning'!G3829</f>
        <v>0</v>
      </c>
      <c r="H3829" s="156">
        <f>'Reported burning'!H3829</f>
        <v>0</v>
      </c>
      <c r="I3829" s="5"/>
    </row>
    <row r="3830" spans="1:9">
      <c r="A3830" s="156">
        <f>'Reported burning'!A3830</f>
        <v>0</v>
      </c>
      <c r="B3830" s="156">
        <f>'Reported burning'!B3830</f>
        <v>0</v>
      </c>
      <c r="C3830" s="156">
        <f>'Reported burning'!C3830</f>
        <v>0</v>
      </c>
      <c r="D3830" s="156">
        <f>'Reported burning'!D3830</f>
        <v>0</v>
      </c>
      <c r="E3830" s="156">
        <f>'Reported burning'!E3830</f>
        <v>0</v>
      </c>
      <c r="F3830" s="156">
        <f>'Reported burning'!F3830</f>
        <v>0</v>
      </c>
      <c r="G3830" s="156">
        <f>'Reported burning'!G3830</f>
        <v>0</v>
      </c>
      <c r="H3830" s="156">
        <f>'Reported burning'!H3830</f>
        <v>0</v>
      </c>
      <c r="I3830" s="5"/>
    </row>
    <row r="3831" spans="1:9">
      <c r="A3831" s="156">
        <f>'Reported burning'!A3831</f>
        <v>0</v>
      </c>
      <c r="B3831" s="156">
        <f>'Reported burning'!B3831</f>
        <v>0</v>
      </c>
      <c r="C3831" s="156">
        <f>'Reported burning'!C3831</f>
        <v>0</v>
      </c>
      <c r="D3831" s="156">
        <f>'Reported burning'!D3831</f>
        <v>0</v>
      </c>
      <c r="E3831" s="156">
        <f>'Reported burning'!E3831</f>
        <v>0</v>
      </c>
      <c r="F3831" s="156">
        <f>'Reported burning'!F3831</f>
        <v>0</v>
      </c>
      <c r="G3831" s="156">
        <f>'Reported burning'!G3831</f>
        <v>0</v>
      </c>
      <c r="H3831" s="156">
        <f>'Reported burning'!H3831</f>
        <v>0</v>
      </c>
      <c r="I3831" s="5"/>
    </row>
    <row r="3832" spans="1:9">
      <c r="A3832" s="156">
        <f>'Reported burning'!A3832</f>
        <v>0</v>
      </c>
      <c r="B3832" s="156">
        <f>'Reported burning'!B3832</f>
        <v>0</v>
      </c>
      <c r="C3832" s="156">
        <f>'Reported burning'!C3832</f>
        <v>0</v>
      </c>
      <c r="D3832" s="156">
        <f>'Reported burning'!D3832</f>
        <v>0</v>
      </c>
      <c r="E3832" s="156">
        <f>'Reported burning'!E3832</f>
        <v>0</v>
      </c>
      <c r="F3832" s="156">
        <f>'Reported burning'!F3832</f>
        <v>0</v>
      </c>
      <c r="G3832" s="156">
        <f>'Reported burning'!G3832</f>
        <v>0</v>
      </c>
      <c r="H3832" s="156">
        <f>'Reported burning'!H3832</f>
        <v>0</v>
      </c>
      <c r="I3832" s="5"/>
    </row>
    <row r="3833" spans="1:9">
      <c r="A3833" s="156">
        <f>'Reported burning'!A3833</f>
        <v>0</v>
      </c>
      <c r="B3833" s="156">
        <f>'Reported burning'!B3833</f>
        <v>0</v>
      </c>
      <c r="C3833" s="156">
        <f>'Reported burning'!C3833</f>
        <v>0</v>
      </c>
      <c r="D3833" s="156">
        <f>'Reported burning'!D3833</f>
        <v>0</v>
      </c>
      <c r="E3833" s="156">
        <f>'Reported burning'!E3833</f>
        <v>0</v>
      </c>
      <c r="F3833" s="156">
        <f>'Reported burning'!F3833</f>
        <v>0</v>
      </c>
      <c r="G3833" s="156">
        <f>'Reported burning'!G3833</f>
        <v>0</v>
      </c>
      <c r="H3833" s="156">
        <f>'Reported burning'!H3833</f>
        <v>0</v>
      </c>
      <c r="I3833" s="5"/>
    </row>
    <row r="3834" spans="1:9">
      <c r="A3834" s="156">
        <f>'Reported burning'!A3834</f>
        <v>0</v>
      </c>
      <c r="B3834" s="156">
        <f>'Reported burning'!B3834</f>
        <v>0</v>
      </c>
      <c r="C3834" s="156">
        <f>'Reported burning'!C3834</f>
        <v>0</v>
      </c>
      <c r="D3834" s="156">
        <f>'Reported burning'!D3834</f>
        <v>0</v>
      </c>
      <c r="E3834" s="156">
        <f>'Reported burning'!E3834</f>
        <v>0</v>
      </c>
      <c r="F3834" s="156">
        <f>'Reported burning'!F3834</f>
        <v>0</v>
      </c>
      <c r="G3834" s="156">
        <f>'Reported burning'!G3834</f>
        <v>0</v>
      </c>
      <c r="H3834" s="156">
        <f>'Reported burning'!H3834</f>
        <v>0</v>
      </c>
      <c r="I3834" s="5"/>
    </row>
    <row r="3835" spans="1:9">
      <c r="A3835" s="156">
        <f>'Reported burning'!A3835</f>
        <v>0</v>
      </c>
      <c r="B3835" s="156">
        <f>'Reported burning'!B3835</f>
        <v>0</v>
      </c>
      <c r="C3835" s="156">
        <f>'Reported burning'!C3835</f>
        <v>0</v>
      </c>
      <c r="D3835" s="156">
        <f>'Reported burning'!D3835</f>
        <v>0</v>
      </c>
      <c r="E3835" s="156">
        <f>'Reported burning'!E3835</f>
        <v>0</v>
      </c>
      <c r="F3835" s="156">
        <f>'Reported burning'!F3835</f>
        <v>0</v>
      </c>
      <c r="G3835" s="156">
        <f>'Reported burning'!G3835</f>
        <v>0</v>
      </c>
      <c r="H3835" s="156">
        <f>'Reported burning'!H3835</f>
        <v>0</v>
      </c>
      <c r="I3835" s="5"/>
    </row>
    <row r="3836" spans="1:9">
      <c r="A3836" s="156">
        <f>'Reported burning'!A3836</f>
        <v>0</v>
      </c>
      <c r="B3836" s="156">
        <f>'Reported burning'!B3836</f>
        <v>0</v>
      </c>
      <c r="C3836" s="156">
        <f>'Reported burning'!C3836</f>
        <v>0</v>
      </c>
      <c r="D3836" s="156">
        <f>'Reported burning'!D3836</f>
        <v>0</v>
      </c>
      <c r="E3836" s="156">
        <f>'Reported burning'!E3836</f>
        <v>0</v>
      </c>
      <c r="F3836" s="156">
        <f>'Reported burning'!F3836</f>
        <v>0</v>
      </c>
      <c r="G3836" s="156">
        <f>'Reported burning'!G3836</f>
        <v>0</v>
      </c>
      <c r="H3836" s="156">
        <f>'Reported burning'!H3836</f>
        <v>0</v>
      </c>
      <c r="I3836" s="5"/>
    </row>
    <row r="3837" spans="1:9">
      <c r="A3837" s="156">
        <f>'Reported burning'!A3837</f>
        <v>0</v>
      </c>
      <c r="B3837" s="156">
        <f>'Reported burning'!B3837</f>
        <v>0</v>
      </c>
      <c r="C3837" s="156">
        <f>'Reported burning'!C3837</f>
        <v>0</v>
      </c>
      <c r="D3837" s="156">
        <f>'Reported burning'!D3837</f>
        <v>0</v>
      </c>
      <c r="E3837" s="156">
        <f>'Reported burning'!E3837</f>
        <v>0</v>
      </c>
      <c r="F3837" s="156">
        <f>'Reported burning'!F3837</f>
        <v>0</v>
      </c>
      <c r="G3837" s="156">
        <f>'Reported burning'!G3837</f>
        <v>0</v>
      </c>
      <c r="H3837" s="156">
        <f>'Reported burning'!H3837</f>
        <v>0</v>
      </c>
      <c r="I3837" s="5"/>
    </row>
    <row r="3838" spans="1:9">
      <c r="A3838" s="156">
        <f>'Reported burning'!A3838</f>
        <v>0</v>
      </c>
      <c r="B3838" s="156">
        <f>'Reported burning'!B3838</f>
        <v>0</v>
      </c>
      <c r="C3838" s="156">
        <f>'Reported burning'!C3838</f>
        <v>0</v>
      </c>
      <c r="D3838" s="156">
        <f>'Reported burning'!D3838</f>
        <v>0</v>
      </c>
      <c r="E3838" s="156">
        <f>'Reported burning'!E3838</f>
        <v>0</v>
      </c>
      <c r="F3838" s="156">
        <f>'Reported burning'!F3838</f>
        <v>0</v>
      </c>
      <c r="G3838" s="156">
        <f>'Reported burning'!G3838</f>
        <v>0</v>
      </c>
      <c r="H3838" s="156">
        <f>'Reported burning'!H3838</f>
        <v>0</v>
      </c>
      <c r="I3838" s="5"/>
    </row>
    <row r="3839" spans="1:9">
      <c r="A3839" s="156">
        <f>'Reported burning'!A3839</f>
        <v>0</v>
      </c>
      <c r="B3839" s="156">
        <f>'Reported burning'!B3839</f>
        <v>0</v>
      </c>
      <c r="C3839" s="156">
        <f>'Reported burning'!C3839</f>
        <v>0</v>
      </c>
      <c r="D3839" s="156">
        <f>'Reported burning'!D3839</f>
        <v>0</v>
      </c>
      <c r="E3839" s="156">
        <f>'Reported burning'!E3839</f>
        <v>0</v>
      </c>
      <c r="F3839" s="156">
        <f>'Reported burning'!F3839</f>
        <v>0</v>
      </c>
      <c r="G3839" s="156">
        <f>'Reported burning'!G3839</f>
        <v>0</v>
      </c>
      <c r="H3839" s="156">
        <f>'Reported burning'!H3839</f>
        <v>0</v>
      </c>
      <c r="I3839" s="5"/>
    </row>
    <row r="3840" spans="1:9">
      <c r="A3840" s="156">
        <f>'Reported burning'!A3840</f>
        <v>0</v>
      </c>
      <c r="B3840" s="156">
        <f>'Reported burning'!B3840</f>
        <v>0</v>
      </c>
      <c r="C3840" s="156">
        <f>'Reported burning'!C3840</f>
        <v>0</v>
      </c>
      <c r="D3840" s="156">
        <f>'Reported burning'!D3840</f>
        <v>0</v>
      </c>
      <c r="E3840" s="156">
        <f>'Reported burning'!E3840</f>
        <v>0</v>
      </c>
      <c r="F3840" s="156">
        <f>'Reported burning'!F3840</f>
        <v>0</v>
      </c>
      <c r="G3840" s="156">
        <f>'Reported burning'!G3840</f>
        <v>0</v>
      </c>
      <c r="H3840" s="156">
        <f>'Reported burning'!H3840</f>
        <v>0</v>
      </c>
      <c r="I3840" s="5"/>
    </row>
    <row r="3841" spans="1:9">
      <c r="A3841" s="156">
        <f>'Reported burning'!A3841</f>
        <v>0</v>
      </c>
      <c r="B3841" s="156">
        <f>'Reported burning'!B3841</f>
        <v>0</v>
      </c>
      <c r="C3841" s="156">
        <f>'Reported burning'!C3841</f>
        <v>0</v>
      </c>
      <c r="D3841" s="156">
        <f>'Reported burning'!D3841</f>
        <v>0</v>
      </c>
      <c r="E3841" s="156">
        <f>'Reported burning'!E3841</f>
        <v>0</v>
      </c>
      <c r="F3841" s="156">
        <f>'Reported burning'!F3841</f>
        <v>0</v>
      </c>
      <c r="G3841" s="156">
        <f>'Reported burning'!G3841</f>
        <v>0</v>
      </c>
      <c r="H3841" s="156">
        <f>'Reported burning'!H3841</f>
        <v>0</v>
      </c>
      <c r="I3841" s="5"/>
    </row>
    <row r="3842" spans="1:9">
      <c r="A3842" s="156">
        <f>'Reported burning'!A3842</f>
        <v>0</v>
      </c>
      <c r="B3842" s="156">
        <f>'Reported burning'!B3842</f>
        <v>0</v>
      </c>
      <c r="C3842" s="156">
        <f>'Reported burning'!C3842</f>
        <v>0</v>
      </c>
      <c r="D3842" s="156">
        <f>'Reported burning'!D3842</f>
        <v>0</v>
      </c>
      <c r="E3842" s="156">
        <f>'Reported burning'!E3842</f>
        <v>0</v>
      </c>
      <c r="F3842" s="156">
        <f>'Reported burning'!F3842</f>
        <v>0</v>
      </c>
      <c r="G3842" s="156">
        <f>'Reported burning'!G3842</f>
        <v>0</v>
      </c>
      <c r="H3842" s="156">
        <f>'Reported burning'!H3842</f>
        <v>0</v>
      </c>
      <c r="I3842" s="5"/>
    </row>
    <row r="3843" spans="1:9">
      <c r="A3843" s="156">
        <f>'Reported burning'!A3843</f>
        <v>0</v>
      </c>
      <c r="B3843" s="156">
        <f>'Reported burning'!B3843</f>
        <v>0</v>
      </c>
      <c r="C3843" s="156">
        <f>'Reported burning'!C3843</f>
        <v>0</v>
      </c>
      <c r="D3843" s="156">
        <f>'Reported burning'!D3843</f>
        <v>0</v>
      </c>
      <c r="E3843" s="156">
        <f>'Reported burning'!E3843</f>
        <v>0</v>
      </c>
      <c r="F3843" s="156">
        <f>'Reported burning'!F3843</f>
        <v>0</v>
      </c>
      <c r="G3843" s="156">
        <f>'Reported burning'!G3843</f>
        <v>0</v>
      </c>
      <c r="H3843" s="156">
        <f>'Reported burning'!H3843</f>
        <v>0</v>
      </c>
      <c r="I3843" s="5"/>
    </row>
    <row r="3844" spans="1:9">
      <c r="A3844" s="156">
        <f>'Reported burning'!A3844</f>
        <v>0</v>
      </c>
      <c r="B3844" s="156">
        <f>'Reported burning'!B3844</f>
        <v>0</v>
      </c>
      <c r="C3844" s="156">
        <f>'Reported burning'!C3844</f>
        <v>0</v>
      </c>
      <c r="D3844" s="156">
        <f>'Reported burning'!D3844</f>
        <v>0</v>
      </c>
      <c r="E3844" s="156">
        <f>'Reported burning'!E3844</f>
        <v>0</v>
      </c>
      <c r="F3844" s="156">
        <f>'Reported burning'!F3844</f>
        <v>0</v>
      </c>
      <c r="G3844" s="156">
        <f>'Reported burning'!G3844</f>
        <v>0</v>
      </c>
      <c r="H3844" s="156">
        <f>'Reported burning'!H3844</f>
        <v>0</v>
      </c>
      <c r="I3844" s="5"/>
    </row>
    <row r="3845" spans="1:9">
      <c r="A3845" s="156">
        <f>'Reported burning'!A3845</f>
        <v>0</v>
      </c>
      <c r="B3845" s="156">
        <f>'Reported burning'!B3845</f>
        <v>0</v>
      </c>
      <c r="C3845" s="156">
        <f>'Reported burning'!C3845</f>
        <v>0</v>
      </c>
      <c r="D3845" s="156">
        <f>'Reported burning'!D3845</f>
        <v>0</v>
      </c>
      <c r="E3845" s="156">
        <f>'Reported burning'!E3845</f>
        <v>0</v>
      </c>
      <c r="F3845" s="156">
        <f>'Reported burning'!F3845</f>
        <v>0</v>
      </c>
      <c r="G3845" s="156">
        <f>'Reported burning'!G3845</f>
        <v>0</v>
      </c>
      <c r="H3845" s="156">
        <f>'Reported burning'!H3845</f>
        <v>0</v>
      </c>
      <c r="I3845" s="5"/>
    </row>
    <row r="3846" spans="1:9">
      <c r="A3846" s="156">
        <f>'Reported burning'!A3846</f>
        <v>0</v>
      </c>
      <c r="B3846" s="156">
        <f>'Reported burning'!B3846</f>
        <v>0</v>
      </c>
      <c r="C3846" s="156">
        <f>'Reported burning'!C3846</f>
        <v>0</v>
      </c>
      <c r="D3846" s="156">
        <f>'Reported burning'!D3846</f>
        <v>0</v>
      </c>
      <c r="E3846" s="156">
        <f>'Reported burning'!E3846</f>
        <v>0</v>
      </c>
      <c r="F3846" s="156">
        <f>'Reported burning'!F3846</f>
        <v>0</v>
      </c>
      <c r="G3846" s="156">
        <f>'Reported burning'!G3846</f>
        <v>0</v>
      </c>
      <c r="H3846" s="156">
        <f>'Reported burning'!H3846</f>
        <v>0</v>
      </c>
      <c r="I3846" s="5"/>
    </row>
    <row r="3847" spans="1:9">
      <c r="A3847" s="156">
        <f>'Reported burning'!A3847</f>
        <v>0</v>
      </c>
      <c r="B3847" s="156">
        <f>'Reported burning'!B3847</f>
        <v>0</v>
      </c>
      <c r="C3847" s="156">
        <f>'Reported burning'!C3847</f>
        <v>0</v>
      </c>
      <c r="D3847" s="156">
        <f>'Reported burning'!D3847</f>
        <v>0</v>
      </c>
      <c r="E3847" s="156">
        <f>'Reported burning'!E3847</f>
        <v>0</v>
      </c>
      <c r="F3847" s="156">
        <f>'Reported burning'!F3847</f>
        <v>0</v>
      </c>
      <c r="G3847" s="156">
        <f>'Reported burning'!G3847</f>
        <v>0</v>
      </c>
      <c r="H3847" s="156">
        <f>'Reported burning'!H3847</f>
        <v>0</v>
      </c>
      <c r="I3847" s="5"/>
    </row>
    <row r="3848" spans="1:9">
      <c r="A3848" s="156">
        <f>'Reported burning'!A3848</f>
        <v>0</v>
      </c>
      <c r="B3848" s="156">
        <f>'Reported burning'!B3848</f>
        <v>0</v>
      </c>
      <c r="C3848" s="156">
        <f>'Reported burning'!C3848</f>
        <v>0</v>
      </c>
      <c r="D3848" s="156">
        <f>'Reported burning'!D3848</f>
        <v>0</v>
      </c>
      <c r="E3848" s="156">
        <f>'Reported burning'!E3848</f>
        <v>0</v>
      </c>
      <c r="F3848" s="156">
        <f>'Reported burning'!F3848</f>
        <v>0</v>
      </c>
      <c r="G3848" s="156">
        <f>'Reported burning'!G3848</f>
        <v>0</v>
      </c>
      <c r="H3848" s="156">
        <f>'Reported burning'!H3848</f>
        <v>0</v>
      </c>
      <c r="I3848" s="5"/>
    </row>
    <row r="3849" spans="1:9">
      <c r="A3849" s="156">
        <f>'Reported burning'!A3849</f>
        <v>0</v>
      </c>
      <c r="B3849" s="156">
        <f>'Reported burning'!B3849</f>
        <v>0</v>
      </c>
      <c r="C3849" s="156">
        <f>'Reported burning'!C3849</f>
        <v>0</v>
      </c>
      <c r="D3849" s="156">
        <f>'Reported burning'!D3849</f>
        <v>0</v>
      </c>
      <c r="E3849" s="156">
        <f>'Reported burning'!E3849</f>
        <v>0</v>
      </c>
      <c r="F3849" s="156">
        <f>'Reported burning'!F3849</f>
        <v>0</v>
      </c>
      <c r="G3849" s="156">
        <f>'Reported burning'!G3849</f>
        <v>0</v>
      </c>
      <c r="H3849" s="156">
        <f>'Reported burning'!H3849</f>
        <v>0</v>
      </c>
      <c r="I3849" s="5"/>
    </row>
    <row r="3850" spans="1:9">
      <c r="A3850" s="156">
        <f>'Reported burning'!A3850</f>
        <v>0</v>
      </c>
      <c r="B3850" s="156">
        <f>'Reported burning'!B3850</f>
        <v>0</v>
      </c>
      <c r="C3850" s="156">
        <f>'Reported burning'!C3850</f>
        <v>0</v>
      </c>
      <c r="D3850" s="156">
        <f>'Reported burning'!D3850</f>
        <v>0</v>
      </c>
      <c r="E3850" s="156">
        <f>'Reported burning'!E3850</f>
        <v>0</v>
      </c>
      <c r="F3850" s="156">
        <f>'Reported burning'!F3850</f>
        <v>0</v>
      </c>
      <c r="G3850" s="156">
        <f>'Reported burning'!G3850</f>
        <v>0</v>
      </c>
      <c r="H3850" s="156">
        <f>'Reported burning'!H3850</f>
        <v>0</v>
      </c>
      <c r="I3850" s="5"/>
    </row>
    <row r="3851" spans="1:9">
      <c r="A3851" s="156">
        <f>'Reported burning'!A3851</f>
        <v>0</v>
      </c>
      <c r="B3851" s="156">
        <f>'Reported burning'!B3851</f>
        <v>0</v>
      </c>
      <c r="C3851" s="156">
        <f>'Reported burning'!C3851</f>
        <v>0</v>
      </c>
      <c r="D3851" s="156">
        <f>'Reported burning'!D3851</f>
        <v>0</v>
      </c>
      <c r="E3851" s="156">
        <f>'Reported burning'!E3851</f>
        <v>0</v>
      </c>
      <c r="F3851" s="156">
        <f>'Reported burning'!F3851</f>
        <v>0</v>
      </c>
      <c r="G3851" s="156">
        <f>'Reported burning'!G3851</f>
        <v>0</v>
      </c>
      <c r="H3851" s="156">
        <f>'Reported burning'!H3851</f>
        <v>0</v>
      </c>
      <c r="I3851" s="5"/>
    </row>
    <row r="3852" spans="1:9">
      <c r="A3852" s="156">
        <f>'Reported burning'!A3852</f>
        <v>0</v>
      </c>
      <c r="B3852" s="156">
        <f>'Reported burning'!B3852</f>
        <v>0</v>
      </c>
      <c r="C3852" s="156">
        <f>'Reported burning'!C3852</f>
        <v>0</v>
      </c>
      <c r="D3852" s="156">
        <f>'Reported burning'!D3852</f>
        <v>0</v>
      </c>
      <c r="E3852" s="156">
        <f>'Reported burning'!E3852</f>
        <v>0</v>
      </c>
      <c r="F3852" s="156">
        <f>'Reported burning'!F3852</f>
        <v>0</v>
      </c>
      <c r="G3852" s="156">
        <f>'Reported burning'!G3852</f>
        <v>0</v>
      </c>
      <c r="H3852" s="156">
        <f>'Reported burning'!H3852</f>
        <v>0</v>
      </c>
      <c r="I3852" s="5"/>
    </row>
    <row r="3853" spans="1:9">
      <c r="A3853" s="156">
        <f>'Reported burning'!A3853</f>
        <v>0</v>
      </c>
      <c r="B3853" s="156">
        <f>'Reported burning'!B3853</f>
        <v>0</v>
      </c>
      <c r="C3853" s="156">
        <f>'Reported burning'!C3853</f>
        <v>0</v>
      </c>
      <c r="D3853" s="156">
        <f>'Reported burning'!D3853</f>
        <v>0</v>
      </c>
      <c r="E3853" s="156">
        <f>'Reported burning'!E3853</f>
        <v>0</v>
      </c>
      <c r="F3853" s="156">
        <f>'Reported burning'!F3853</f>
        <v>0</v>
      </c>
      <c r="G3853" s="156">
        <f>'Reported burning'!G3853</f>
        <v>0</v>
      </c>
      <c r="H3853" s="156">
        <f>'Reported burning'!H3853</f>
        <v>0</v>
      </c>
      <c r="I3853" s="5"/>
    </row>
    <row r="3854" spans="1:9">
      <c r="A3854" s="156">
        <f>'Reported burning'!A3854</f>
        <v>0</v>
      </c>
      <c r="B3854" s="156">
        <f>'Reported burning'!B3854</f>
        <v>0</v>
      </c>
      <c r="C3854" s="156">
        <f>'Reported burning'!C3854</f>
        <v>0</v>
      </c>
      <c r="D3854" s="156">
        <f>'Reported burning'!D3854</f>
        <v>0</v>
      </c>
      <c r="E3854" s="156">
        <f>'Reported burning'!E3854</f>
        <v>0</v>
      </c>
      <c r="F3854" s="156">
        <f>'Reported burning'!F3854</f>
        <v>0</v>
      </c>
      <c r="G3854" s="156">
        <f>'Reported burning'!G3854</f>
        <v>0</v>
      </c>
      <c r="H3854" s="156">
        <f>'Reported burning'!H3854</f>
        <v>0</v>
      </c>
      <c r="I3854" s="5"/>
    </row>
    <row r="3855" spans="1:9">
      <c r="A3855" s="156">
        <f>'Reported burning'!A3855</f>
        <v>0</v>
      </c>
      <c r="B3855" s="156">
        <f>'Reported burning'!B3855</f>
        <v>0</v>
      </c>
      <c r="C3855" s="156">
        <f>'Reported burning'!C3855</f>
        <v>0</v>
      </c>
      <c r="D3855" s="156">
        <f>'Reported burning'!D3855</f>
        <v>0</v>
      </c>
      <c r="E3855" s="156">
        <f>'Reported burning'!E3855</f>
        <v>0</v>
      </c>
      <c r="F3855" s="156">
        <f>'Reported burning'!F3855</f>
        <v>0</v>
      </c>
      <c r="G3855" s="156">
        <f>'Reported burning'!G3855</f>
        <v>0</v>
      </c>
      <c r="H3855" s="156">
        <f>'Reported burning'!H3855</f>
        <v>0</v>
      </c>
      <c r="I3855" s="5"/>
    </row>
    <row r="3856" spans="1:9">
      <c r="A3856" s="156">
        <f>'Reported burning'!A3856</f>
        <v>0</v>
      </c>
      <c r="B3856" s="156">
        <f>'Reported burning'!B3856</f>
        <v>0</v>
      </c>
      <c r="C3856" s="156">
        <f>'Reported burning'!C3856</f>
        <v>0</v>
      </c>
      <c r="D3856" s="156">
        <f>'Reported burning'!D3856</f>
        <v>0</v>
      </c>
      <c r="E3856" s="156">
        <f>'Reported burning'!E3856</f>
        <v>0</v>
      </c>
      <c r="F3856" s="156">
        <f>'Reported burning'!F3856</f>
        <v>0</v>
      </c>
      <c r="G3856" s="156">
        <f>'Reported burning'!G3856</f>
        <v>0</v>
      </c>
      <c r="H3856" s="156">
        <f>'Reported burning'!H3856</f>
        <v>0</v>
      </c>
      <c r="I3856" s="5"/>
    </row>
    <row r="3857" spans="1:9">
      <c r="A3857" s="156">
        <f>'Reported burning'!A3857</f>
        <v>0</v>
      </c>
      <c r="B3857" s="156">
        <f>'Reported burning'!B3857</f>
        <v>0</v>
      </c>
      <c r="C3857" s="156">
        <f>'Reported burning'!C3857</f>
        <v>0</v>
      </c>
      <c r="D3857" s="156">
        <f>'Reported burning'!D3857</f>
        <v>0</v>
      </c>
      <c r="E3857" s="156">
        <f>'Reported burning'!E3857</f>
        <v>0</v>
      </c>
      <c r="F3857" s="156">
        <f>'Reported burning'!F3857</f>
        <v>0</v>
      </c>
      <c r="G3857" s="156">
        <f>'Reported burning'!G3857</f>
        <v>0</v>
      </c>
      <c r="H3857" s="156">
        <f>'Reported burning'!H3857</f>
        <v>0</v>
      </c>
      <c r="I3857" s="5"/>
    </row>
    <row r="3858" spans="1:9">
      <c r="A3858" s="156">
        <f>'Reported burning'!A3858</f>
        <v>0</v>
      </c>
      <c r="B3858" s="156">
        <f>'Reported burning'!B3858</f>
        <v>0</v>
      </c>
      <c r="C3858" s="156">
        <f>'Reported burning'!C3858</f>
        <v>0</v>
      </c>
      <c r="D3858" s="156">
        <f>'Reported burning'!D3858</f>
        <v>0</v>
      </c>
      <c r="E3858" s="156">
        <f>'Reported burning'!E3858</f>
        <v>0</v>
      </c>
      <c r="F3858" s="156">
        <f>'Reported burning'!F3858</f>
        <v>0</v>
      </c>
      <c r="G3858" s="156">
        <f>'Reported burning'!G3858</f>
        <v>0</v>
      </c>
      <c r="H3858" s="156">
        <f>'Reported burning'!H3858</f>
        <v>0</v>
      </c>
      <c r="I3858" s="5"/>
    </row>
    <row r="3859" spans="1:9">
      <c r="A3859" s="156">
        <f>'Reported burning'!A3859</f>
        <v>0</v>
      </c>
      <c r="B3859" s="156">
        <f>'Reported burning'!B3859</f>
        <v>0</v>
      </c>
      <c r="C3859" s="156">
        <f>'Reported burning'!C3859</f>
        <v>0</v>
      </c>
      <c r="D3859" s="156">
        <f>'Reported burning'!D3859</f>
        <v>0</v>
      </c>
      <c r="E3859" s="156">
        <f>'Reported burning'!E3859</f>
        <v>0</v>
      </c>
      <c r="F3859" s="156">
        <f>'Reported burning'!F3859</f>
        <v>0</v>
      </c>
      <c r="G3859" s="156">
        <f>'Reported burning'!G3859</f>
        <v>0</v>
      </c>
      <c r="H3859" s="156">
        <f>'Reported burning'!H3859</f>
        <v>0</v>
      </c>
      <c r="I3859" s="5"/>
    </row>
    <row r="3860" spans="1:9">
      <c r="A3860" s="156">
        <f>'Reported burning'!A3860</f>
        <v>0</v>
      </c>
      <c r="B3860" s="156">
        <f>'Reported burning'!B3860</f>
        <v>0</v>
      </c>
      <c r="C3860" s="156">
        <f>'Reported burning'!C3860</f>
        <v>0</v>
      </c>
      <c r="D3860" s="156">
        <f>'Reported burning'!D3860</f>
        <v>0</v>
      </c>
      <c r="E3860" s="156">
        <f>'Reported burning'!E3860</f>
        <v>0</v>
      </c>
      <c r="F3860" s="156">
        <f>'Reported burning'!F3860</f>
        <v>0</v>
      </c>
      <c r="G3860" s="156">
        <f>'Reported burning'!G3860</f>
        <v>0</v>
      </c>
      <c r="H3860" s="156">
        <f>'Reported burning'!H3860</f>
        <v>0</v>
      </c>
      <c r="I3860" s="5"/>
    </row>
    <row r="3861" spans="1:9">
      <c r="A3861" s="156">
        <f>'Reported burning'!A3861</f>
        <v>0</v>
      </c>
      <c r="B3861" s="156">
        <f>'Reported burning'!B3861</f>
        <v>0</v>
      </c>
      <c r="C3861" s="156">
        <f>'Reported burning'!C3861</f>
        <v>0</v>
      </c>
      <c r="D3861" s="156">
        <f>'Reported burning'!D3861</f>
        <v>0</v>
      </c>
      <c r="E3861" s="156">
        <f>'Reported burning'!E3861</f>
        <v>0</v>
      </c>
      <c r="F3861" s="156">
        <f>'Reported burning'!F3861</f>
        <v>0</v>
      </c>
      <c r="G3861" s="156">
        <f>'Reported burning'!G3861</f>
        <v>0</v>
      </c>
      <c r="H3861" s="156">
        <f>'Reported burning'!H3861</f>
        <v>0</v>
      </c>
      <c r="I3861" s="5"/>
    </row>
    <row r="3862" spans="1:9">
      <c r="A3862" s="156">
        <f>'Reported burning'!A3862</f>
        <v>0</v>
      </c>
      <c r="B3862" s="156">
        <f>'Reported burning'!B3862</f>
        <v>0</v>
      </c>
      <c r="C3862" s="156">
        <f>'Reported burning'!C3862</f>
        <v>0</v>
      </c>
      <c r="D3862" s="156">
        <f>'Reported burning'!D3862</f>
        <v>0</v>
      </c>
      <c r="E3862" s="156">
        <f>'Reported burning'!E3862</f>
        <v>0</v>
      </c>
      <c r="F3862" s="156">
        <f>'Reported burning'!F3862</f>
        <v>0</v>
      </c>
      <c r="G3862" s="156">
        <f>'Reported burning'!G3862</f>
        <v>0</v>
      </c>
      <c r="H3862" s="156">
        <f>'Reported burning'!H3862</f>
        <v>0</v>
      </c>
      <c r="I3862" s="5"/>
    </row>
    <row r="3863" spans="1:9">
      <c r="A3863" s="156">
        <f>'Reported burning'!A3863</f>
        <v>0</v>
      </c>
      <c r="B3863" s="156">
        <f>'Reported burning'!B3863</f>
        <v>0</v>
      </c>
      <c r="C3863" s="156">
        <f>'Reported burning'!C3863</f>
        <v>0</v>
      </c>
      <c r="D3863" s="156">
        <f>'Reported burning'!D3863</f>
        <v>0</v>
      </c>
      <c r="E3863" s="156">
        <f>'Reported burning'!E3863</f>
        <v>0</v>
      </c>
      <c r="F3863" s="156">
        <f>'Reported burning'!F3863</f>
        <v>0</v>
      </c>
      <c r="G3863" s="156">
        <f>'Reported burning'!G3863</f>
        <v>0</v>
      </c>
      <c r="H3863" s="156">
        <f>'Reported burning'!H3863</f>
        <v>0</v>
      </c>
      <c r="I3863" s="5"/>
    </row>
    <row r="3864" spans="1:9">
      <c r="A3864" s="156">
        <f>'Reported burning'!A3864</f>
        <v>0</v>
      </c>
      <c r="B3864" s="156">
        <f>'Reported burning'!B3864</f>
        <v>0</v>
      </c>
      <c r="C3864" s="156">
        <f>'Reported burning'!C3864</f>
        <v>0</v>
      </c>
      <c r="D3864" s="156">
        <f>'Reported burning'!D3864</f>
        <v>0</v>
      </c>
      <c r="E3864" s="156">
        <f>'Reported burning'!E3864</f>
        <v>0</v>
      </c>
      <c r="F3864" s="156">
        <f>'Reported burning'!F3864</f>
        <v>0</v>
      </c>
      <c r="G3864" s="156">
        <f>'Reported burning'!G3864</f>
        <v>0</v>
      </c>
      <c r="H3864" s="156">
        <f>'Reported burning'!H3864</f>
        <v>0</v>
      </c>
      <c r="I3864" s="5"/>
    </row>
    <row r="3865" spans="1:9">
      <c r="A3865" s="156">
        <f>'Reported burning'!A3865</f>
        <v>0</v>
      </c>
      <c r="B3865" s="156">
        <f>'Reported burning'!B3865</f>
        <v>0</v>
      </c>
      <c r="C3865" s="156">
        <f>'Reported burning'!C3865</f>
        <v>0</v>
      </c>
      <c r="D3865" s="156">
        <f>'Reported burning'!D3865</f>
        <v>0</v>
      </c>
      <c r="E3865" s="156">
        <f>'Reported burning'!E3865</f>
        <v>0</v>
      </c>
      <c r="F3865" s="156">
        <f>'Reported burning'!F3865</f>
        <v>0</v>
      </c>
      <c r="G3865" s="156">
        <f>'Reported burning'!G3865</f>
        <v>0</v>
      </c>
      <c r="H3865" s="156">
        <f>'Reported burning'!H3865</f>
        <v>0</v>
      </c>
      <c r="I3865" s="5"/>
    </row>
    <row r="3866" spans="1:9">
      <c r="A3866" s="156">
        <f>'Reported burning'!A3866</f>
        <v>0</v>
      </c>
      <c r="B3866" s="156">
        <f>'Reported burning'!B3866</f>
        <v>0</v>
      </c>
      <c r="C3866" s="156">
        <f>'Reported burning'!C3866</f>
        <v>0</v>
      </c>
      <c r="D3866" s="156">
        <f>'Reported burning'!D3866</f>
        <v>0</v>
      </c>
      <c r="E3866" s="156">
        <f>'Reported burning'!E3866</f>
        <v>0</v>
      </c>
      <c r="F3866" s="156">
        <f>'Reported burning'!F3866</f>
        <v>0</v>
      </c>
      <c r="G3866" s="156">
        <f>'Reported burning'!G3866</f>
        <v>0</v>
      </c>
      <c r="H3866" s="156">
        <f>'Reported burning'!H3866</f>
        <v>0</v>
      </c>
      <c r="I3866" s="5"/>
    </row>
    <row r="3867" spans="1:9">
      <c r="A3867" s="156">
        <f>'Reported burning'!A3867</f>
        <v>0</v>
      </c>
      <c r="B3867" s="156">
        <f>'Reported burning'!B3867</f>
        <v>0</v>
      </c>
      <c r="C3867" s="156">
        <f>'Reported burning'!C3867</f>
        <v>0</v>
      </c>
      <c r="D3867" s="156">
        <f>'Reported burning'!D3867</f>
        <v>0</v>
      </c>
      <c r="E3867" s="156">
        <f>'Reported burning'!E3867</f>
        <v>0</v>
      </c>
      <c r="F3867" s="156">
        <f>'Reported burning'!F3867</f>
        <v>0</v>
      </c>
      <c r="G3867" s="156">
        <f>'Reported burning'!G3867</f>
        <v>0</v>
      </c>
      <c r="H3867" s="156">
        <f>'Reported burning'!H3867</f>
        <v>0</v>
      </c>
      <c r="I3867" s="5"/>
    </row>
    <row r="3868" spans="1:9">
      <c r="A3868" s="156">
        <f>'Reported burning'!A3868</f>
        <v>0</v>
      </c>
      <c r="B3868" s="156">
        <f>'Reported burning'!B3868</f>
        <v>0</v>
      </c>
      <c r="C3868" s="156">
        <f>'Reported burning'!C3868</f>
        <v>0</v>
      </c>
      <c r="D3868" s="156">
        <f>'Reported burning'!D3868</f>
        <v>0</v>
      </c>
      <c r="E3868" s="156">
        <f>'Reported burning'!E3868</f>
        <v>0</v>
      </c>
      <c r="F3868" s="156">
        <f>'Reported burning'!F3868</f>
        <v>0</v>
      </c>
      <c r="G3868" s="156">
        <f>'Reported burning'!G3868</f>
        <v>0</v>
      </c>
      <c r="H3868" s="156">
        <f>'Reported burning'!H3868</f>
        <v>0</v>
      </c>
      <c r="I3868" s="5"/>
    </row>
    <row r="3869" spans="1:9">
      <c r="A3869" s="156">
        <f>'Reported burning'!A3869</f>
        <v>0</v>
      </c>
      <c r="B3869" s="156">
        <f>'Reported burning'!B3869</f>
        <v>0</v>
      </c>
      <c r="C3869" s="156">
        <f>'Reported burning'!C3869</f>
        <v>0</v>
      </c>
      <c r="D3869" s="156">
        <f>'Reported burning'!D3869</f>
        <v>0</v>
      </c>
      <c r="E3869" s="156">
        <f>'Reported burning'!E3869</f>
        <v>0</v>
      </c>
      <c r="F3869" s="156">
        <f>'Reported burning'!F3869</f>
        <v>0</v>
      </c>
      <c r="G3869" s="156">
        <f>'Reported burning'!G3869</f>
        <v>0</v>
      </c>
      <c r="H3869" s="156">
        <f>'Reported burning'!H3869</f>
        <v>0</v>
      </c>
      <c r="I3869" s="5"/>
    </row>
    <row r="3870" spans="1:9">
      <c r="A3870" s="156">
        <f>'Reported burning'!A3870</f>
        <v>0</v>
      </c>
      <c r="B3870" s="156">
        <f>'Reported burning'!B3870</f>
        <v>0</v>
      </c>
      <c r="C3870" s="156">
        <f>'Reported burning'!C3870</f>
        <v>0</v>
      </c>
      <c r="D3870" s="156">
        <f>'Reported burning'!D3870</f>
        <v>0</v>
      </c>
      <c r="E3870" s="156">
        <f>'Reported burning'!E3870</f>
        <v>0</v>
      </c>
      <c r="F3870" s="156">
        <f>'Reported burning'!F3870</f>
        <v>0</v>
      </c>
      <c r="G3870" s="156">
        <f>'Reported burning'!G3870</f>
        <v>0</v>
      </c>
      <c r="H3870" s="156">
        <f>'Reported burning'!H3870</f>
        <v>0</v>
      </c>
      <c r="I3870" s="5"/>
    </row>
    <row r="3871" spans="1:9">
      <c r="A3871" s="156">
        <f>'Reported burning'!A3871</f>
        <v>0</v>
      </c>
      <c r="B3871" s="156">
        <f>'Reported burning'!B3871</f>
        <v>0</v>
      </c>
      <c r="C3871" s="156">
        <f>'Reported burning'!C3871</f>
        <v>0</v>
      </c>
      <c r="D3871" s="156">
        <f>'Reported burning'!D3871</f>
        <v>0</v>
      </c>
      <c r="E3871" s="156">
        <f>'Reported burning'!E3871</f>
        <v>0</v>
      </c>
      <c r="F3871" s="156">
        <f>'Reported burning'!F3871</f>
        <v>0</v>
      </c>
      <c r="G3871" s="156">
        <f>'Reported burning'!G3871</f>
        <v>0</v>
      </c>
      <c r="H3871" s="156">
        <f>'Reported burning'!H3871</f>
        <v>0</v>
      </c>
      <c r="I3871" s="5"/>
    </row>
    <row r="3872" spans="1:9">
      <c r="A3872" s="156">
        <f>'Reported burning'!A3872</f>
        <v>0</v>
      </c>
      <c r="B3872" s="156">
        <f>'Reported burning'!B3872</f>
        <v>0</v>
      </c>
      <c r="C3872" s="156">
        <f>'Reported burning'!C3872</f>
        <v>0</v>
      </c>
      <c r="D3872" s="156">
        <f>'Reported burning'!D3872</f>
        <v>0</v>
      </c>
      <c r="E3872" s="156">
        <f>'Reported burning'!E3872</f>
        <v>0</v>
      </c>
      <c r="F3872" s="156">
        <f>'Reported burning'!F3872</f>
        <v>0</v>
      </c>
      <c r="G3872" s="156">
        <f>'Reported burning'!G3872</f>
        <v>0</v>
      </c>
      <c r="H3872" s="156">
        <f>'Reported burning'!H3872</f>
        <v>0</v>
      </c>
      <c r="I3872" s="5"/>
    </row>
    <row r="3873" spans="1:9">
      <c r="A3873" s="156">
        <f>'Reported burning'!A3873</f>
        <v>0</v>
      </c>
      <c r="B3873" s="156">
        <f>'Reported burning'!B3873</f>
        <v>0</v>
      </c>
      <c r="C3873" s="156">
        <f>'Reported burning'!C3873</f>
        <v>0</v>
      </c>
      <c r="D3873" s="156">
        <f>'Reported burning'!D3873</f>
        <v>0</v>
      </c>
      <c r="E3873" s="156">
        <f>'Reported burning'!E3873</f>
        <v>0</v>
      </c>
      <c r="F3873" s="156">
        <f>'Reported burning'!F3873</f>
        <v>0</v>
      </c>
      <c r="G3873" s="156">
        <f>'Reported burning'!G3873</f>
        <v>0</v>
      </c>
      <c r="H3873" s="156">
        <f>'Reported burning'!H3873</f>
        <v>0</v>
      </c>
      <c r="I3873" s="5"/>
    </row>
    <row r="3874" spans="1:9">
      <c r="A3874" s="156">
        <f>'Reported burning'!A3874</f>
        <v>0</v>
      </c>
      <c r="B3874" s="156">
        <f>'Reported burning'!B3874</f>
        <v>0</v>
      </c>
      <c r="C3874" s="156">
        <f>'Reported burning'!C3874</f>
        <v>0</v>
      </c>
      <c r="D3874" s="156">
        <f>'Reported burning'!D3874</f>
        <v>0</v>
      </c>
      <c r="E3874" s="156">
        <f>'Reported burning'!E3874</f>
        <v>0</v>
      </c>
      <c r="F3874" s="156">
        <f>'Reported burning'!F3874</f>
        <v>0</v>
      </c>
      <c r="G3874" s="156">
        <f>'Reported burning'!G3874</f>
        <v>0</v>
      </c>
      <c r="H3874" s="156">
        <f>'Reported burning'!H3874</f>
        <v>0</v>
      </c>
      <c r="I3874" s="5"/>
    </row>
    <row r="3875" spans="1:9">
      <c r="A3875" s="156">
        <f>'Reported burning'!A3875</f>
        <v>0</v>
      </c>
      <c r="B3875" s="156">
        <f>'Reported burning'!B3875</f>
        <v>0</v>
      </c>
      <c r="C3875" s="156">
        <f>'Reported burning'!C3875</f>
        <v>0</v>
      </c>
      <c r="D3875" s="156">
        <f>'Reported burning'!D3875</f>
        <v>0</v>
      </c>
      <c r="E3875" s="156">
        <f>'Reported burning'!E3875</f>
        <v>0</v>
      </c>
      <c r="F3875" s="156">
        <f>'Reported burning'!F3875</f>
        <v>0</v>
      </c>
      <c r="G3875" s="156">
        <f>'Reported burning'!G3875</f>
        <v>0</v>
      </c>
      <c r="H3875" s="156">
        <f>'Reported burning'!H3875</f>
        <v>0</v>
      </c>
      <c r="I3875" s="5"/>
    </row>
    <row r="3876" spans="1:9">
      <c r="A3876" s="156">
        <f>'Reported burning'!A3876</f>
        <v>0</v>
      </c>
      <c r="B3876" s="156">
        <f>'Reported burning'!B3876</f>
        <v>0</v>
      </c>
      <c r="C3876" s="156">
        <f>'Reported burning'!C3876</f>
        <v>0</v>
      </c>
      <c r="D3876" s="156">
        <f>'Reported burning'!D3876</f>
        <v>0</v>
      </c>
      <c r="E3876" s="156">
        <f>'Reported burning'!E3876</f>
        <v>0</v>
      </c>
      <c r="F3876" s="156">
        <f>'Reported burning'!F3876</f>
        <v>0</v>
      </c>
      <c r="G3876" s="156">
        <f>'Reported burning'!G3876</f>
        <v>0</v>
      </c>
      <c r="H3876" s="156">
        <f>'Reported burning'!H3876</f>
        <v>0</v>
      </c>
      <c r="I3876" s="5"/>
    </row>
    <row r="3877" spans="1:9">
      <c r="A3877" s="156">
        <f>'Reported burning'!A3877</f>
        <v>0</v>
      </c>
      <c r="B3877" s="156">
        <f>'Reported burning'!B3877</f>
        <v>0</v>
      </c>
      <c r="C3877" s="156">
        <f>'Reported burning'!C3877</f>
        <v>0</v>
      </c>
      <c r="D3877" s="156">
        <f>'Reported burning'!D3877</f>
        <v>0</v>
      </c>
      <c r="E3877" s="156">
        <f>'Reported burning'!E3877</f>
        <v>0</v>
      </c>
      <c r="F3877" s="156">
        <f>'Reported burning'!F3877</f>
        <v>0</v>
      </c>
      <c r="G3877" s="156">
        <f>'Reported burning'!G3877</f>
        <v>0</v>
      </c>
      <c r="H3877" s="156">
        <f>'Reported burning'!H3877</f>
        <v>0</v>
      </c>
      <c r="I3877" s="5"/>
    </row>
    <row r="3878" spans="1:9">
      <c r="A3878" s="156">
        <f>'Reported burning'!A3878</f>
        <v>0</v>
      </c>
      <c r="B3878" s="156">
        <f>'Reported burning'!B3878</f>
        <v>0</v>
      </c>
      <c r="C3878" s="156">
        <f>'Reported burning'!C3878</f>
        <v>0</v>
      </c>
      <c r="D3878" s="156">
        <f>'Reported burning'!D3878</f>
        <v>0</v>
      </c>
      <c r="E3878" s="156">
        <f>'Reported burning'!E3878</f>
        <v>0</v>
      </c>
      <c r="F3878" s="156">
        <f>'Reported burning'!F3878</f>
        <v>0</v>
      </c>
      <c r="G3878" s="156">
        <f>'Reported burning'!G3878</f>
        <v>0</v>
      </c>
      <c r="H3878" s="156">
        <f>'Reported burning'!H3878</f>
        <v>0</v>
      </c>
      <c r="I3878" s="5"/>
    </row>
    <row r="3879" spans="1:9">
      <c r="A3879" s="156">
        <f>'Reported burning'!A3879</f>
        <v>0</v>
      </c>
      <c r="B3879" s="156">
        <f>'Reported burning'!B3879</f>
        <v>0</v>
      </c>
      <c r="C3879" s="156">
        <f>'Reported burning'!C3879</f>
        <v>0</v>
      </c>
      <c r="D3879" s="156">
        <f>'Reported burning'!D3879</f>
        <v>0</v>
      </c>
      <c r="E3879" s="156">
        <f>'Reported burning'!E3879</f>
        <v>0</v>
      </c>
      <c r="F3879" s="156">
        <f>'Reported burning'!F3879</f>
        <v>0</v>
      </c>
      <c r="G3879" s="156">
        <f>'Reported burning'!G3879</f>
        <v>0</v>
      </c>
      <c r="H3879" s="156">
        <f>'Reported burning'!H3879</f>
        <v>0</v>
      </c>
      <c r="I3879" s="5"/>
    </row>
    <row r="3880" spans="1:9">
      <c r="A3880" s="156">
        <f>'Reported burning'!A3880</f>
        <v>0</v>
      </c>
      <c r="B3880" s="156">
        <f>'Reported burning'!B3880</f>
        <v>0</v>
      </c>
      <c r="C3880" s="156">
        <f>'Reported burning'!C3880</f>
        <v>0</v>
      </c>
      <c r="D3880" s="156">
        <f>'Reported burning'!D3880</f>
        <v>0</v>
      </c>
      <c r="E3880" s="156">
        <f>'Reported burning'!E3880</f>
        <v>0</v>
      </c>
      <c r="F3880" s="156">
        <f>'Reported burning'!F3880</f>
        <v>0</v>
      </c>
      <c r="G3880" s="156">
        <f>'Reported burning'!G3880</f>
        <v>0</v>
      </c>
      <c r="H3880" s="156">
        <f>'Reported burning'!H3880</f>
        <v>0</v>
      </c>
      <c r="I3880" s="5"/>
    </row>
    <row r="3881" spans="1:9">
      <c r="A3881" s="156">
        <f>'Reported burning'!A3881</f>
        <v>0</v>
      </c>
      <c r="B3881" s="156">
        <f>'Reported burning'!B3881</f>
        <v>0</v>
      </c>
      <c r="C3881" s="156">
        <f>'Reported burning'!C3881</f>
        <v>0</v>
      </c>
      <c r="D3881" s="156">
        <f>'Reported burning'!D3881</f>
        <v>0</v>
      </c>
      <c r="E3881" s="156">
        <f>'Reported burning'!E3881</f>
        <v>0</v>
      </c>
      <c r="F3881" s="156">
        <f>'Reported burning'!F3881</f>
        <v>0</v>
      </c>
      <c r="G3881" s="156">
        <f>'Reported burning'!G3881</f>
        <v>0</v>
      </c>
      <c r="H3881" s="156">
        <f>'Reported burning'!H3881</f>
        <v>0</v>
      </c>
      <c r="I3881" s="5"/>
    </row>
    <row r="3882" spans="1:9">
      <c r="A3882" s="156">
        <f>'Reported burning'!A3882</f>
        <v>0</v>
      </c>
      <c r="B3882" s="156">
        <f>'Reported burning'!B3882</f>
        <v>0</v>
      </c>
      <c r="C3882" s="156">
        <f>'Reported burning'!C3882</f>
        <v>0</v>
      </c>
      <c r="D3882" s="156">
        <f>'Reported burning'!D3882</f>
        <v>0</v>
      </c>
      <c r="E3882" s="156">
        <f>'Reported burning'!E3882</f>
        <v>0</v>
      </c>
      <c r="F3882" s="156">
        <f>'Reported burning'!F3882</f>
        <v>0</v>
      </c>
      <c r="G3882" s="156">
        <f>'Reported burning'!G3882</f>
        <v>0</v>
      </c>
      <c r="H3882" s="156">
        <f>'Reported burning'!H3882</f>
        <v>0</v>
      </c>
      <c r="I3882" s="5"/>
    </row>
    <row r="3883" spans="1:9">
      <c r="A3883" s="156">
        <f>'Reported burning'!A3883</f>
        <v>0</v>
      </c>
      <c r="B3883" s="156">
        <f>'Reported burning'!B3883</f>
        <v>0</v>
      </c>
      <c r="C3883" s="156">
        <f>'Reported burning'!C3883</f>
        <v>0</v>
      </c>
      <c r="D3883" s="156">
        <f>'Reported burning'!D3883</f>
        <v>0</v>
      </c>
      <c r="E3883" s="156">
        <f>'Reported burning'!E3883</f>
        <v>0</v>
      </c>
      <c r="F3883" s="156">
        <f>'Reported burning'!F3883</f>
        <v>0</v>
      </c>
      <c r="G3883" s="156">
        <f>'Reported burning'!G3883</f>
        <v>0</v>
      </c>
      <c r="H3883" s="156">
        <f>'Reported burning'!H3883</f>
        <v>0</v>
      </c>
      <c r="I3883" s="5"/>
    </row>
    <row r="3884" spans="1:9">
      <c r="A3884" s="156">
        <f>'Reported burning'!A3884</f>
        <v>0</v>
      </c>
      <c r="B3884" s="156">
        <f>'Reported burning'!B3884</f>
        <v>0</v>
      </c>
      <c r="C3884" s="156">
        <f>'Reported burning'!C3884</f>
        <v>0</v>
      </c>
      <c r="D3884" s="156">
        <f>'Reported burning'!D3884</f>
        <v>0</v>
      </c>
      <c r="E3884" s="156">
        <f>'Reported burning'!E3884</f>
        <v>0</v>
      </c>
      <c r="F3884" s="156">
        <f>'Reported burning'!F3884</f>
        <v>0</v>
      </c>
      <c r="G3884" s="156">
        <f>'Reported burning'!G3884</f>
        <v>0</v>
      </c>
      <c r="H3884" s="156">
        <f>'Reported burning'!H3884</f>
        <v>0</v>
      </c>
      <c r="I3884" s="5"/>
    </row>
    <row r="3885" spans="1:9">
      <c r="A3885" s="156">
        <f>'Reported burning'!A3885</f>
        <v>0</v>
      </c>
      <c r="B3885" s="156">
        <f>'Reported burning'!B3885</f>
        <v>0</v>
      </c>
      <c r="C3885" s="156">
        <f>'Reported burning'!C3885</f>
        <v>0</v>
      </c>
      <c r="D3885" s="156">
        <f>'Reported burning'!D3885</f>
        <v>0</v>
      </c>
      <c r="E3885" s="156">
        <f>'Reported burning'!E3885</f>
        <v>0</v>
      </c>
      <c r="F3885" s="156">
        <f>'Reported burning'!F3885</f>
        <v>0</v>
      </c>
      <c r="G3885" s="156">
        <f>'Reported burning'!G3885</f>
        <v>0</v>
      </c>
      <c r="H3885" s="156">
        <f>'Reported burning'!H3885</f>
        <v>0</v>
      </c>
      <c r="I3885" s="5"/>
    </row>
    <row r="3886" spans="1:9">
      <c r="A3886" s="156">
        <f>'Reported burning'!A3886</f>
        <v>0</v>
      </c>
      <c r="B3886" s="156">
        <f>'Reported burning'!B3886</f>
        <v>0</v>
      </c>
      <c r="C3886" s="156">
        <f>'Reported burning'!C3886</f>
        <v>0</v>
      </c>
      <c r="D3886" s="156">
        <f>'Reported burning'!D3886</f>
        <v>0</v>
      </c>
      <c r="E3886" s="156">
        <f>'Reported burning'!E3886</f>
        <v>0</v>
      </c>
      <c r="F3886" s="156">
        <f>'Reported burning'!F3886</f>
        <v>0</v>
      </c>
      <c r="G3886" s="156">
        <f>'Reported burning'!G3886</f>
        <v>0</v>
      </c>
      <c r="H3886" s="156">
        <f>'Reported burning'!H3886</f>
        <v>0</v>
      </c>
      <c r="I3886" s="5"/>
    </row>
    <row r="3887" spans="1:9">
      <c r="A3887" s="156">
        <f>'Reported burning'!A3887</f>
        <v>0</v>
      </c>
      <c r="B3887" s="156">
        <f>'Reported burning'!B3887</f>
        <v>0</v>
      </c>
      <c r="C3887" s="156">
        <f>'Reported burning'!C3887</f>
        <v>0</v>
      </c>
      <c r="D3887" s="156">
        <f>'Reported burning'!D3887</f>
        <v>0</v>
      </c>
      <c r="E3887" s="156">
        <f>'Reported burning'!E3887</f>
        <v>0</v>
      </c>
      <c r="F3887" s="156">
        <f>'Reported burning'!F3887</f>
        <v>0</v>
      </c>
      <c r="G3887" s="156">
        <f>'Reported burning'!G3887</f>
        <v>0</v>
      </c>
      <c r="H3887" s="156">
        <f>'Reported burning'!H3887</f>
        <v>0</v>
      </c>
      <c r="I3887" s="5"/>
    </row>
    <row r="3888" spans="1:9">
      <c r="A3888" s="156">
        <f>'Reported burning'!A3888</f>
        <v>0</v>
      </c>
      <c r="B3888" s="156">
        <f>'Reported burning'!B3888</f>
        <v>0</v>
      </c>
      <c r="C3888" s="156">
        <f>'Reported burning'!C3888</f>
        <v>0</v>
      </c>
      <c r="D3888" s="156">
        <f>'Reported burning'!D3888</f>
        <v>0</v>
      </c>
      <c r="E3888" s="156">
        <f>'Reported burning'!E3888</f>
        <v>0</v>
      </c>
      <c r="F3888" s="156">
        <f>'Reported burning'!F3888</f>
        <v>0</v>
      </c>
      <c r="G3888" s="156">
        <f>'Reported burning'!G3888</f>
        <v>0</v>
      </c>
      <c r="H3888" s="156">
        <f>'Reported burning'!H3888</f>
        <v>0</v>
      </c>
      <c r="I3888" s="5"/>
    </row>
    <row r="3889" spans="1:9">
      <c r="A3889" s="156">
        <f>'Reported burning'!A3889</f>
        <v>0</v>
      </c>
      <c r="B3889" s="156">
        <f>'Reported burning'!B3889</f>
        <v>0</v>
      </c>
      <c r="C3889" s="156">
        <f>'Reported burning'!C3889</f>
        <v>0</v>
      </c>
      <c r="D3889" s="156">
        <f>'Reported burning'!D3889</f>
        <v>0</v>
      </c>
      <c r="E3889" s="156">
        <f>'Reported burning'!E3889</f>
        <v>0</v>
      </c>
      <c r="F3889" s="156">
        <f>'Reported burning'!F3889</f>
        <v>0</v>
      </c>
      <c r="G3889" s="156">
        <f>'Reported burning'!G3889</f>
        <v>0</v>
      </c>
      <c r="H3889" s="156">
        <f>'Reported burning'!H3889</f>
        <v>0</v>
      </c>
      <c r="I3889" s="5"/>
    </row>
    <row r="3890" spans="1:9">
      <c r="A3890" s="156">
        <f>'Reported burning'!A3890</f>
        <v>0</v>
      </c>
      <c r="B3890" s="156">
        <f>'Reported burning'!B3890</f>
        <v>0</v>
      </c>
      <c r="C3890" s="156">
        <f>'Reported burning'!C3890</f>
        <v>0</v>
      </c>
      <c r="D3890" s="156">
        <f>'Reported burning'!D3890</f>
        <v>0</v>
      </c>
      <c r="E3890" s="156">
        <f>'Reported burning'!E3890</f>
        <v>0</v>
      </c>
      <c r="F3890" s="156">
        <f>'Reported burning'!F3890</f>
        <v>0</v>
      </c>
      <c r="G3890" s="156">
        <f>'Reported burning'!G3890</f>
        <v>0</v>
      </c>
      <c r="H3890" s="156">
        <f>'Reported burning'!H3890</f>
        <v>0</v>
      </c>
      <c r="I3890" s="5"/>
    </row>
    <row r="3891" spans="1:9">
      <c r="A3891" s="156">
        <f>'Reported burning'!A3891</f>
        <v>0</v>
      </c>
      <c r="B3891" s="156">
        <f>'Reported burning'!B3891</f>
        <v>0</v>
      </c>
      <c r="C3891" s="156">
        <f>'Reported burning'!C3891</f>
        <v>0</v>
      </c>
      <c r="D3891" s="156">
        <f>'Reported burning'!D3891</f>
        <v>0</v>
      </c>
      <c r="E3891" s="156">
        <f>'Reported burning'!E3891</f>
        <v>0</v>
      </c>
      <c r="F3891" s="156">
        <f>'Reported burning'!F3891</f>
        <v>0</v>
      </c>
      <c r="G3891" s="156">
        <f>'Reported burning'!G3891</f>
        <v>0</v>
      </c>
      <c r="H3891" s="156">
        <f>'Reported burning'!H3891</f>
        <v>0</v>
      </c>
      <c r="I3891" s="5"/>
    </row>
    <row r="3892" spans="1:9">
      <c r="A3892" s="156">
        <f>'Reported burning'!A3892</f>
        <v>0</v>
      </c>
      <c r="B3892" s="156">
        <f>'Reported burning'!B3892</f>
        <v>0</v>
      </c>
      <c r="C3892" s="156">
        <f>'Reported burning'!C3892</f>
        <v>0</v>
      </c>
      <c r="D3892" s="156">
        <f>'Reported burning'!D3892</f>
        <v>0</v>
      </c>
      <c r="E3892" s="156">
        <f>'Reported burning'!E3892</f>
        <v>0</v>
      </c>
      <c r="F3892" s="156">
        <f>'Reported burning'!F3892</f>
        <v>0</v>
      </c>
      <c r="G3892" s="156">
        <f>'Reported burning'!G3892</f>
        <v>0</v>
      </c>
      <c r="H3892" s="156">
        <f>'Reported burning'!H3892</f>
        <v>0</v>
      </c>
      <c r="I3892" s="5"/>
    </row>
    <row r="3893" spans="1:9">
      <c r="A3893" s="156">
        <f>'Reported burning'!A3893</f>
        <v>0</v>
      </c>
      <c r="B3893" s="156">
        <f>'Reported burning'!B3893</f>
        <v>0</v>
      </c>
      <c r="C3893" s="156">
        <f>'Reported burning'!C3893</f>
        <v>0</v>
      </c>
      <c r="D3893" s="156">
        <f>'Reported burning'!D3893</f>
        <v>0</v>
      </c>
      <c r="E3893" s="156">
        <f>'Reported burning'!E3893</f>
        <v>0</v>
      </c>
      <c r="F3893" s="156">
        <f>'Reported burning'!F3893</f>
        <v>0</v>
      </c>
      <c r="G3893" s="156">
        <f>'Reported burning'!G3893</f>
        <v>0</v>
      </c>
      <c r="H3893" s="156">
        <f>'Reported burning'!H3893</f>
        <v>0</v>
      </c>
      <c r="I3893" s="5"/>
    </row>
    <row r="3894" spans="1:9">
      <c r="A3894" s="156">
        <f>'Reported burning'!A3894</f>
        <v>0</v>
      </c>
      <c r="B3894" s="156">
        <f>'Reported burning'!B3894</f>
        <v>0</v>
      </c>
      <c r="C3894" s="156">
        <f>'Reported burning'!C3894</f>
        <v>0</v>
      </c>
      <c r="D3894" s="156">
        <f>'Reported burning'!D3894</f>
        <v>0</v>
      </c>
      <c r="E3894" s="156">
        <f>'Reported burning'!E3894</f>
        <v>0</v>
      </c>
      <c r="F3894" s="156">
        <f>'Reported burning'!F3894</f>
        <v>0</v>
      </c>
      <c r="G3894" s="156">
        <f>'Reported burning'!G3894</f>
        <v>0</v>
      </c>
      <c r="H3894" s="156">
        <f>'Reported burning'!H3894</f>
        <v>0</v>
      </c>
      <c r="I3894" s="5"/>
    </row>
    <row r="3895" spans="1:9">
      <c r="A3895" s="156">
        <f>'Reported burning'!A3895</f>
        <v>0</v>
      </c>
      <c r="B3895" s="156">
        <f>'Reported burning'!B3895</f>
        <v>0</v>
      </c>
      <c r="C3895" s="156">
        <f>'Reported burning'!C3895</f>
        <v>0</v>
      </c>
      <c r="D3895" s="156">
        <f>'Reported burning'!D3895</f>
        <v>0</v>
      </c>
      <c r="E3895" s="156">
        <f>'Reported burning'!E3895</f>
        <v>0</v>
      </c>
      <c r="F3895" s="156">
        <f>'Reported burning'!F3895</f>
        <v>0</v>
      </c>
      <c r="G3895" s="156">
        <f>'Reported burning'!G3895</f>
        <v>0</v>
      </c>
      <c r="H3895" s="156">
        <f>'Reported burning'!H3895</f>
        <v>0</v>
      </c>
      <c r="I3895" s="5"/>
    </row>
    <row r="3896" spans="1:9">
      <c r="A3896" s="156">
        <f>'Reported burning'!A3896</f>
        <v>0</v>
      </c>
      <c r="B3896" s="156">
        <f>'Reported burning'!B3896</f>
        <v>0</v>
      </c>
      <c r="C3896" s="156">
        <f>'Reported burning'!C3896</f>
        <v>0</v>
      </c>
      <c r="D3896" s="156">
        <f>'Reported burning'!D3896</f>
        <v>0</v>
      </c>
      <c r="E3896" s="156">
        <f>'Reported burning'!E3896</f>
        <v>0</v>
      </c>
      <c r="F3896" s="156">
        <f>'Reported burning'!F3896</f>
        <v>0</v>
      </c>
      <c r="G3896" s="156">
        <f>'Reported burning'!G3896</f>
        <v>0</v>
      </c>
      <c r="H3896" s="156">
        <f>'Reported burning'!H3896</f>
        <v>0</v>
      </c>
      <c r="I3896" s="5"/>
    </row>
    <row r="3897" spans="1:9">
      <c r="A3897" s="156">
        <f>'Reported burning'!A3897</f>
        <v>0</v>
      </c>
      <c r="B3897" s="156">
        <f>'Reported burning'!B3897</f>
        <v>0</v>
      </c>
      <c r="C3897" s="156">
        <f>'Reported burning'!C3897</f>
        <v>0</v>
      </c>
      <c r="D3897" s="156">
        <f>'Reported burning'!D3897</f>
        <v>0</v>
      </c>
      <c r="E3897" s="156">
        <f>'Reported burning'!E3897</f>
        <v>0</v>
      </c>
      <c r="F3897" s="156">
        <f>'Reported burning'!F3897</f>
        <v>0</v>
      </c>
      <c r="G3897" s="156">
        <f>'Reported burning'!G3897</f>
        <v>0</v>
      </c>
      <c r="H3897" s="156">
        <f>'Reported burning'!H3897</f>
        <v>0</v>
      </c>
      <c r="I3897" s="5"/>
    </row>
    <row r="3898" spans="1:9">
      <c r="A3898" s="156">
        <f>'Reported burning'!A3898</f>
        <v>0</v>
      </c>
      <c r="B3898" s="156">
        <f>'Reported burning'!B3898</f>
        <v>0</v>
      </c>
      <c r="C3898" s="156">
        <f>'Reported burning'!C3898</f>
        <v>0</v>
      </c>
      <c r="D3898" s="156">
        <f>'Reported burning'!D3898</f>
        <v>0</v>
      </c>
      <c r="E3898" s="156">
        <f>'Reported burning'!E3898</f>
        <v>0</v>
      </c>
      <c r="F3898" s="156">
        <f>'Reported burning'!F3898</f>
        <v>0</v>
      </c>
      <c r="G3898" s="156">
        <f>'Reported burning'!G3898</f>
        <v>0</v>
      </c>
      <c r="H3898" s="156">
        <f>'Reported burning'!H3898</f>
        <v>0</v>
      </c>
      <c r="I3898" s="5"/>
    </row>
    <row r="3899" spans="1:9">
      <c r="A3899" s="156">
        <f>'Reported burning'!A3899</f>
        <v>0</v>
      </c>
      <c r="B3899" s="156">
        <f>'Reported burning'!B3899</f>
        <v>0</v>
      </c>
      <c r="C3899" s="156">
        <f>'Reported burning'!C3899</f>
        <v>0</v>
      </c>
      <c r="D3899" s="156">
        <f>'Reported burning'!D3899</f>
        <v>0</v>
      </c>
      <c r="E3899" s="156">
        <f>'Reported burning'!E3899</f>
        <v>0</v>
      </c>
      <c r="F3899" s="156">
        <f>'Reported burning'!F3899</f>
        <v>0</v>
      </c>
      <c r="G3899" s="156">
        <f>'Reported burning'!G3899</f>
        <v>0</v>
      </c>
      <c r="H3899" s="156">
        <f>'Reported burning'!H3899</f>
        <v>0</v>
      </c>
      <c r="I3899" s="5"/>
    </row>
    <row r="3900" spans="1:9">
      <c r="A3900" s="156">
        <f>'Reported burning'!A3900</f>
        <v>0</v>
      </c>
      <c r="B3900" s="156">
        <f>'Reported burning'!B3900</f>
        <v>0</v>
      </c>
      <c r="C3900" s="156">
        <f>'Reported burning'!C3900</f>
        <v>0</v>
      </c>
      <c r="D3900" s="156">
        <f>'Reported burning'!D3900</f>
        <v>0</v>
      </c>
      <c r="E3900" s="156">
        <f>'Reported burning'!E3900</f>
        <v>0</v>
      </c>
      <c r="F3900" s="156">
        <f>'Reported burning'!F3900</f>
        <v>0</v>
      </c>
      <c r="G3900" s="156">
        <f>'Reported burning'!G3900</f>
        <v>0</v>
      </c>
      <c r="H3900" s="156">
        <f>'Reported burning'!H3900</f>
        <v>0</v>
      </c>
      <c r="I3900" s="5"/>
    </row>
    <row r="3901" spans="1:9">
      <c r="A3901" s="156">
        <f>'Reported burning'!A3901</f>
        <v>0</v>
      </c>
      <c r="B3901" s="156">
        <f>'Reported burning'!B3901</f>
        <v>0</v>
      </c>
      <c r="C3901" s="156">
        <f>'Reported burning'!C3901</f>
        <v>0</v>
      </c>
      <c r="D3901" s="156">
        <f>'Reported burning'!D3901</f>
        <v>0</v>
      </c>
      <c r="E3901" s="156">
        <f>'Reported burning'!E3901</f>
        <v>0</v>
      </c>
      <c r="F3901" s="156">
        <f>'Reported burning'!F3901</f>
        <v>0</v>
      </c>
      <c r="G3901" s="156">
        <f>'Reported burning'!G3901</f>
        <v>0</v>
      </c>
      <c r="H3901" s="156">
        <f>'Reported burning'!H3901</f>
        <v>0</v>
      </c>
      <c r="I3901" s="5"/>
    </row>
    <row r="3902" spans="1:9">
      <c r="A3902" s="156">
        <f>'Reported burning'!A3902</f>
        <v>0</v>
      </c>
      <c r="B3902" s="156">
        <f>'Reported burning'!B3902</f>
        <v>0</v>
      </c>
      <c r="C3902" s="156">
        <f>'Reported burning'!C3902</f>
        <v>0</v>
      </c>
      <c r="D3902" s="156">
        <f>'Reported burning'!D3902</f>
        <v>0</v>
      </c>
      <c r="E3902" s="156">
        <f>'Reported burning'!E3902</f>
        <v>0</v>
      </c>
      <c r="F3902" s="156">
        <f>'Reported burning'!F3902</f>
        <v>0</v>
      </c>
      <c r="G3902" s="156">
        <f>'Reported burning'!G3902</f>
        <v>0</v>
      </c>
      <c r="H3902" s="156">
        <f>'Reported burning'!H3902</f>
        <v>0</v>
      </c>
      <c r="I3902" s="5"/>
    </row>
    <row r="3903" spans="1:9">
      <c r="A3903" s="156">
        <f>'Reported burning'!A3903</f>
        <v>0</v>
      </c>
      <c r="B3903" s="156">
        <f>'Reported burning'!B3903</f>
        <v>0</v>
      </c>
      <c r="C3903" s="156">
        <f>'Reported burning'!C3903</f>
        <v>0</v>
      </c>
      <c r="D3903" s="156">
        <f>'Reported burning'!D3903</f>
        <v>0</v>
      </c>
      <c r="E3903" s="156">
        <f>'Reported burning'!E3903</f>
        <v>0</v>
      </c>
      <c r="F3903" s="156">
        <f>'Reported burning'!F3903</f>
        <v>0</v>
      </c>
      <c r="G3903" s="156">
        <f>'Reported burning'!G3903</f>
        <v>0</v>
      </c>
      <c r="H3903" s="156">
        <f>'Reported burning'!H3903</f>
        <v>0</v>
      </c>
      <c r="I3903" s="5"/>
    </row>
    <row r="3904" spans="1:9">
      <c r="A3904" s="156">
        <f>'Reported burning'!A3904</f>
        <v>0</v>
      </c>
      <c r="B3904" s="156">
        <f>'Reported burning'!B3904</f>
        <v>0</v>
      </c>
      <c r="C3904" s="156">
        <f>'Reported burning'!C3904</f>
        <v>0</v>
      </c>
      <c r="D3904" s="156">
        <f>'Reported burning'!D3904</f>
        <v>0</v>
      </c>
      <c r="E3904" s="156">
        <f>'Reported burning'!E3904</f>
        <v>0</v>
      </c>
      <c r="F3904" s="156">
        <f>'Reported burning'!F3904</f>
        <v>0</v>
      </c>
      <c r="G3904" s="156">
        <f>'Reported burning'!G3904</f>
        <v>0</v>
      </c>
      <c r="H3904" s="156">
        <f>'Reported burning'!H3904</f>
        <v>0</v>
      </c>
      <c r="I3904" s="5"/>
    </row>
    <row r="3905" spans="1:9">
      <c r="A3905" s="156">
        <f>'Reported burning'!A3905</f>
        <v>0</v>
      </c>
      <c r="B3905" s="156">
        <f>'Reported burning'!B3905</f>
        <v>0</v>
      </c>
      <c r="C3905" s="156">
        <f>'Reported burning'!C3905</f>
        <v>0</v>
      </c>
      <c r="D3905" s="156">
        <f>'Reported burning'!D3905</f>
        <v>0</v>
      </c>
      <c r="E3905" s="156">
        <f>'Reported burning'!E3905</f>
        <v>0</v>
      </c>
      <c r="F3905" s="156">
        <f>'Reported burning'!F3905</f>
        <v>0</v>
      </c>
      <c r="G3905" s="156">
        <f>'Reported burning'!G3905</f>
        <v>0</v>
      </c>
      <c r="H3905" s="156">
        <f>'Reported burning'!H3905</f>
        <v>0</v>
      </c>
      <c r="I3905" s="5"/>
    </row>
    <row r="3906" spans="1:9">
      <c r="A3906" s="156">
        <f>'Reported burning'!A3906</f>
        <v>0</v>
      </c>
      <c r="B3906" s="156">
        <f>'Reported burning'!B3906</f>
        <v>0</v>
      </c>
      <c r="C3906" s="156">
        <f>'Reported burning'!C3906</f>
        <v>0</v>
      </c>
      <c r="D3906" s="156">
        <f>'Reported burning'!D3906</f>
        <v>0</v>
      </c>
      <c r="E3906" s="156">
        <f>'Reported burning'!E3906</f>
        <v>0</v>
      </c>
      <c r="F3906" s="156">
        <f>'Reported burning'!F3906</f>
        <v>0</v>
      </c>
      <c r="G3906" s="156">
        <f>'Reported burning'!G3906</f>
        <v>0</v>
      </c>
      <c r="H3906" s="156">
        <f>'Reported burning'!H3906</f>
        <v>0</v>
      </c>
      <c r="I3906" s="5"/>
    </row>
    <row r="3907" spans="1:9">
      <c r="A3907" s="156">
        <f>'Reported burning'!A3907</f>
        <v>0</v>
      </c>
      <c r="B3907" s="156">
        <f>'Reported burning'!B3907</f>
        <v>0</v>
      </c>
      <c r="C3907" s="156">
        <f>'Reported burning'!C3907</f>
        <v>0</v>
      </c>
      <c r="D3907" s="156">
        <f>'Reported burning'!D3907</f>
        <v>0</v>
      </c>
      <c r="E3907" s="156">
        <f>'Reported burning'!E3907</f>
        <v>0</v>
      </c>
      <c r="F3907" s="156">
        <f>'Reported burning'!F3907</f>
        <v>0</v>
      </c>
      <c r="G3907" s="156">
        <f>'Reported burning'!G3907</f>
        <v>0</v>
      </c>
      <c r="H3907" s="156">
        <f>'Reported burning'!H3907</f>
        <v>0</v>
      </c>
      <c r="I3907" s="5"/>
    </row>
    <row r="3908" spans="1:9">
      <c r="A3908" s="156">
        <f>'Reported burning'!A3908</f>
        <v>0</v>
      </c>
      <c r="B3908" s="156">
        <f>'Reported burning'!B3908</f>
        <v>0</v>
      </c>
      <c r="C3908" s="156">
        <f>'Reported burning'!C3908</f>
        <v>0</v>
      </c>
      <c r="D3908" s="156">
        <f>'Reported burning'!D3908</f>
        <v>0</v>
      </c>
      <c r="E3908" s="156">
        <f>'Reported burning'!E3908</f>
        <v>0</v>
      </c>
      <c r="F3908" s="156">
        <f>'Reported burning'!F3908</f>
        <v>0</v>
      </c>
      <c r="G3908" s="156">
        <f>'Reported burning'!G3908</f>
        <v>0</v>
      </c>
      <c r="H3908" s="156">
        <f>'Reported burning'!H3908</f>
        <v>0</v>
      </c>
      <c r="I3908" s="5"/>
    </row>
    <row r="3909" spans="1:9">
      <c r="A3909" s="156">
        <f>'Reported burning'!A3909</f>
        <v>0</v>
      </c>
      <c r="B3909" s="156">
        <f>'Reported burning'!B3909</f>
        <v>0</v>
      </c>
      <c r="C3909" s="156">
        <f>'Reported burning'!C3909</f>
        <v>0</v>
      </c>
      <c r="D3909" s="156">
        <f>'Reported burning'!D3909</f>
        <v>0</v>
      </c>
      <c r="E3909" s="156">
        <f>'Reported burning'!E3909</f>
        <v>0</v>
      </c>
      <c r="F3909" s="156">
        <f>'Reported burning'!F3909</f>
        <v>0</v>
      </c>
      <c r="G3909" s="156">
        <f>'Reported burning'!G3909</f>
        <v>0</v>
      </c>
      <c r="H3909" s="156">
        <f>'Reported burning'!H3909</f>
        <v>0</v>
      </c>
      <c r="I3909" s="5"/>
    </row>
    <row r="3910" spans="1:9">
      <c r="A3910" s="156">
        <f>'Reported burning'!A3910</f>
        <v>0</v>
      </c>
      <c r="B3910" s="156">
        <f>'Reported burning'!B3910</f>
        <v>0</v>
      </c>
      <c r="C3910" s="156">
        <f>'Reported burning'!C3910</f>
        <v>0</v>
      </c>
      <c r="D3910" s="156">
        <f>'Reported burning'!D3910</f>
        <v>0</v>
      </c>
      <c r="E3910" s="156">
        <f>'Reported burning'!E3910</f>
        <v>0</v>
      </c>
      <c r="F3910" s="156">
        <f>'Reported burning'!F3910</f>
        <v>0</v>
      </c>
      <c r="G3910" s="156">
        <f>'Reported burning'!G3910</f>
        <v>0</v>
      </c>
      <c r="H3910" s="156">
        <f>'Reported burning'!H3910</f>
        <v>0</v>
      </c>
      <c r="I3910" s="5"/>
    </row>
    <row r="3911" spans="1:9">
      <c r="A3911" s="156">
        <f>'Reported burning'!A3911</f>
        <v>0</v>
      </c>
      <c r="B3911" s="156">
        <f>'Reported burning'!B3911</f>
        <v>0</v>
      </c>
      <c r="C3911" s="156">
        <f>'Reported burning'!C3911</f>
        <v>0</v>
      </c>
      <c r="D3911" s="156">
        <f>'Reported burning'!D3911</f>
        <v>0</v>
      </c>
      <c r="E3911" s="156">
        <f>'Reported burning'!E3911</f>
        <v>0</v>
      </c>
      <c r="F3911" s="156">
        <f>'Reported burning'!F3911</f>
        <v>0</v>
      </c>
      <c r="G3911" s="156">
        <f>'Reported burning'!G3911</f>
        <v>0</v>
      </c>
      <c r="H3911" s="156">
        <f>'Reported burning'!H3911</f>
        <v>0</v>
      </c>
      <c r="I3911" s="5"/>
    </row>
    <row r="3912" spans="1:9">
      <c r="A3912" s="156">
        <f>'Reported burning'!A3912</f>
        <v>0</v>
      </c>
      <c r="B3912" s="156">
        <f>'Reported burning'!B3912</f>
        <v>0</v>
      </c>
      <c r="C3912" s="156">
        <f>'Reported burning'!C3912</f>
        <v>0</v>
      </c>
      <c r="D3912" s="156">
        <f>'Reported burning'!D3912</f>
        <v>0</v>
      </c>
      <c r="E3912" s="156">
        <f>'Reported burning'!E3912</f>
        <v>0</v>
      </c>
      <c r="F3912" s="156">
        <f>'Reported burning'!F3912</f>
        <v>0</v>
      </c>
      <c r="G3912" s="156">
        <f>'Reported burning'!G3912</f>
        <v>0</v>
      </c>
      <c r="H3912" s="156">
        <f>'Reported burning'!H3912</f>
        <v>0</v>
      </c>
      <c r="I3912" s="5"/>
    </row>
    <row r="3913" spans="1:9">
      <c r="A3913" s="156">
        <f>'Reported burning'!A3913</f>
        <v>0</v>
      </c>
      <c r="B3913" s="156">
        <f>'Reported burning'!B3913</f>
        <v>0</v>
      </c>
      <c r="C3913" s="156">
        <f>'Reported burning'!C3913</f>
        <v>0</v>
      </c>
      <c r="D3913" s="156">
        <f>'Reported burning'!D3913</f>
        <v>0</v>
      </c>
      <c r="E3913" s="156">
        <f>'Reported burning'!E3913</f>
        <v>0</v>
      </c>
      <c r="F3913" s="156">
        <f>'Reported burning'!F3913</f>
        <v>0</v>
      </c>
      <c r="G3913" s="156">
        <f>'Reported burning'!G3913</f>
        <v>0</v>
      </c>
      <c r="H3913" s="156">
        <f>'Reported burning'!H3913</f>
        <v>0</v>
      </c>
      <c r="I3913" s="5"/>
    </row>
    <row r="3914" spans="1:9">
      <c r="A3914" s="156">
        <f>'Reported burning'!A3914</f>
        <v>0</v>
      </c>
      <c r="B3914" s="156">
        <f>'Reported burning'!B3914</f>
        <v>0</v>
      </c>
      <c r="C3914" s="156">
        <f>'Reported burning'!C3914</f>
        <v>0</v>
      </c>
      <c r="D3914" s="156">
        <f>'Reported burning'!D3914</f>
        <v>0</v>
      </c>
      <c r="E3914" s="156">
        <f>'Reported burning'!E3914</f>
        <v>0</v>
      </c>
      <c r="F3914" s="156">
        <f>'Reported burning'!F3914</f>
        <v>0</v>
      </c>
      <c r="G3914" s="156">
        <f>'Reported burning'!G3914</f>
        <v>0</v>
      </c>
      <c r="H3914" s="156">
        <f>'Reported burning'!H3914</f>
        <v>0</v>
      </c>
      <c r="I3914" s="5"/>
    </row>
    <row r="3915" spans="1:9">
      <c r="A3915" s="156">
        <f>'Reported burning'!A3915</f>
        <v>0</v>
      </c>
      <c r="B3915" s="156">
        <f>'Reported burning'!B3915</f>
        <v>0</v>
      </c>
      <c r="C3915" s="156">
        <f>'Reported burning'!C3915</f>
        <v>0</v>
      </c>
      <c r="D3915" s="156">
        <f>'Reported burning'!D3915</f>
        <v>0</v>
      </c>
      <c r="E3915" s="156">
        <f>'Reported burning'!E3915</f>
        <v>0</v>
      </c>
      <c r="F3915" s="156">
        <f>'Reported burning'!F3915</f>
        <v>0</v>
      </c>
      <c r="G3915" s="156">
        <f>'Reported burning'!G3915</f>
        <v>0</v>
      </c>
      <c r="H3915" s="156">
        <f>'Reported burning'!H3915</f>
        <v>0</v>
      </c>
      <c r="I3915" s="5"/>
    </row>
    <row r="3916" spans="1:9">
      <c r="A3916" s="156">
        <f>'Reported burning'!A3916</f>
        <v>0</v>
      </c>
      <c r="B3916" s="156">
        <f>'Reported burning'!B3916</f>
        <v>0</v>
      </c>
      <c r="C3916" s="156">
        <f>'Reported burning'!C3916</f>
        <v>0</v>
      </c>
      <c r="D3916" s="156">
        <f>'Reported burning'!D3916</f>
        <v>0</v>
      </c>
      <c r="E3916" s="156">
        <f>'Reported burning'!E3916</f>
        <v>0</v>
      </c>
      <c r="F3916" s="156">
        <f>'Reported burning'!F3916</f>
        <v>0</v>
      </c>
      <c r="G3916" s="156">
        <f>'Reported burning'!G3916</f>
        <v>0</v>
      </c>
      <c r="H3916" s="156">
        <f>'Reported burning'!H3916</f>
        <v>0</v>
      </c>
      <c r="I3916" s="5"/>
    </row>
    <row r="3917" spans="1:9">
      <c r="A3917" s="156">
        <f>'Reported burning'!A3917</f>
        <v>0</v>
      </c>
      <c r="B3917" s="156">
        <f>'Reported burning'!B3917</f>
        <v>0</v>
      </c>
      <c r="C3917" s="156">
        <f>'Reported burning'!C3917</f>
        <v>0</v>
      </c>
      <c r="D3917" s="156">
        <f>'Reported burning'!D3917</f>
        <v>0</v>
      </c>
      <c r="E3917" s="156">
        <f>'Reported burning'!E3917</f>
        <v>0</v>
      </c>
      <c r="F3917" s="156">
        <f>'Reported burning'!F3917</f>
        <v>0</v>
      </c>
      <c r="G3917" s="156">
        <f>'Reported burning'!G3917</f>
        <v>0</v>
      </c>
      <c r="H3917" s="156">
        <f>'Reported burning'!H3917</f>
        <v>0</v>
      </c>
      <c r="I3917" s="5"/>
    </row>
    <row r="3918" spans="1:9">
      <c r="A3918" s="156">
        <f>'Reported burning'!A3918</f>
        <v>0</v>
      </c>
      <c r="B3918" s="156">
        <f>'Reported burning'!B3918</f>
        <v>0</v>
      </c>
      <c r="C3918" s="156">
        <f>'Reported burning'!C3918</f>
        <v>0</v>
      </c>
      <c r="D3918" s="156">
        <f>'Reported burning'!D3918</f>
        <v>0</v>
      </c>
      <c r="E3918" s="156">
        <f>'Reported burning'!E3918</f>
        <v>0</v>
      </c>
      <c r="F3918" s="156">
        <f>'Reported burning'!F3918</f>
        <v>0</v>
      </c>
      <c r="G3918" s="156">
        <f>'Reported burning'!G3918</f>
        <v>0</v>
      </c>
      <c r="H3918" s="156">
        <f>'Reported burning'!H3918</f>
        <v>0</v>
      </c>
      <c r="I3918" s="5"/>
    </row>
    <row r="3919" spans="1:9">
      <c r="A3919" s="156">
        <f>'Reported burning'!A3919</f>
        <v>0</v>
      </c>
      <c r="B3919" s="156">
        <f>'Reported burning'!B3919</f>
        <v>0</v>
      </c>
      <c r="C3919" s="156">
        <f>'Reported burning'!C3919</f>
        <v>0</v>
      </c>
      <c r="D3919" s="156">
        <f>'Reported burning'!D3919</f>
        <v>0</v>
      </c>
      <c r="E3919" s="156">
        <f>'Reported burning'!E3919</f>
        <v>0</v>
      </c>
      <c r="F3919" s="156">
        <f>'Reported burning'!F3919</f>
        <v>0</v>
      </c>
      <c r="G3919" s="156">
        <f>'Reported burning'!G3919</f>
        <v>0</v>
      </c>
      <c r="H3919" s="156">
        <f>'Reported burning'!H3919</f>
        <v>0</v>
      </c>
      <c r="I3919" s="5"/>
    </row>
    <row r="3920" spans="1:9">
      <c r="A3920" s="156">
        <f>'Reported burning'!A3920</f>
        <v>0</v>
      </c>
      <c r="B3920" s="156">
        <f>'Reported burning'!B3920</f>
        <v>0</v>
      </c>
      <c r="C3920" s="156">
        <f>'Reported burning'!C3920</f>
        <v>0</v>
      </c>
      <c r="D3920" s="156">
        <f>'Reported burning'!D3920</f>
        <v>0</v>
      </c>
      <c r="E3920" s="156">
        <f>'Reported burning'!E3920</f>
        <v>0</v>
      </c>
      <c r="F3920" s="156">
        <f>'Reported burning'!F3920</f>
        <v>0</v>
      </c>
      <c r="G3920" s="156">
        <f>'Reported burning'!G3920</f>
        <v>0</v>
      </c>
      <c r="H3920" s="156">
        <f>'Reported burning'!H3920</f>
        <v>0</v>
      </c>
      <c r="I3920" s="5"/>
    </row>
    <row r="3921" spans="1:9">
      <c r="A3921" s="156">
        <f>'Reported burning'!A3921</f>
        <v>0</v>
      </c>
      <c r="B3921" s="156">
        <f>'Reported burning'!B3921</f>
        <v>0</v>
      </c>
      <c r="C3921" s="156">
        <f>'Reported burning'!C3921</f>
        <v>0</v>
      </c>
      <c r="D3921" s="156">
        <f>'Reported burning'!D3921</f>
        <v>0</v>
      </c>
      <c r="E3921" s="156">
        <f>'Reported burning'!E3921</f>
        <v>0</v>
      </c>
      <c r="F3921" s="156">
        <f>'Reported burning'!F3921</f>
        <v>0</v>
      </c>
      <c r="G3921" s="156">
        <f>'Reported burning'!G3921</f>
        <v>0</v>
      </c>
      <c r="H3921" s="156">
        <f>'Reported burning'!H3921</f>
        <v>0</v>
      </c>
      <c r="I3921" s="5"/>
    </row>
    <row r="3922" spans="1:9">
      <c r="A3922" s="156">
        <f>'Reported burning'!A3922</f>
        <v>0</v>
      </c>
      <c r="B3922" s="156">
        <f>'Reported burning'!B3922</f>
        <v>0</v>
      </c>
      <c r="C3922" s="156">
        <f>'Reported burning'!C3922</f>
        <v>0</v>
      </c>
      <c r="D3922" s="156">
        <f>'Reported burning'!D3922</f>
        <v>0</v>
      </c>
      <c r="E3922" s="156">
        <f>'Reported burning'!E3922</f>
        <v>0</v>
      </c>
      <c r="F3922" s="156">
        <f>'Reported burning'!F3922</f>
        <v>0</v>
      </c>
      <c r="G3922" s="156">
        <f>'Reported burning'!G3922</f>
        <v>0</v>
      </c>
      <c r="H3922" s="156">
        <f>'Reported burning'!H3922</f>
        <v>0</v>
      </c>
      <c r="I3922" s="5"/>
    </row>
    <row r="3923" spans="1:9">
      <c r="A3923" s="156">
        <f>'Reported burning'!A3923</f>
        <v>0</v>
      </c>
      <c r="B3923" s="156">
        <f>'Reported burning'!B3923</f>
        <v>0</v>
      </c>
      <c r="C3923" s="156">
        <f>'Reported burning'!C3923</f>
        <v>0</v>
      </c>
      <c r="D3923" s="156">
        <f>'Reported burning'!D3923</f>
        <v>0</v>
      </c>
      <c r="E3923" s="156">
        <f>'Reported burning'!E3923</f>
        <v>0</v>
      </c>
      <c r="F3923" s="156">
        <f>'Reported burning'!F3923</f>
        <v>0</v>
      </c>
      <c r="G3923" s="156">
        <f>'Reported burning'!G3923</f>
        <v>0</v>
      </c>
      <c r="H3923" s="156">
        <f>'Reported burning'!H3923</f>
        <v>0</v>
      </c>
      <c r="I3923" s="5"/>
    </row>
    <row r="3924" spans="1:9">
      <c r="A3924" s="156">
        <f>'Reported burning'!A3924</f>
        <v>0</v>
      </c>
      <c r="B3924" s="156">
        <f>'Reported burning'!B3924</f>
        <v>0</v>
      </c>
      <c r="C3924" s="156">
        <f>'Reported burning'!C3924</f>
        <v>0</v>
      </c>
      <c r="D3924" s="156">
        <f>'Reported burning'!D3924</f>
        <v>0</v>
      </c>
      <c r="E3924" s="156">
        <f>'Reported burning'!E3924</f>
        <v>0</v>
      </c>
      <c r="F3924" s="156">
        <f>'Reported burning'!F3924</f>
        <v>0</v>
      </c>
      <c r="G3924" s="156">
        <f>'Reported burning'!G3924</f>
        <v>0</v>
      </c>
      <c r="H3924" s="156">
        <f>'Reported burning'!H3924</f>
        <v>0</v>
      </c>
      <c r="I3924" s="5"/>
    </row>
    <row r="3925" spans="1:9">
      <c r="A3925" s="156">
        <f>'Reported burning'!A3925</f>
        <v>0</v>
      </c>
      <c r="B3925" s="156">
        <f>'Reported burning'!B3925</f>
        <v>0</v>
      </c>
      <c r="C3925" s="156">
        <f>'Reported burning'!C3925</f>
        <v>0</v>
      </c>
      <c r="D3925" s="156">
        <f>'Reported burning'!D3925</f>
        <v>0</v>
      </c>
      <c r="E3925" s="156">
        <f>'Reported burning'!E3925</f>
        <v>0</v>
      </c>
      <c r="F3925" s="156">
        <f>'Reported burning'!F3925</f>
        <v>0</v>
      </c>
      <c r="G3925" s="156">
        <f>'Reported burning'!G3925</f>
        <v>0</v>
      </c>
      <c r="H3925" s="156">
        <f>'Reported burning'!H3925</f>
        <v>0</v>
      </c>
      <c r="I3925" s="5"/>
    </row>
    <row r="3926" spans="1:9">
      <c r="A3926" s="156">
        <f>'Reported burning'!A3926</f>
        <v>0</v>
      </c>
      <c r="B3926" s="156">
        <f>'Reported burning'!B3926</f>
        <v>0</v>
      </c>
      <c r="C3926" s="156">
        <f>'Reported burning'!C3926</f>
        <v>0</v>
      </c>
      <c r="D3926" s="156">
        <f>'Reported burning'!D3926</f>
        <v>0</v>
      </c>
      <c r="E3926" s="156">
        <f>'Reported burning'!E3926</f>
        <v>0</v>
      </c>
      <c r="F3926" s="156">
        <f>'Reported burning'!F3926</f>
        <v>0</v>
      </c>
      <c r="G3926" s="156">
        <f>'Reported burning'!G3926</f>
        <v>0</v>
      </c>
      <c r="H3926" s="156">
        <f>'Reported burning'!H3926</f>
        <v>0</v>
      </c>
      <c r="I3926" s="5"/>
    </row>
    <row r="3927" spans="1:9">
      <c r="A3927" s="156">
        <f>'Reported burning'!A3927</f>
        <v>0</v>
      </c>
      <c r="B3927" s="156">
        <f>'Reported burning'!B3927</f>
        <v>0</v>
      </c>
      <c r="C3927" s="156">
        <f>'Reported burning'!C3927</f>
        <v>0</v>
      </c>
      <c r="D3927" s="156">
        <f>'Reported burning'!D3927</f>
        <v>0</v>
      </c>
      <c r="E3927" s="156">
        <f>'Reported burning'!E3927</f>
        <v>0</v>
      </c>
      <c r="F3927" s="156">
        <f>'Reported burning'!F3927</f>
        <v>0</v>
      </c>
      <c r="G3927" s="156">
        <f>'Reported burning'!G3927</f>
        <v>0</v>
      </c>
      <c r="H3927" s="156">
        <f>'Reported burning'!H3927</f>
        <v>0</v>
      </c>
      <c r="I3927" s="5"/>
    </row>
    <row r="3928" spans="1:9">
      <c r="A3928" s="156">
        <f>'Reported burning'!A3928</f>
        <v>0</v>
      </c>
      <c r="B3928" s="156">
        <f>'Reported burning'!B3928</f>
        <v>0</v>
      </c>
      <c r="C3928" s="156">
        <f>'Reported burning'!C3928</f>
        <v>0</v>
      </c>
      <c r="D3928" s="156">
        <f>'Reported burning'!D3928</f>
        <v>0</v>
      </c>
      <c r="E3928" s="156">
        <f>'Reported burning'!E3928</f>
        <v>0</v>
      </c>
      <c r="F3928" s="156">
        <f>'Reported burning'!F3928</f>
        <v>0</v>
      </c>
      <c r="G3928" s="156">
        <f>'Reported burning'!G3928</f>
        <v>0</v>
      </c>
      <c r="H3928" s="156">
        <f>'Reported burning'!H3928</f>
        <v>0</v>
      </c>
      <c r="I3928" s="5"/>
    </row>
    <row r="3929" spans="1:9">
      <c r="A3929" s="156">
        <f>'Reported burning'!A3929</f>
        <v>0</v>
      </c>
      <c r="B3929" s="156">
        <f>'Reported burning'!B3929</f>
        <v>0</v>
      </c>
      <c r="C3929" s="156">
        <f>'Reported burning'!C3929</f>
        <v>0</v>
      </c>
      <c r="D3929" s="156">
        <f>'Reported burning'!D3929</f>
        <v>0</v>
      </c>
      <c r="E3929" s="156">
        <f>'Reported burning'!E3929</f>
        <v>0</v>
      </c>
      <c r="F3929" s="156">
        <f>'Reported burning'!F3929</f>
        <v>0</v>
      </c>
      <c r="G3929" s="156">
        <f>'Reported burning'!G3929</f>
        <v>0</v>
      </c>
      <c r="H3929" s="156">
        <f>'Reported burning'!H3929</f>
        <v>0</v>
      </c>
      <c r="I3929" s="5"/>
    </row>
    <row r="3930" spans="1:9">
      <c r="A3930" s="156">
        <f>'Reported burning'!A3930</f>
        <v>0</v>
      </c>
      <c r="B3930" s="156">
        <f>'Reported burning'!B3930</f>
        <v>0</v>
      </c>
      <c r="C3930" s="156">
        <f>'Reported burning'!C3930</f>
        <v>0</v>
      </c>
      <c r="D3930" s="156">
        <f>'Reported burning'!D3930</f>
        <v>0</v>
      </c>
      <c r="E3930" s="156">
        <f>'Reported burning'!E3930</f>
        <v>0</v>
      </c>
      <c r="F3930" s="156">
        <f>'Reported burning'!F3930</f>
        <v>0</v>
      </c>
      <c r="G3930" s="156">
        <f>'Reported burning'!G3930</f>
        <v>0</v>
      </c>
      <c r="H3930" s="156">
        <f>'Reported burning'!H3930</f>
        <v>0</v>
      </c>
      <c r="I3930" s="5"/>
    </row>
    <row r="3931" spans="1:9">
      <c r="A3931" s="156">
        <f>'Reported burning'!A3931</f>
        <v>0</v>
      </c>
      <c r="B3931" s="156">
        <f>'Reported burning'!B3931</f>
        <v>0</v>
      </c>
      <c r="C3931" s="156">
        <f>'Reported burning'!C3931</f>
        <v>0</v>
      </c>
      <c r="D3931" s="156">
        <f>'Reported burning'!D3931</f>
        <v>0</v>
      </c>
      <c r="E3931" s="156">
        <f>'Reported burning'!E3931</f>
        <v>0</v>
      </c>
      <c r="F3931" s="156">
        <f>'Reported burning'!F3931</f>
        <v>0</v>
      </c>
      <c r="G3931" s="156">
        <f>'Reported burning'!G3931</f>
        <v>0</v>
      </c>
      <c r="H3931" s="156">
        <f>'Reported burning'!H3931</f>
        <v>0</v>
      </c>
      <c r="I3931" s="5"/>
    </row>
    <row r="3932" spans="1:9">
      <c r="A3932" s="156">
        <f>'Reported burning'!A3932</f>
        <v>0</v>
      </c>
      <c r="B3932" s="156">
        <f>'Reported burning'!B3932</f>
        <v>0</v>
      </c>
      <c r="C3932" s="156">
        <f>'Reported burning'!C3932</f>
        <v>0</v>
      </c>
      <c r="D3932" s="156">
        <f>'Reported burning'!D3932</f>
        <v>0</v>
      </c>
      <c r="E3932" s="156">
        <f>'Reported burning'!E3932</f>
        <v>0</v>
      </c>
      <c r="F3932" s="156">
        <f>'Reported burning'!F3932</f>
        <v>0</v>
      </c>
      <c r="G3932" s="156">
        <f>'Reported burning'!G3932</f>
        <v>0</v>
      </c>
      <c r="H3932" s="156">
        <f>'Reported burning'!H3932</f>
        <v>0</v>
      </c>
      <c r="I3932" s="5"/>
    </row>
    <row r="3933" spans="1:9">
      <c r="A3933" s="156">
        <f>'Reported burning'!A3933</f>
        <v>0</v>
      </c>
      <c r="B3933" s="156">
        <f>'Reported burning'!B3933</f>
        <v>0</v>
      </c>
      <c r="C3933" s="156">
        <f>'Reported burning'!C3933</f>
        <v>0</v>
      </c>
      <c r="D3933" s="156">
        <f>'Reported burning'!D3933</f>
        <v>0</v>
      </c>
      <c r="E3933" s="156">
        <f>'Reported burning'!E3933</f>
        <v>0</v>
      </c>
      <c r="F3933" s="156">
        <f>'Reported burning'!F3933</f>
        <v>0</v>
      </c>
      <c r="G3933" s="156">
        <f>'Reported burning'!G3933</f>
        <v>0</v>
      </c>
      <c r="H3933" s="156">
        <f>'Reported burning'!H3933</f>
        <v>0</v>
      </c>
      <c r="I3933" s="5"/>
    </row>
    <row r="3934" spans="1:9">
      <c r="A3934" s="156">
        <f>'Reported burning'!A3934</f>
        <v>0</v>
      </c>
      <c r="B3934" s="156">
        <f>'Reported burning'!B3934</f>
        <v>0</v>
      </c>
      <c r="C3934" s="156">
        <f>'Reported burning'!C3934</f>
        <v>0</v>
      </c>
      <c r="D3934" s="156">
        <f>'Reported burning'!D3934</f>
        <v>0</v>
      </c>
      <c r="E3934" s="156">
        <f>'Reported burning'!E3934</f>
        <v>0</v>
      </c>
      <c r="F3934" s="156">
        <f>'Reported burning'!F3934</f>
        <v>0</v>
      </c>
      <c r="G3934" s="156">
        <f>'Reported burning'!G3934</f>
        <v>0</v>
      </c>
      <c r="H3934" s="156">
        <f>'Reported burning'!H3934</f>
        <v>0</v>
      </c>
      <c r="I3934" s="5"/>
    </row>
    <row r="3935" spans="1:9">
      <c r="A3935" s="156">
        <f>'Reported burning'!A3935</f>
        <v>0</v>
      </c>
      <c r="B3935" s="156">
        <f>'Reported burning'!B3935</f>
        <v>0</v>
      </c>
      <c r="C3935" s="156">
        <f>'Reported burning'!C3935</f>
        <v>0</v>
      </c>
      <c r="D3935" s="156">
        <f>'Reported burning'!D3935</f>
        <v>0</v>
      </c>
      <c r="E3935" s="156">
        <f>'Reported burning'!E3935</f>
        <v>0</v>
      </c>
      <c r="F3935" s="156">
        <f>'Reported burning'!F3935</f>
        <v>0</v>
      </c>
      <c r="G3935" s="156">
        <f>'Reported burning'!G3935</f>
        <v>0</v>
      </c>
      <c r="H3935" s="156">
        <f>'Reported burning'!H3935</f>
        <v>0</v>
      </c>
      <c r="I3935" s="5"/>
    </row>
    <row r="3936" spans="1:9">
      <c r="A3936" s="156">
        <f>'Reported burning'!A3936</f>
        <v>0</v>
      </c>
      <c r="B3936" s="156">
        <f>'Reported burning'!B3936</f>
        <v>0</v>
      </c>
      <c r="C3936" s="156">
        <f>'Reported burning'!C3936</f>
        <v>0</v>
      </c>
      <c r="D3936" s="156">
        <f>'Reported burning'!D3936</f>
        <v>0</v>
      </c>
      <c r="E3936" s="156">
        <f>'Reported burning'!E3936</f>
        <v>0</v>
      </c>
      <c r="F3936" s="156">
        <f>'Reported burning'!F3936</f>
        <v>0</v>
      </c>
      <c r="G3936" s="156">
        <f>'Reported burning'!G3936</f>
        <v>0</v>
      </c>
      <c r="H3936" s="156">
        <f>'Reported burning'!H3936</f>
        <v>0</v>
      </c>
      <c r="I3936" s="5"/>
    </row>
    <row r="3937" spans="1:9">
      <c r="A3937" s="156">
        <f>'Reported burning'!A3937</f>
        <v>0</v>
      </c>
      <c r="B3937" s="156">
        <f>'Reported burning'!B3937</f>
        <v>0</v>
      </c>
      <c r="C3937" s="156">
        <f>'Reported burning'!C3937</f>
        <v>0</v>
      </c>
      <c r="D3937" s="156">
        <f>'Reported burning'!D3937</f>
        <v>0</v>
      </c>
      <c r="E3937" s="156">
        <f>'Reported burning'!E3937</f>
        <v>0</v>
      </c>
      <c r="F3937" s="156">
        <f>'Reported burning'!F3937</f>
        <v>0</v>
      </c>
      <c r="G3937" s="156">
        <f>'Reported burning'!G3937</f>
        <v>0</v>
      </c>
      <c r="H3937" s="156">
        <f>'Reported burning'!H3937</f>
        <v>0</v>
      </c>
      <c r="I3937" s="5"/>
    </row>
    <row r="3938" spans="1:9">
      <c r="A3938" s="156">
        <f>'Reported burning'!A3938</f>
        <v>0</v>
      </c>
      <c r="B3938" s="156">
        <f>'Reported burning'!B3938</f>
        <v>0</v>
      </c>
      <c r="C3938" s="156">
        <f>'Reported burning'!C3938</f>
        <v>0</v>
      </c>
      <c r="D3938" s="156">
        <f>'Reported burning'!D3938</f>
        <v>0</v>
      </c>
      <c r="E3938" s="156">
        <f>'Reported burning'!E3938</f>
        <v>0</v>
      </c>
      <c r="F3938" s="156">
        <f>'Reported burning'!F3938</f>
        <v>0</v>
      </c>
      <c r="G3938" s="156">
        <f>'Reported burning'!G3938</f>
        <v>0</v>
      </c>
      <c r="H3938" s="156">
        <f>'Reported burning'!H3938</f>
        <v>0</v>
      </c>
      <c r="I3938" s="5"/>
    </row>
    <row r="3939" spans="1:9">
      <c r="A3939" s="156">
        <f>'Reported burning'!A3939</f>
        <v>0</v>
      </c>
      <c r="B3939" s="156">
        <f>'Reported burning'!B3939</f>
        <v>0</v>
      </c>
      <c r="C3939" s="156">
        <f>'Reported burning'!C3939</f>
        <v>0</v>
      </c>
      <c r="D3939" s="156">
        <f>'Reported burning'!D3939</f>
        <v>0</v>
      </c>
      <c r="E3939" s="156">
        <f>'Reported burning'!E3939</f>
        <v>0</v>
      </c>
      <c r="F3939" s="156">
        <f>'Reported burning'!F3939</f>
        <v>0</v>
      </c>
      <c r="G3939" s="156">
        <f>'Reported burning'!G3939</f>
        <v>0</v>
      </c>
      <c r="H3939" s="156">
        <f>'Reported burning'!H3939</f>
        <v>0</v>
      </c>
      <c r="I3939" s="5"/>
    </row>
    <row r="3940" spans="1:9">
      <c r="A3940" s="156">
        <f>'Reported burning'!A3940</f>
        <v>0</v>
      </c>
      <c r="B3940" s="156">
        <f>'Reported burning'!B3940</f>
        <v>0</v>
      </c>
      <c r="C3940" s="156">
        <f>'Reported burning'!C3940</f>
        <v>0</v>
      </c>
      <c r="D3940" s="156">
        <f>'Reported burning'!D3940</f>
        <v>0</v>
      </c>
      <c r="E3940" s="156">
        <f>'Reported burning'!E3940</f>
        <v>0</v>
      </c>
      <c r="F3940" s="156">
        <f>'Reported burning'!F3940</f>
        <v>0</v>
      </c>
      <c r="G3940" s="156">
        <f>'Reported burning'!G3940</f>
        <v>0</v>
      </c>
      <c r="H3940" s="156">
        <f>'Reported burning'!H3940</f>
        <v>0</v>
      </c>
      <c r="I3940" s="5"/>
    </row>
    <row r="3941" spans="1:9">
      <c r="A3941" s="156">
        <f>'Reported burning'!A3941</f>
        <v>0</v>
      </c>
      <c r="B3941" s="156">
        <f>'Reported burning'!B3941</f>
        <v>0</v>
      </c>
      <c r="C3941" s="156">
        <f>'Reported burning'!C3941</f>
        <v>0</v>
      </c>
      <c r="D3941" s="156">
        <f>'Reported burning'!D3941</f>
        <v>0</v>
      </c>
      <c r="E3941" s="156">
        <f>'Reported burning'!E3941</f>
        <v>0</v>
      </c>
      <c r="F3941" s="156">
        <f>'Reported burning'!F3941</f>
        <v>0</v>
      </c>
      <c r="G3941" s="156">
        <f>'Reported burning'!G3941</f>
        <v>0</v>
      </c>
      <c r="H3941" s="156">
        <f>'Reported burning'!H3941</f>
        <v>0</v>
      </c>
      <c r="I3941" s="5"/>
    </row>
    <row r="3942" spans="1:9">
      <c r="A3942" s="156">
        <f>'Reported burning'!A3942</f>
        <v>0</v>
      </c>
      <c r="B3942" s="156">
        <f>'Reported burning'!B3942</f>
        <v>0</v>
      </c>
      <c r="C3942" s="156">
        <f>'Reported burning'!C3942</f>
        <v>0</v>
      </c>
      <c r="D3942" s="156">
        <f>'Reported burning'!D3942</f>
        <v>0</v>
      </c>
      <c r="E3942" s="156">
        <f>'Reported burning'!E3942</f>
        <v>0</v>
      </c>
      <c r="F3942" s="156">
        <f>'Reported burning'!F3942</f>
        <v>0</v>
      </c>
      <c r="G3942" s="156">
        <f>'Reported burning'!G3942</f>
        <v>0</v>
      </c>
      <c r="H3942" s="156">
        <f>'Reported burning'!H3942</f>
        <v>0</v>
      </c>
      <c r="I3942" s="5"/>
    </row>
    <row r="3943" spans="1:9">
      <c r="A3943" s="156">
        <f>'Reported burning'!A3943</f>
        <v>0</v>
      </c>
      <c r="B3943" s="156">
        <f>'Reported burning'!B3943</f>
        <v>0</v>
      </c>
      <c r="C3943" s="156">
        <f>'Reported burning'!C3943</f>
        <v>0</v>
      </c>
      <c r="D3943" s="156">
        <f>'Reported burning'!D3943</f>
        <v>0</v>
      </c>
      <c r="E3943" s="156">
        <f>'Reported burning'!E3943</f>
        <v>0</v>
      </c>
      <c r="F3943" s="156">
        <f>'Reported burning'!F3943</f>
        <v>0</v>
      </c>
      <c r="G3943" s="156">
        <f>'Reported burning'!G3943</f>
        <v>0</v>
      </c>
      <c r="H3943" s="156">
        <f>'Reported burning'!H3943</f>
        <v>0</v>
      </c>
      <c r="I3943" s="5"/>
    </row>
    <row r="3944" spans="1:9">
      <c r="A3944" s="156">
        <f>'Reported burning'!A3944</f>
        <v>0</v>
      </c>
      <c r="B3944" s="156">
        <f>'Reported burning'!B3944</f>
        <v>0</v>
      </c>
      <c r="C3944" s="156">
        <f>'Reported burning'!C3944</f>
        <v>0</v>
      </c>
      <c r="D3944" s="156">
        <f>'Reported burning'!D3944</f>
        <v>0</v>
      </c>
      <c r="E3944" s="156">
        <f>'Reported burning'!E3944</f>
        <v>0</v>
      </c>
      <c r="F3944" s="156">
        <f>'Reported burning'!F3944</f>
        <v>0</v>
      </c>
      <c r="G3944" s="156">
        <f>'Reported burning'!G3944</f>
        <v>0</v>
      </c>
      <c r="H3944" s="156">
        <f>'Reported burning'!H3944</f>
        <v>0</v>
      </c>
      <c r="I3944" s="5"/>
    </row>
    <row r="3945" spans="1:9">
      <c r="A3945" s="156">
        <f>'Reported burning'!A3945</f>
        <v>0</v>
      </c>
      <c r="B3945" s="156">
        <f>'Reported burning'!B3945</f>
        <v>0</v>
      </c>
      <c r="C3945" s="156">
        <f>'Reported burning'!C3945</f>
        <v>0</v>
      </c>
      <c r="D3945" s="156">
        <f>'Reported burning'!D3945</f>
        <v>0</v>
      </c>
      <c r="E3945" s="156">
        <f>'Reported burning'!E3945</f>
        <v>0</v>
      </c>
      <c r="F3945" s="156">
        <f>'Reported burning'!F3945</f>
        <v>0</v>
      </c>
      <c r="G3945" s="156">
        <f>'Reported burning'!G3945</f>
        <v>0</v>
      </c>
      <c r="H3945" s="156">
        <f>'Reported burning'!H3945</f>
        <v>0</v>
      </c>
      <c r="I3945" s="5"/>
    </row>
    <row r="3946" spans="1:9">
      <c r="A3946" s="156">
        <f>'Reported burning'!A3946</f>
        <v>0</v>
      </c>
      <c r="B3946" s="156">
        <f>'Reported burning'!B3946</f>
        <v>0</v>
      </c>
      <c r="C3946" s="156">
        <f>'Reported burning'!C3946</f>
        <v>0</v>
      </c>
      <c r="D3946" s="156">
        <f>'Reported burning'!D3946</f>
        <v>0</v>
      </c>
      <c r="E3946" s="156">
        <f>'Reported burning'!E3946</f>
        <v>0</v>
      </c>
      <c r="F3946" s="156">
        <f>'Reported burning'!F3946</f>
        <v>0</v>
      </c>
      <c r="G3946" s="156">
        <f>'Reported burning'!G3946</f>
        <v>0</v>
      </c>
      <c r="H3946" s="156">
        <f>'Reported burning'!H3946</f>
        <v>0</v>
      </c>
      <c r="I3946" s="5"/>
    </row>
    <row r="3947" spans="1:9">
      <c r="A3947" s="156">
        <f>'Reported burning'!A3947</f>
        <v>0</v>
      </c>
      <c r="B3947" s="156">
        <f>'Reported burning'!B3947</f>
        <v>0</v>
      </c>
      <c r="C3947" s="156">
        <f>'Reported burning'!C3947</f>
        <v>0</v>
      </c>
      <c r="D3947" s="156">
        <f>'Reported burning'!D3947</f>
        <v>0</v>
      </c>
      <c r="E3947" s="156">
        <f>'Reported burning'!E3947</f>
        <v>0</v>
      </c>
      <c r="F3947" s="156">
        <f>'Reported burning'!F3947</f>
        <v>0</v>
      </c>
      <c r="G3947" s="156">
        <f>'Reported burning'!G3947</f>
        <v>0</v>
      </c>
      <c r="H3947" s="156">
        <f>'Reported burning'!H3947</f>
        <v>0</v>
      </c>
      <c r="I3947" s="5"/>
    </row>
    <row r="3948" spans="1:9">
      <c r="A3948" s="156">
        <f>'Reported burning'!A3948</f>
        <v>0</v>
      </c>
      <c r="B3948" s="156">
        <f>'Reported burning'!B3948</f>
        <v>0</v>
      </c>
      <c r="C3948" s="156">
        <f>'Reported burning'!C3948</f>
        <v>0</v>
      </c>
      <c r="D3948" s="156">
        <f>'Reported burning'!D3948</f>
        <v>0</v>
      </c>
      <c r="E3948" s="156">
        <f>'Reported burning'!E3948</f>
        <v>0</v>
      </c>
      <c r="F3948" s="156">
        <f>'Reported burning'!F3948</f>
        <v>0</v>
      </c>
      <c r="G3948" s="156">
        <f>'Reported burning'!G3948</f>
        <v>0</v>
      </c>
      <c r="H3948" s="156">
        <f>'Reported burning'!H3948</f>
        <v>0</v>
      </c>
      <c r="I3948" s="5"/>
    </row>
    <row r="3949" spans="1:9">
      <c r="A3949" s="156">
        <f>'Reported burning'!A3949</f>
        <v>0</v>
      </c>
      <c r="B3949" s="156">
        <f>'Reported burning'!B3949</f>
        <v>0</v>
      </c>
      <c r="C3949" s="156">
        <f>'Reported burning'!C3949</f>
        <v>0</v>
      </c>
      <c r="D3949" s="156">
        <f>'Reported burning'!D3949</f>
        <v>0</v>
      </c>
      <c r="E3949" s="156">
        <f>'Reported burning'!E3949</f>
        <v>0</v>
      </c>
      <c r="F3949" s="156">
        <f>'Reported burning'!F3949</f>
        <v>0</v>
      </c>
      <c r="G3949" s="156">
        <f>'Reported burning'!G3949</f>
        <v>0</v>
      </c>
      <c r="H3949" s="156">
        <f>'Reported burning'!H3949</f>
        <v>0</v>
      </c>
      <c r="I3949" s="5"/>
    </row>
    <row r="3950" spans="1:9">
      <c r="A3950" s="156">
        <f>'Reported burning'!A3950</f>
        <v>0</v>
      </c>
      <c r="B3950" s="156">
        <f>'Reported burning'!B3950</f>
        <v>0</v>
      </c>
      <c r="C3950" s="156">
        <f>'Reported burning'!C3950</f>
        <v>0</v>
      </c>
      <c r="D3950" s="156">
        <f>'Reported burning'!D3950</f>
        <v>0</v>
      </c>
      <c r="E3950" s="156">
        <f>'Reported burning'!E3950</f>
        <v>0</v>
      </c>
      <c r="F3950" s="156">
        <f>'Reported burning'!F3950</f>
        <v>0</v>
      </c>
      <c r="G3950" s="156">
        <f>'Reported burning'!G3950</f>
        <v>0</v>
      </c>
      <c r="H3950" s="156">
        <f>'Reported burning'!H3950</f>
        <v>0</v>
      </c>
      <c r="I3950" s="5"/>
    </row>
    <row r="3951" spans="1:9">
      <c r="A3951" s="156">
        <f>'Reported burning'!A3951</f>
        <v>0</v>
      </c>
      <c r="B3951" s="156">
        <f>'Reported burning'!B3951</f>
        <v>0</v>
      </c>
      <c r="C3951" s="156">
        <f>'Reported burning'!C3951</f>
        <v>0</v>
      </c>
      <c r="D3951" s="156">
        <f>'Reported burning'!D3951</f>
        <v>0</v>
      </c>
      <c r="E3951" s="156">
        <f>'Reported burning'!E3951</f>
        <v>0</v>
      </c>
      <c r="F3951" s="156">
        <f>'Reported burning'!F3951</f>
        <v>0</v>
      </c>
      <c r="G3951" s="156">
        <f>'Reported burning'!G3951</f>
        <v>0</v>
      </c>
      <c r="H3951" s="156">
        <f>'Reported burning'!H3951</f>
        <v>0</v>
      </c>
      <c r="I3951" s="5"/>
    </row>
    <row r="3952" spans="1:9">
      <c r="A3952" s="156">
        <f>'Reported burning'!A3952</f>
        <v>0</v>
      </c>
      <c r="B3952" s="156">
        <f>'Reported burning'!B3952</f>
        <v>0</v>
      </c>
      <c r="C3952" s="156">
        <f>'Reported burning'!C3952</f>
        <v>0</v>
      </c>
      <c r="D3952" s="156">
        <f>'Reported burning'!D3952</f>
        <v>0</v>
      </c>
      <c r="E3952" s="156">
        <f>'Reported burning'!E3952</f>
        <v>0</v>
      </c>
      <c r="F3952" s="156">
        <f>'Reported burning'!F3952</f>
        <v>0</v>
      </c>
      <c r="G3952" s="156">
        <f>'Reported burning'!G3952</f>
        <v>0</v>
      </c>
      <c r="H3952" s="156">
        <f>'Reported burning'!H3952</f>
        <v>0</v>
      </c>
      <c r="I3952" s="5"/>
    </row>
    <row r="3953" spans="1:9">
      <c r="A3953" s="156">
        <f>'Reported burning'!A3953</f>
        <v>0</v>
      </c>
      <c r="B3953" s="156">
        <f>'Reported burning'!B3953</f>
        <v>0</v>
      </c>
      <c r="C3953" s="156">
        <f>'Reported burning'!C3953</f>
        <v>0</v>
      </c>
      <c r="D3953" s="156">
        <f>'Reported burning'!D3953</f>
        <v>0</v>
      </c>
      <c r="E3953" s="156">
        <f>'Reported burning'!E3953</f>
        <v>0</v>
      </c>
      <c r="F3953" s="156">
        <f>'Reported burning'!F3953</f>
        <v>0</v>
      </c>
      <c r="G3953" s="156">
        <f>'Reported burning'!G3953</f>
        <v>0</v>
      </c>
      <c r="H3953" s="156">
        <f>'Reported burning'!H3953</f>
        <v>0</v>
      </c>
      <c r="I3953" s="5"/>
    </row>
    <row r="3954" spans="1:9">
      <c r="A3954" s="156">
        <f>'Reported burning'!A3954</f>
        <v>0</v>
      </c>
      <c r="B3954" s="156">
        <f>'Reported burning'!B3954</f>
        <v>0</v>
      </c>
      <c r="C3954" s="156">
        <f>'Reported burning'!C3954</f>
        <v>0</v>
      </c>
      <c r="D3954" s="156">
        <f>'Reported burning'!D3954</f>
        <v>0</v>
      </c>
      <c r="E3954" s="156">
        <f>'Reported burning'!E3954</f>
        <v>0</v>
      </c>
      <c r="F3954" s="156">
        <f>'Reported burning'!F3954</f>
        <v>0</v>
      </c>
      <c r="G3954" s="156">
        <f>'Reported burning'!G3954</f>
        <v>0</v>
      </c>
      <c r="H3954" s="156">
        <f>'Reported burning'!H3954</f>
        <v>0</v>
      </c>
      <c r="I3954" s="5"/>
    </row>
    <row r="3955" spans="1:9">
      <c r="A3955" s="156">
        <f>'Reported burning'!A3955</f>
        <v>0</v>
      </c>
      <c r="B3955" s="156">
        <f>'Reported burning'!B3955</f>
        <v>0</v>
      </c>
      <c r="C3955" s="156">
        <f>'Reported burning'!C3955</f>
        <v>0</v>
      </c>
      <c r="D3955" s="156">
        <f>'Reported burning'!D3955</f>
        <v>0</v>
      </c>
      <c r="E3955" s="156">
        <f>'Reported burning'!E3955</f>
        <v>0</v>
      </c>
      <c r="F3955" s="156">
        <f>'Reported burning'!F3955</f>
        <v>0</v>
      </c>
      <c r="G3955" s="156">
        <f>'Reported burning'!G3955</f>
        <v>0</v>
      </c>
      <c r="H3955" s="156">
        <f>'Reported burning'!H3955</f>
        <v>0</v>
      </c>
      <c r="I3955" s="5"/>
    </row>
    <row r="3956" spans="1:9">
      <c r="A3956" s="156">
        <f>'Reported burning'!A3956</f>
        <v>0</v>
      </c>
      <c r="B3956" s="156">
        <f>'Reported burning'!B3956</f>
        <v>0</v>
      </c>
      <c r="C3956" s="156">
        <f>'Reported burning'!C3956</f>
        <v>0</v>
      </c>
      <c r="D3956" s="156">
        <f>'Reported burning'!D3956</f>
        <v>0</v>
      </c>
      <c r="E3956" s="156">
        <f>'Reported burning'!E3956</f>
        <v>0</v>
      </c>
      <c r="F3956" s="156">
        <f>'Reported burning'!F3956</f>
        <v>0</v>
      </c>
      <c r="G3956" s="156">
        <f>'Reported burning'!G3956</f>
        <v>0</v>
      </c>
      <c r="H3956" s="156">
        <f>'Reported burning'!H3956</f>
        <v>0</v>
      </c>
      <c r="I3956" s="5"/>
    </row>
    <row r="3957" spans="1:9">
      <c r="A3957" s="156">
        <f>'Reported burning'!A3957</f>
        <v>0</v>
      </c>
      <c r="B3957" s="156">
        <f>'Reported burning'!B3957</f>
        <v>0</v>
      </c>
      <c r="C3957" s="156">
        <f>'Reported burning'!C3957</f>
        <v>0</v>
      </c>
      <c r="D3957" s="156">
        <f>'Reported burning'!D3957</f>
        <v>0</v>
      </c>
      <c r="E3957" s="156">
        <f>'Reported burning'!E3957</f>
        <v>0</v>
      </c>
      <c r="F3957" s="156">
        <f>'Reported burning'!F3957</f>
        <v>0</v>
      </c>
      <c r="G3957" s="156">
        <f>'Reported burning'!G3957</f>
        <v>0</v>
      </c>
      <c r="H3957" s="156">
        <f>'Reported burning'!H3957</f>
        <v>0</v>
      </c>
      <c r="I3957" s="5"/>
    </row>
    <row r="3958" spans="1:9">
      <c r="A3958" s="156">
        <f>'Reported burning'!A3958</f>
        <v>0</v>
      </c>
      <c r="B3958" s="156">
        <f>'Reported burning'!B3958</f>
        <v>0</v>
      </c>
      <c r="C3958" s="156">
        <f>'Reported burning'!C3958</f>
        <v>0</v>
      </c>
      <c r="D3958" s="156">
        <f>'Reported burning'!D3958</f>
        <v>0</v>
      </c>
      <c r="E3958" s="156">
        <f>'Reported burning'!E3958</f>
        <v>0</v>
      </c>
      <c r="F3958" s="156">
        <f>'Reported burning'!F3958</f>
        <v>0</v>
      </c>
      <c r="G3958" s="156">
        <f>'Reported burning'!G3958</f>
        <v>0</v>
      </c>
      <c r="H3958" s="156">
        <f>'Reported burning'!H3958</f>
        <v>0</v>
      </c>
      <c r="I3958" s="5"/>
    </row>
    <row r="3959" spans="1:9">
      <c r="A3959" s="156">
        <f>'Reported burning'!A3959</f>
        <v>0</v>
      </c>
      <c r="B3959" s="156">
        <f>'Reported burning'!B3959</f>
        <v>0</v>
      </c>
      <c r="C3959" s="156">
        <f>'Reported burning'!C3959</f>
        <v>0</v>
      </c>
      <c r="D3959" s="156">
        <f>'Reported burning'!D3959</f>
        <v>0</v>
      </c>
      <c r="E3959" s="156">
        <f>'Reported burning'!E3959</f>
        <v>0</v>
      </c>
      <c r="F3959" s="156">
        <f>'Reported burning'!F3959</f>
        <v>0</v>
      </c>
      <c r="G3959" s="156">
        <f>'Reported burning'!G3959</f>
        <v>0</v>
      </c>
      <c r="H3959" s="156">
        <f>'Reported burning'!H3959</f>
        <v>0</v>
      </c>
      <c r="I3959" s="5"/>
    </row>
    <row r="3960" spans="1:9">
      <c r="A3960" s="156">
        <f>'Reported burning'!A3960</f>
        <v>0</v>
      </c>
      <c r="B3960" s="156">
        <f>'Reported burning'!B3960</f>
        <v>0</v>
      </c>
      <c r="C3960" s="156">
        <f>'Reported burning'!C3960</f>
        <v>0</v>
      </c>
      <c r="D3960" s="156">
        <f>'Reported burning'!D3960</f>
        <v>0</v>
      </c>
      <c r="E3960" s="156">
        <f>'Reported burning'!E3960</f>
        <v>0</v>
      </c>
      <c r="F3960" s="156">
        <f>'Reported burning'!F3960</f>
        <v>0</v>
      </c>
      <c r="G3960" s="156">
        <f>'Reported burning'!G3960</f>
        <v>0</v>
      </c>
      <c r="H3960" s="156">
        <f>'Reported burning'!H3960</f>
        <v>0</v>
      </c>
      <c r="I3960" s="5"/>
    </row>
    <row r="3961" spans="1:9">
      <c r="A3961" s="156">
        <f>'Reported burning'!A3961</f>
        <v>0</v>
      </c>
      <c r="B3961" s="156">
        <f>'Reported burning'!B3961</f>
        <v>0</v>
      </c>
      <c r="C3961" s="156">
        <f>'Reported burning'!C3961</f>
        <v>0</v>
      </c>
      <c r="D3961" s="156">
        <f>'Reported burning'!D3961</f>
        <v>0</v>
      </c>
      <c r="E3961" s="156">
        <f>'Reported burning'!E3961</f>
        <v>0</v>
      </c>
      <c r="F3961" s="156">
        <f>'Reported burning'!F3961</f>
        <v>0</v>
      </c>
      <c r="G3961" s="156">
        <f>'Reported burning'!G3961</f>
        <v>0</v>
      </c>
      <c r="H3961" s="156">
        <f>'Reported burning'!H3961</f>
        <v>0</v>
      </c>
      <c r="I3961" s="5"/>
    </row>
    <row r="3962" spans="1:9">
      <c r="A3962" s="156">
        <f>'Reported burning'!A3962</f>
        <v>0</v>
      </c>
      <c r="B3962" s="156">
        <f>'Reported burning'!B3962</f>
        <v>0</v>
      </c>
      <c r="C3962" s="156">
        <f>'Reported burning'!C3962</f>
        <v>0</v>
      </c>
      <c r="D3962" s="156">
        <f>'Reported burning'!D3962</f>
        <v>0</v>
      </c>
      <c r="E3962" s="156">
        <f>'Reported burning'!E3962</f>
        <v>0</v>
      </c>
      <c r="F3962" s="156">
        <f>'Reported burning'!F3962</f>
        <v>0</v>
      </c>
      <c r="G3962" s="156">
        <f>'Reported burning'!G3962</f>
        <v>0</v>
      </c>
      <c r="H3962" s="156">
        <f>'Reported burning'!H3962</f>
        <v>0</v>
      </c>
      <c r="I3962" s="5"/>
    </row>
    <row r="3963" spans="1:9">
      <c r="A3963" s="156">
        <f>'Reported burning'!A3963</f>
        <v>0</v>
      </c>
      <c r="B3963" s="156">
        <f>'Reported burning'!B3963</f>
        <v>0</v>
      </c>
      <c r="C3963" s="156">
        <f>'Reported burning'!C3963</f>
        <v>0</v>
      </c>
      <c r="D3963" s="156">
        <f>'Reported burning'!D3963</f>
        <v>0</v>
      </c>
      <c r="E3963" s="156">
        <f>'Reported burning'!E3963</f>
        <v>0</v>
      </c>
      <c r="F3963" s="156">
        <f>'Reported burning'!F3963</f>
        <v>0</v>
      </c>
      <c r="G3963" s="156">
        <f>'Reported burning'!G3963</f>
        <v>0</v>
      </c>
      <c r="H3963" s="156">
        <f>'Reported burning'!H3963</f>
        <v>0</v>
      </c>
      <c r="I3963" s="5"/>
    </row>
    <row r="3964" spans="1:9">
      <c r="A3964" s="156">
        <f>'Reported burning'!A3964</f>
        <v>0</v>
      </c>
      <c r="B3964" s="156">
        <f>'Reported burning'!B3964</f>
        <v>0</v>
      </c>
      <c r="C3964" s="156">
        <f>'Reported burning'!C3964</f>
        <v>0</v>
      </c>
      <c r="D3964" s="156">
        <f>'Reported burning'!D3964</f>
        <v>0</v>
      </c>
      <c r="E3964" s="156">
        <f>'Reported burning'!E3964</f>
        <v>0</v>
      </c>
      <c r="F3964" s="156">
        <f>'Reported burning'!F3964</f>
        <v>0</v>
      </c>
      <c r="G3964" s="156">
        <f>'Reported burning'!G3964</f>
        <v>0</v>
      </c>
      <c r="H3964" s="156">
        <f>'Reported burning'!H3964</f>
        <v>0</v>
      </c>
      <c r="I3964" s="5"/>
    </row>
  </sheetData>
  <autoFilter ref="A1:A3964"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540" yWindow="624" count="8">
    <dataValidation type="whole" allowBlank="1" showInputMessage="1" showErrorMessage="1" prompt="Integer: leave blank if all study years" sqref="I805:I916 I589:I788 I1:I536 AA2132:AA2135 AB2130:AB2132 AA2562 I918:I1048576" xr:uid="{44BCFA16-E4FF-4DD8-A16E-C774E4872836}">
      <formula1>1900</formula1>
      <formula2>2020</formula2>
    </dataValidation>
    <dataValidation allowBlank="1" showInputMessage="1" showErrorMessage="1" prompt="Case study ID + .1, .2 etc for each direct fire creation PCB associated with the case study" sqref="B1 B3965: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A1528:H1528 B918:H1527 B2:H916 A1529:A1048576 B1529:H3964"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00:V3502 J3509:V3509"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42:V3142 M1218:S1218 L1212:S1212 N1211:S1211 N1213:S1217 M1216 M1214 L1211 U1211:Z1218 AA1219:AA1223 M1219:Z1225 K3159:V3159 L1213:L1225 L1227:Z1237 AC1281:AC1292 K3173:V3183 K3185:V3185 K3188:V3190 K3216:U3217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13:V2514 K2523:V2523 K2546:V2547 K2933:U2933 K2970:U2970 K2983:V2983 K2990:V2990 K3038:V3038 K3041:V3047 K3073:V3073 K3102:V3102 K3110:V3110 K3140:V3140 K2447:V2447 X3254:Z3259 Z3264:Z3286 J3264:W3271 J3284:V3286 J3272:V3280 J3282:V3282 J3287:Q3297 S3287:W3297 R3287:R3291 L3300 V3300 R3300:T3300 P3300 N3300 J3300 W3298:W3299 J3302:Z3302 J3303:V3303 W3303:Z3305 W3307:Z3308 J3306:R3306 W3310:Z3311 J3309:R3309 X3309:Z3309 W3313:Z3314 J3312:R3312 X3312:Z3312 W3316:Z3317 J3315:R3315 X3315:Z3315 J3347:Z3376 J3338:Y3346 J3318:Z3337 AA3378:AA3386 Z3377:Z3496 AA3390:AA3398 AA3426:AA3434 AA3438:AA3446 AA3450:AA3458 AA3462:AA3470 AA3474:AA3482 J3377:Y3377 J3378:V3404 J3408:V3416 J3419:V3490 Q3491:V3492 K3491:O3492 W3378:W3556 J3503:V3508 J3493:V3499 X3490:Y3496 J3510:V3538 U3539:U3571 V3540:V3555 X3497:Z3540 T3540:T3548 J3539:N3540 P3539:S3540 O3539 Z3541:Z3556 X3542:Y3543 J3541:S3549 X3549:Y3556 J3550:T3570 Q3571:Q3574 S3572:Z3572 J3571:O3573 P3571 R3571:T3571 V3557:Z3571 P3573:P3574 K3574:O3574 R3573:Z3574 Z3575:Z3604 X3576:Y3576 S3575:W3577 S3578:Y3580 J3575:R3580 J3581:Y3604 J3605:W3612 J3613:Z3616 J3617:W3630 X3617:Z3622 X3625:Z3630 J3631:Z3638 J3639:X3650 J3652:V3652 J3654:V3654 J3657:V3680 X3651:Y3680 W3651:W3679 J3681:Z3683 J3684:V3689 X3684:Z3689 J3690:Z3694 W3695:W3698 J3695:U3695 J3696:V3698 X3696:Z3698 J3699:Z3710 L3711:Z3713 J3711:K3718 M3714:Z3718 J3719:AB3724 J3725:K3729 M3725:Z3729 J3730:Z3740 AA3730:AB3735 J3741:S3741 U3741:Z3741 J3742:Z3742 K3743 O3743:Z3743 M3743 R3744:Z3744 J3743:J3818 O3745:O3818 M3745:M3818 K3745:K3818 P3744:P3818 L3743:L3818 N3743:N3818 Q3745:Z3814 Q3815:V3815 X3815:Z3815 Q3816:Z3818" xr:uid="{B3C6C6A5-74F8-4A7D-8965-C5F3C42A7810}">
      <formula1>0</formula1>
      <formula2>9999</formula2>
    </dataValidation>
    <dataValidation type="decimal" allowBlank="1" showInputMessage="1" showErrorMessage="1" prompt="Float_x000a__x000a_" sqref="J3281:V3281 J3283:V3283 J3298:V3299 J3301:W3301 J3304:V3305 J3307:V3308 T3306:V3306 J3310:V3311 T3309:V3309 J3313:V3314 T3312:V3312 J3316:V3317 T3315:V3315" xr:uid="{62A98ED7-2157-4DDD-A9FB-0FA143525867}">
      <formula1>0</formula1>
      <formula2>9999999</formula2>
    </dataValidation>
    <dataValidation type="decimal" allowBlank="1" showInputMessage="1" showErrorMessage="1" prompt="Float between 0-100" sqref="J3405:V3407 J3417:V3418" xr:uid="{7C89A4EC-6D68-4D78-BC21-D9F6AD9F9A8A}">
      <formula1>0</formula1>
      <formula2>100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540" yWindow="624" count="19">
        <x14:dataValidation type="list" allowBlank="1" showInputMessage="1" showErrorMessage="1" prompt="One of: Human Deliberate, Human Accidental, Human Escaped, Lightning, Other Natural, Unknown" xr:uid="{77BAA449-F600-4FAA-A409-378EF4E05B84}">
          <x14:formula1>
            <xm:f>'IGNORE Lookups'!$E$3:$E$8</xm:f>
          </x14:formula1>
          <xm:sqref>C1 C3965:C1048576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Z2491:Z2502 W2513:Z2514 K2515:V2516 W2515 Z2515:Z2516 K2520:U2522 Z2518 X2515:Y2519 W2521:Z2523 V2521:V2522 K2524:Z2529 V2520:Z2520 K2538:Y2538 K2530:V2537 W2536:Y2536 W2530:Z2535 X2537:Y2537 Z2536:Z2544 K2539:V2540 K2541:Y2544 X2539:Y2540 K2548:R2551 S2548:S2549 W2545:Z2547 S2545:V2545 N2545 K2545:L2545 K2807:V2817 S2551:Z2551 T2548:Z2550 K2638:V2641 W2638:W2817 K2645:V2659 K2663:V2677 K2681:V2695 K2699:V2713 K2717:V2731 K2735:V2749 K2753:V2767 K2771:V2785 K2789:V2803 K2818:W2835 R2836:W2836 K2552:W2637 O2836:P2836 N2838:N2840 X2844:Y2844 O2838:P2844 X2461:Z2476 N2837:P2837 X2552:Z2562 X3238:Y3239 Q2836:Q2842 K2924:M2924 K2836:K2842 M2836:M2842 X2491:Y2506 W2837:W2842 X2563:Y2842 X2843:Z2843 Q2845:Y2911 S2837:V2844 W2919:Z2919 K2845:O2911 K2912:L2919 M2912:P2916 X2915:Z2918 Q2915:Q2916 M2918:Q2919 R2912:V2919 W2912 Z2844:Z2914 W2916:W2917 X2912:Y2914 M2917 W2914 O2917:Q2917 X2920:Z2921 W2932 W2922:Z2924 O2924:V2924 K2925:Y2931 K2512:Z2512 X2937:Y2951 X2969:Y2969 X2971:Y2972 X2982:Y2989 X3020:Y3020 X3022:Y3038 X3040:Y3040 X3055:Y3072 X3075:Y3076 X3091:Y3101 X3103:Y3109 X3111:Y3116 X3117:Z3124 X3125:Y3128 Y2455 X2401:Y2424 X2450:X2455 Y2451 Y2453 X3143:Y3147 X3151:Y3158 X3160:Y3160 X3197:Y3211 X3218:Y3222 X3228:Y3233 X3243:Y3253 X3260:Y3301 X3306:Y3306 X3378:Y3489 X3541:Y3541 X3544:Y3548 X3575:Y3575 X3577:Y3577 X3605:Y3612 X3623:Y3624 X3695:Y3695 X3819:Y1048576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Z3238:Z3239 V2147 Z2503:Z2506 Z2517 Z2519 Z2563:Z2842 Z2925:Z2931 Z2937:Z2951 Z2986 Z3022:Z3038 Z3040 Z3059:Z3072 Z3091:Z3101 Z3103:Z3109 Z3111:Z3116 Z3125:Z3128 Z3143:Z3147 Z3201:Z3202 K2116:V2122 Z3248:Z3253 Z3287:Z3301 Z3306 Z3605:Z3612 Z3623:Z3624 Y3639:Y3650 Z3695 Z3819:Z1048576</xm:sqref>
        </x14:dataValidation>
        <x14:dataValidation type="list" allowBlank="1" showInputMessage="1" showErrorMessage="1" prompt="Presence or absence" xr:uid="{606FCF66-415C-41B1-B1BE-9964B4191819}">
          <x14:formula1>
            <xm:f>'IGNORE Lookups'!$H$2:$H$3</xm:f>
          </x14:formula1>
          <xm:sqref>H1 H3965:H1048576</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F3965:G1048576 S1999:Z2008 T2009:Z2011 K2012:K2026 O2012:O2026 Q2012:Q2026 Q2003:Q2005 R2006:R2026 P2006:P2026 N2006:N2026 L2006:L2026 K2029:Z2029 O1999:O2005 K2032:Z2032 K2035:Z2040 V2030:Z2031 V2033:Z2034 V2027:Z2028 K2042:Z2042 M2041:O2041 S2041:U2041 W2041:Z2041 K2044:Z2045 W2043:Z2043</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D3965:D1048576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E3965:E1048576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N3074 R3067:R3072 P1110 R957 O3119:O3128 P969 K3119:K3128 Q3119:Q3128 K3201:N3202 S603:U609 K1:K1465 AB610 L611:U617 L619:R844 L618:W618 L610:W610 P3228:P3229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R2511 M2510 P2511 K2507:K2511 O2545:R2545 M2545 Q2843:Q2844 N2836 M2843:M2844 N2841:N2844 K2843:K2844 L2496 L2836:L2844 R2493 R2496 L2493 R2837:R2844 P2845:P2911 N2917 Q2912:Q2914 K2920:R2921 N2924 N2971 O2988 Q2988 P2989 N2989 L3067:L3072 P3067:P3072 R3252:R3253 R3292:R3297 Q3300 O3300 K3300 M3300 P3491:P3492 O3540 R3572 P3572 P3578 R3578 L3714:L3718 L3725:L3729 Q3744 M3744 K3744 O3744 K3819:R1048576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T2503:T2506 T2508 V2517 S2550 V2466 S2920:V2921 V2937:V2946 T2969 S2987 V2988:V2989 V3026:V3037 S3040 V3067 S2415:S2417 S2401:S2405 S2407:S2408 S2412 S3133:S3139 S2450 S2443:S2444 T3191 S3195:S3196 U3300 S3306 S3309 S3312 S3315 V3539 T3539 T3549 V3556 V3695 T3741 S3819:V1048576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K2517:U2519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W2503 W2505 K1482:W1488 V2518:V2519 W2516:W2519 W2537 W2539:W2540 W2461 W2843:W2844 W2913 W2915 W2918 W2920:W2921 W2934 W2937:W2951 W2979 W2988 W3020 W3040 W3075:W3076 W3125:W3128 W3143:W3147 W3151:W3158 W3246:W3251 W3272:W3286 W3300 W3306 W3309 W3312 W3315 W3680 W3684:W3689 W3815 W3819:W1048576</xm:sqref>
        </x14:dataValidation>
        <x14:dataValidation type="list" allowBlank="1" showInputMessage="1" showErrorMessage="1" xr:uid="{22B62566-8B42-4989-AC2F-9DCAB30ABC59}">
          <x14:formula1>
            <xm:f>'IGNORE Lookups'!$E$29:$E$42</xm:f>
          </x14:formula1>
          <xm:sqref>K2460:K2501 L1279:V1280 R2497:R2501 R2494:R2495 L2494:L2495 L2497:L2501 W2374:Z2382 V2467:V2501 W2462:W2501 L1372:V1372 L2460:L2492 L1277:V1277 V1192:V1196 T1192:T1196 L1192:R1196 R2460:R2492 X1191:Z1196 L1187:Z1190 S2461:U2501 L1179:W1186 X2477:Z2490 L950:W950 L1343:W1357 L1364:V1367 K1520:V1527 K1561:V1561 X1520:Z1527 W1520:W1524 P2450:R2453 K1565:V1568 K1570:V1570 K1572:V1572 O2314:O2382 X2389:Y2394 Q2314:R2394 V2456:V2457 K2922:V2923 K2932:V2932 V2459:V2465 K2968:V2968 S2458:S2460 T2456:U2460 K2448:O2449 W2458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M2460:Q2501 V2375:V2394 K2314:N2394 V2366:Z2373 K2502:W2502 T2321:T2394 M2511 K2503:S2506 W2506:W2511 U2503:V2503 U2504:W2504 U2505:V2506 L2507:S2509 T2507:V2507 T2509:V2509 U2508:V2508 L2510:L2511 N2510:O2511 P2510:V2510 Q2511 S2511:V2511 X2507:Z2511 K2457:R2459 K2642:V2644 K2660:V2662 K2678:V2680 K2696:V2698 K2714:V2716 K2732:V2734 K2750:V2752 K2768:V2770 K2786:V2788 K2804:V2806</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K2456:R2456 O2442:O2444 S2448 X2445:Y2446 Z2407:Z2446 S2445:S2446 W2425:W2446 Y2454 O2450:O2453 W2448:W2453 X2448:X2449 Y2448:Y2450 Y2452 S2451:S2453 W2459:W2460 V2458 S2456:S2457 Z2448:Z2460 X2456:Y2460 W2456:W2457 K2406:N2406</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W2454:W2455 K2395:Y2400</xm:sqref>
        </x14:dataValidation>
        <x14:dataValidation type="list" allowBlank="1" showInputMessage="1" showErrorMessage="1" prompt="One of: Traditional , Private, Centrally-allocated, Insecure, Mixed. _x000a_" xr:uid="{BF1116FB-359C-47E7-BC75-685C624DF54C}">
          <x14:formula1>
            <xm:f>'IGNORE Lookups'!$A$23:$A$28</xm:f>
          </x14:formula1>
          <xm:sqref>V2933:V2936 X2932:Z2934 W2933 K2947:V2951 W2935:Z2936 X3234:Y3237 K2952:Z2967 K2969:S2969 W2968:Z2968 K2971:M2971 U2969:W2969 Z2969 V2970:Z2970 Z2971:Z2985 K2972:W2972 O2971:W2971 K2973:Y2978 K2979:V2979 K2982:V2982 X2979:Y2979 K2980:Y2981 W2982:W2987 K2984:V2987 K2991:Y3019 Z2987:Z3021 T2988:U2989 W2989 K2988:N2988 K2989:M2989 P2988 O2989 Q2989:S2989 R2988:S2988 W2990:Y2990 K3020:V3020 K3021:Y3021 K3022:U3037 V3022:V3025 W3022:W3039 K3039:V3039 K3040:R3040 X3039:Z3039 T3040:V3040 K3048:Z3054 K3055:W3066 W3041:Z3047 Z3055:Z3058 K3067:K3072 M3067:O3072 Q3067:Q3073 K3074:M3074 S3067:U3072 W3067:W3073 V3068:V3073 K3073:P3073 O3074:Z3074 Z3075:Z3083 K3075:V3076 R3073:U3073 X3073:Z3073 K3077:Y3083 K3084:Z3090 K3091:W3101 K3102:Z3102 K3103:W3109 K3110:Z3110 X3240:Z3242 K3141:Z3141 K3111:W3118 W3119:W3124 R3119:V3128 P3119:P3139 L3119:N3128 Q3129:Z3132 K3129:O3139 Q3133:R3139 T3133:Z3139 W3140:Z3140 K3143:V3147 W3142:Z3142 K3148:Z3150 K3151:V3158 Z3151:Z3192 W3159:Y3159 K3160:W3160 K3161:Y3161 K3162:V3172 K3184:Y3184 K3186:V3187 K3191:S3191 W3162:Y3183 W3185:Y3190 K3193:Z3194 U3191:Y3191 K3192:Y3192 K3195:R3196 T3195:Z3196 K3197:W3200 Z3197:Z3200 Z3243:Z3247 O3201:W3202 K3218:W3227 K3203:W3211 K3212:Y3215 V3216:Y3217 Z3203:Z3237 K3230:W3245 X3223:Y3227 Q3228:W3229 K3228:O3229 K2934:U2946</xm:sqref>
        </x14:dataValidation>
        <x14:dataValidation type="list" allowBlank="1" showInputMessage="1" showErrorMessage="1" xr:uid="{E36CE04E-BEBD-4D0D-A047-604BF44253E5}">
          <x14:formula1>
            <xm:f>'IGNORE Lookups'!$E$29:$E$45</xm:f>
          </x14:formula1>
          <xm:sqref>K3246:V3251 S3252:W3253 K3252:Q3253 Z3260:Z3263 K3254:W3263 J1:J3263 J3491:J3492 J3574 J3651:V3651 J3653:V3653 J3655:V3656 J3819:J1048576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883"/>
  <sheetViews>
    <sheetView zoomScale="55" zoomScaleNormal="55" workbookViewId="0">
      <pane ySplit="1" topLeftCell="A880" activePane="bottomLeft" state="frozen"/>
      <selection activeCell="F1" sqref="F1"/>
      <selection pane="bottomLeft" activeCell="I888" sqref="I888"/>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6" t="s">
        <v>5370</v>
      </c>
      <c r="B307" s="156" t="s">
        <v>5374</v>
      </c>
      <c r="C307" s="156" t="s">
        <v>24</v>
      </c>
      <c r="D307" s="156" t="s">
        <v>1242</v>
      </c>
      <c r="E307" s="156" t="s">
        <v>116</v>
      </c>
      <c r="F307" s="156" t="s">
        <v>74</v>
      </c>
      <c r="G307" s="156"/>
      <c r="H307" s="3" t="s">
        <v>2276</v>
      </c>
      <c r="I307" s="3" t="s">
        <v>2276</v>
      </c>
      <c r="J307" s="3">
        <v>2</v>
      </c>
      <c r="K307" s="3" t="s">
        <v>5380</v>
      </c>
      <c r="L307" s="3" t="s">
        <v>2276</v>
      </c>
      <c r="M307" s="52" t="s">
        <v>2276</v>
      </c>
      <c r="N307" s="3"/>
    </row>
    <row r="308" spans="1:14" ht="42" customHeight="1">
      <c r="A308" s="185" t="s">
        <v>5370</v>
      </c>
      <c r="B308" s="185" t="s">
        <v>5375</v>
      </c>
      <c r="C308" s="185" t="s">
        <v>24</v>
      </c>
      <c r="D308" s="185" t="s">
        <v>25</v>
      </c>
      <c r="E308" s="185" t="s">
        <v>45</v>
      </c>
      <c r="F308" s="185" t="s">
        <v>55</v>
      </c>
      <c r="G308" s="185"/>
      <c r="H308" s="38">
        <v>2</v>
      </c>
      <c r="I308" s="151" t="s">
        <v>5379</v>
      </c>
      <c r="J308" s="38" t="s">
        <v>2276</v>
      </c>
      <c r="K308" s="38" t="s">
        <v>2276</v>
      </c>
      <c r="L308" s="38" t="s">
        <v>2276</v>
      </c>
      <c r="M308" s="198" t="s">
        <v>2276</v>
      </c>
      <c r="N308" s="3"/>
    </row>
    <row r="309" spans="1:14" ht="40.5" customHeight="1">
      <c r="A309" s="11" t="s">
        <v>5385</v>
      </c>
      <c r="B309" s="11" t="s">
        <v>5388</v>
      </c>
      <c r="C309" s="3" t="s">
        <v>24</v>
      </c>
      <c r="D309" s="3" t="s">
        <v>1242</v>
      </c>
      <c r="E309" s="4" t="s">
        <v>137</v>
      </c>
      <c r="F309" s="4" t="s">
        <v>2662</v>
      </c>
      <c r="G309" s="152"/>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2"/>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2"/>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2"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2"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6"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6"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6"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6"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6"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6"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6"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2" t="s">
        <v>5909</v>
      </c>
      <c r="B355" s="152"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2" t="s">
        <v>5932</v>
      </c>
      <c r="B356" s="192"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2" t="s">
        <v>5932</v>
      </c>
      <c r="B357" s="192"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4" t="s">
        <v>2276</v>
      </c>
      <c r="I372" s="204" t="s">
        <v>2276</v>
      </c>
      <c r="J372" s="204" t="s">
        <v>2276</v>
      </c>
      <c r="K372" s="204" t="s">
        <v>2276</v>
      </c>
      <c r="L372" s="3">
        <v>2</v>
      </c>
      <c r="M372" s="49" t="s">
        <v>6082</v>
      </c>
      <c r="N372" s="3"/>
    </row>
    <row r="373" spans="1:14" ht="43.5" customHeight="1">
      <c r="A373" s="11" t="s">
        <v>6083</v>
      </c>
      <c r="B373" s="11" t="s">
        <v>6979</v>
      </c>
      <c r="C373" s="11" t="s">
        <v>1105</v>
      </c>
      <c r="D373" s="11" t="s">
        <v>1105</v>
      </c>
      <c r="E373" s="19" t="s">
        <v>5005</v>
      </c>
      <c r="F373" s="19" t="s">
        <v>2662</v>
      </c>
      <c r="G373" s="11"/>
      <c r="H373" s="204" t="s">
        <v>2276</v>
      </c>
      <c r="I373" s="204" t="s">
        <v>2276</v>
      </c>
      <c r="J373" s="11">
        <v>2</v>
      </c>
      <c r="K373" s="19" t="s">
        <v>6984</v>
      </c>
      <c r="L373" s="204" t="s">
        <v>2276</v>
      </c>
      <c r="M373" s="204" t="s">
        <v>2276</v>
      </c>
      <c r="N373" s="11"/>
    </row>
    <row r="374" spans="1:14" ht="51" customHeight="1">
      <c r="A374" s="11" t="s">
        <v>6084</v>
      </c>
      <c r="B374" s="11" t="s">
        <v>6981</v>
      </c>
      <c r="C374" s="11" t="s">
        <v>1105</v>
      </c>
      <c r="D374" s="11" t="s">
        <v>1105</v>
      </c>
      <c r="E374" s="19" t="s">
        <v>397</v>
      </c>
      <c r="F374" s="19" t="s">
        <v>28</v>
      </c>
      <c r="G374" s="11"/>
      <c r="H374" s="204" t="s">
        <v>2276</v>
      </c>
      <c r="I374" s="204" t="s">
        <v>2276</v>
      </c>
      <c r="J374" s="11">
        <v>2</v>
      </c>
      <c r="K374" s="19" t="s">
        <v>6985</v>
      </c>
      <c r="L374" s="204" t="s">
        <v>2276</v>
      </c>
      <c r="M374" s="204" t="s">
        <v>2276</v>
      </c>
      <c r="N374" s="11"/>
    </row>
    <row r="375" spans="1:14" s="203" customFormat="1" ht="51" customHeight="1">
      <c r="A375" s="11" t="s">
        <v>6083</v>
      </c>
      <c r="B375" s="11" t="s">
        <v>6980</v>
      </c>
      <c r="C375" s="11" t="s">
        <v>1105</v>
      </c>
      <c r="D375" s="11" t="s">
        <v>1105</v>
      </c>
      <c r="E375" s="19" t="s">
        <v>5005</v>
      </c>
      <c r="F375" s="19" t="s">
        <v>2662</v>
      </c>
      <c r="G375" s="11"/>
      <c r="H375" s="204" t="s">
        <v>2276</v>
      </c>
      <c r="I375" s="204" t="s">
        <v>2276</v>
      </c>
      <c r="J375" s="11">
        <v>2</v>
      </c>
      <c r="K375" s="19" t="s">
        <v>6984</v>
      </c>
      <c r="L375" s="204" t="s">
        <v>2276</v>
      </c>
      <c r="M375" s="204" t="s">
        <v>2276</v>
      </c>
      <c r="N375" s="11"/>
    </row>
    <row r="376" spans="1:14" s="203" customFormat="1" ht="51" customHeight="1">
      <c r="A376" s="11" t="s">
        <v>6084</v>
      </c>
      <c r="B376" s="11" t="s">
        <v>6982</v>
      </c>
      <c r="C376" s="11" t="s">
        <v>1105</v>
      </c>
      <c r="D376" s="11" t="s">
        <v>1105</v>
      </c>
      <c r="E376" s="19" t="s">
        <v>397</v>
      </c>
      <c r="F376" s="19" t="s">
        <v>28</v>
      </c>
      <c r="G376" s="11"/>
      <c r="H376" s="204" t="s">
        <v>2276</v>
      </c>
      <c r="I376" s="204" t="s">
        <v>2276</v>
      </c>
      <c r="J376" s="11">
        <v>2</v>
      </c>
      <c r="K376" s="19" t="s">
        <v>6985</v>
      </c>
      <c r="L376" s="204" t="s">
        <v>2276</v>
      </c>
      <c r="M376" s="204"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4" t="s">
        <v>2276</v>
      </c>
      <c r="M377" s="204" t="s">
        <v>2276</v>
      </c>
      <c r="N377" s="3"/>
    </row>
    <row r="378" spans="1:14" s="203" customFormat="1" ht="69.5" customHeight="1">
      <c r="A378" s="204" t="s">
        <v>6148</v>
      </c>
      <c r="B378" s="204" t="s">
        <v>6191</v>
      </c>
      <c r="C378" s="204" t="s">
        <v>24</v>
      </c>
      <c r="D378" s="204" t="s">
        <v>1242</v>
      </c>
      <c r="E378" s="4" t="s">
        <v>2649</v>
      </c>
      <c r="F378" s="204" t="s">
        <v>74</v>
      </c>
      <c r="G378" s="204"/>
      <c r="H378" s="204">
        <v>2</v>
      </c>
      <c r="I378" s="204" t="s">
        <v>6653</v>
      </c>
      <c r="J378" s="204">
        <v>2</v>
      </c>
      <c r="K378" s="204" t="s">
        <v>6653</v>
      </c>
      <c r="L378" s="204" t="s">
        <v>2276</v>
      </c>
      <c r="M378" s="204" t="s">
        <v>2276</v>
      </c>
      <c r="N378" s="204"/>
    </row>
    <row r="379" spans="1:14" ht="69.5" customHeight="1">
      <c r="A379" s="3" t="s">
        <v>6148</v>
      </c>
      <c r="B379" s="204" t="s">
        <v>6192</v>
      </c>
      <c r="C379" s="3" t="s">
        <v>2656</v>
      </c>
      <c r="D379" s="204" t="s">
        <v>2276</v>
      </c>
      <c r="E379" s="4" t="s">
        <v>137</v>
      </c>
      <c r="F379" s="3" t="s">
        <v>74</v>
      </c>
      <c r="G379" s="3"/>
      <c r="H379" s="3">
        <v>2</v>
      </c>
      <c r="I379" s="204" t="s">
        <v>6652</v>
      </c>
      <c r="J379" s="3">
        <v>2</v>
      </c>
      <c r="K379" s="204" t="s">
        <v>6652</v>
      </c>
      <c r="L379" s="3">
        <v>0</v>
      </c>
      <c r="M379" s="3" t="s">
        <v>6652</v>
      </c>
      <c r="N379" s="3"/>
    </row>
    <row r="380" spans="1:14" s="203" customFormat="1" ht="69.5" customHeight="1">
      <c r="A380" s="204" t="s">
        <v>6148</v>
      </c>
      <c r="B380" s="204" t="s">
        <v>6193</v>
      </c>
      <c r="C380" s="204" t="s">
        <v>2656</v>
      </c>
      <c r="D380" s="204" t="s">
        <v>2276</v>
      </c>
      <c r="E380" s="4" t="s">
        <v>2649</v>
      </c>
      <c r="F380" s="204" t="s">
        <v>74</v>
      </c>
      <c r="G380" s="204"/>
      <c r="H380" s="204">
        <v>2</v>
      </c>
      <c r="I380" s="204" t="s">
        <v>6652</v>
      </c>
      <c r="J380" s="204">
        <v>2</v>
      </c>
      <c r="K380" s="204" t="s">
        <v>6652</v>
      </c>
      <c r="L380" s="204">
        <v>0</v>
      </c>
      <c r="M380" s="204" t="s">
        <v>6652</v>
      </c>
      <c r="N380" s="204"/>
    </row>
    <row r="381" spans="1:14" ht="69.5" customHeight="1">
      <c r="A381" s="3" t="s">
        <v>6149</v>
      </c>
      <c r="B381" s="3" t="s">
        <v>6194</v>
      </c>
      <c r="C381" s="3" t="s">
        <v>24</v>
      </c>
      <c r="D381" s="3" t="s">
        <v>1242</v>
      </c>
      <c r="E381" s="4" t="s">
        <v>137</v>
      </c>
      <c r="F381" s="3" t="s">
        <v>74</v>
      </c>
      <c r="G381" s="3"/>
      <c r="H381" s="3">
        <v>2</v>
      </c>
      <c r="I381" s="3" t="s">
        <v>6249</v>
      </c>
      <c r="J381" s="3">
        <v>2</v>
      </c>
      <c r="K381" s="3" t="s">
        <v>6249</v>
      </c>
      <c r="L381" s="204" t="s">
        <v>2276</v>
      </c>
      <c r="M381" s="204" t="s">
        <v>2276</v>
      </c>
      <c r="N381" s="3"/>
    </row>
    <row r="382" spans="1:14" s="203" customFormat="1" ht="69.5" customHeight="1">
      <c r="A382" s="204" t="s">
        <v>6149</v>
      </c>
      <c r="B382" s="204" t="s">
        <v>6195</v>
      </c>
      <c r="C382" s="204" t="s">
        <v>24</v>
      </c>
      <c r="D382" s="204" t="s">
        <v>1242</v>
      </c>
      <c r="E382" s="4" t="s">
        <v>2649</v>
      </c>
      <c r="F382" s="204" t="s">
        <v>74</v>
      </c>
      <c r="G382" s="204"/>
      <c r="H382" s="204">
        <v>2</v>
      </c>
      <c r="I382" s="204" t="s">
        <v>6653</v>
      </c>
      <c r="J382" s="204">
        <v>2</v>
      </c>
      <c r="K382" s="204" t="s">
        <v>6653</v>
      </c>
      <c r="L382" s="204" t="s">
        <v>2276</v>
      </c>
      <c r="M382" s="204" t="s">
        <v>2276</v>
      </c>
      <c r="N382" s="204"/>
    </row>
    <row r="383" spans="1:14" s="203" customFormat="1" ht="69.5" customHeight="1">
      <c r="A383" s="204" t="s">
        <v>6639</v>
      </c>
      <c r="B383" s="204" t="s">
        <v>6646</v>
      </c>
      <c r="C383" s="204" t="s">
        <v>24</v>
      </c>
      <c r="D383" s="204" t="s">
        <v>1242</v>
      </c>
      <c r="E383" s="4" t="s">
        <v>137</v>
      </c>
      <c r="F383" s="204" t="s">
        <v>74</v>
      </c>
      <c r="G383" s="204"/>
      <c r="H383" s="204">
        <v>2</v>
      </c>
      <c r="I383" s="204" t="s">
        <v>6249</v>
      </c>
      <c r="J383" s="204">
        <v>2</v>
      </c>
      <c r="K383" s="204" t="s">
        <v>6249</v>
      </c>
      <c r="L383" s="204" t="s">
        <v>2276</v>
      </c>
      <c r="M383" s="204" t="s">
        <v>2276</v>
      </c>
      <c r="N383" s="204" t="s">
        <v>6654</v>
      </c>
    </row>
    <row r="384" spans="1:14" s="203" customFormat="1" ht="69.5" customHeight="1">
      <c r="A384" s="204" t="s">
        <v>6639</v>
      </c>
      <c r="B384" s="204" t="s">
        <v>6647</v>
      </c>
      <c r="C384" s="204" t="s">
        <v>24</v>
      </c>
      <c r="D384" s="204" t="s">
        <v>1242</v>
      </c>
      <c r="E384" s="4" t="s">
        <v>2649</v>
      </c>
      <c r="F384" s="204" t="s">
        <v>74</v>
      </c>
      <c r="G384" s="204"/>
      <c r="H384" s="204">
        <v>2</v>
      </c>
      <c r="I384" s="204" t="s">
        <v>6653</v>
      </c>
      <c r="J384" s="204">
        <v>2</v>
      </c>
      <c r="K384" s="204" t="s">
        <v>6653</v>
      </c>
      <c r="L384" s="204" t="s">
        <v>2276</v>
      </c>
      <c r="M384" s="204" t="s">
        <v>2276</v>
      </c>
      <c r="N384" s="204" t="s">
        <v>6655</v>
      </c>
    </row>
    <row r="385" spans="1:14" s="203" customFormat="1" ht="69.5" customHeight="1">
      <c r="A385" s="204" t="s">
        <v>6640</v>
      </c>
      <c r="B385" s="204" t="s">
        <v>6648</v>
      </c>
      <c r="C385" s="204" t="s">
        <v>24</v>
      </c>
      <c r="D385" s="204" t="s">
        <v>1242</v>
      </c>
      <c r="E385" s="4" t="s">
        <v>137</v>
      </c>
      <c r="F385" s="204" t="s">
        <v>74</v>
      </c>
      <c r="G385" s="204"/>
      <c r="H385" s="204">
        <v>2</v>
      </c>
      <c r="I385" s="204" t="s">
        <v>6249</v>
      </c>
      <c r="J385" s="204">
        <v>2</v>
      </c>
      <c r="K385" s="204" t="s">
        <v>6249</v>
      </c>
      <c r="L385" s="204" t="s">
        <v>2276</v>
      </c>
      <c r="M385" s="204" t="s">
        <v>2276</v>
      </c>
      <c r="N385" s="204" t="s">
        <v>6654</v>
      </c>
    </row>
    <row r="386" spans="1:14" s="203" customFormat="1" ht="69.5" customHeight="1">
      <c r="A386" s="204" t="s">
        <v>6640</v>
      </c>
      <c r="B386" s="204" t="s">
        <v>6649</v>
      </c>
      <c r="C386" s="204" t="s">
        <v>24</v>
      </c>
      <c r="D386" s="204" t="s">
        <v>1242</v>
      </c>
      <c r="E386" s="4" t="s">
        <v>2649</v>
      </c>
      <c r="F386" s="204" t="s">
        <v>74</v>
      </c>
      <c r="G386" s="204"/>
      <c r="H386" s="204">
        <v>2</v>
      </c>
      <c r="I386" s="204" t="s">
        <v>6653</v>
      </c>
      <c r="J386" s="204">
        <v>2</v>
      </c>
      <c r="K386" s="204" t="s">
        <v>6653</v>
      </c>
      <c r="L386" s="204" t="s">
        <v>2276</v>
      </c>
      <c r="M386" s="204" t="s">
        <v>2276</v>
      </c>
      <c r="N386" s="204" t="s">
        <v>6655</v>
      </c>
    </row>
    <row r="387" spans="1:14" s="203" customFormat="1" ht="69.5" customHeight="1">
      <c r="A387" s="204" t="s">
        <v>6641</v>
      </c>
      <c r="B387" s="204" t="s">
        <v>6650</v>
      </c>
      <c r="C387" s="204" t="s">
        <v>24</v>
      </c>
      <c r="D387" s="204" t="s">
        <v>1242</v>
      </c>
      <c r="E387" s="4" t="s">
        <v>137</v>
      </c>
      <c r="F387" s="204" t="s">
        <v>74</v>
      </c>
      <c r="G387" s="204"/>
      <c r="H387" s="204">
        <v>2</v>
      </c>
      <c r="I387" s="204" t="s">
        <v>6249</v>
      </c>
      <c r="J387" s="204">
        <v>2</v>
      </c>
      <c r="K387" s="204" t="s">
        <v>6249</v>
      </c>
      <c r="L387" s="204" t="s">
        <v>2276</v>
      </c>
      <c r="M387" s="204" t="s">
        <v>2276</v>
      </c>
      <c r="N387" s="204" t="s">
        <v>6654</v>
      </c>
    </row>
    <row r="388" spans="1:14" s="203" customFormat="1" ht="69.5" customHeight="1">
      <c r="A388" s="204" t="s">
        <v>6641</v>
      </c>
      <c r="B388" s="204" t="s">
        <v>6651</v>
      </c>
      <c r="C388" s="204" t="s">
        <v>24</v>
      </c>
      <c r="D388" s="204" t="s">
        <v>1242</v>
      </c>
      <c r="E388" s="4" t="s">
        <v>2649</v>
      </c>
      <c r="F388" s="204" t="s">
        <v>74</v>
      </c>
      <c r="G388" s="204"/>
      <c r="H388" s="204">
        <v>2</v>
      </c>
      <c r="I388" s="204" t="s">
        <v>6653</v>
      </c>
      <c r="J388" s="204">
        <v>2</v>
      </c>
      <c r="K388" s="204" t="s">
        <v>6653</v>
      </c>
      <c r="L388" s="204" t="s">
        <v>2276</v>
      </c>
      <c r="M388" s="204" t="s">
        <v>2276</v>
      </c>
      <c r="N388" s="204" t="s">
        <v>6655</v>
      </c>
    </row>
    <row r="389" spans="1:14" ht="69.5" customHeight="1">
      <c r="A389" s="3" t="s">
        <v>6150</v>
      </c>
      <c r="B389" s="3" t="s">
        <v>6198</v>
      </c>
      <c r="C389" s="204" t="s">
        <v>1105</v>
      </c>
      <c r="D389" s="204" t="s">
        <v>1105</v>
      </c>
      <c r="E389" s="4" t="s">
        <v>5801</v>
      </c>
      <c r="F389" s="204" t="s">
        <v>160</v>
      </c>
      <c r="G389" s="3"/>
      <c r="H389" s="3" t="s">
        <v>2276</v>
      </c>
      <c r="I389" s="3" t="s">
        <v>2276</v>
      </c>
      <c r="J389" s="3">
        <v>0</v>
      </c>
      <c r="K389" s="3" t="s">
        <v>5215</v>
      </c>
      <c r="L389" s="3" t="s">
        <v>2276</v>
      </c>
      <c r="M389" s="3" t="s">
        <v>2276</v>
      </c>
      <c r="N389" s="3"/>
    </row>
    <row r="390" spans="1:14" ht="130" customHeight="1">
      <c r="A390" s="3" t="s">
        <v>6151</v>
      </c>
      <c r="B390" s="3" t="s">
        <v>6199</v>
      </c>
      <c r="C390" s="204" t="s">
        <v>1105</v>
      </c>
      <c r="D390" s="204" t="s">
        <v>1105</v>
      </c>
      <c r="E390" s="4" t="s">
        <v>3209</v>
      </c>
      <c r="F390" s="204" t="s">
        <v>1105</v>
      </c>
      <c r="G390" s="3">
        <v>2004</v>
      </c>
      <c r="H390" s="204" t="s">
        <v>2276</v>
      </c>
      <c r="I390" s="204" t="s">
        <v>2276</v>
      </c>
      <c r="J390" s="3" t="s">
        <v>2276</v>
      </c>
      <c r="K390" s="3" t="s">
        <v>2276</v>
      </c>
      <c r="L390" s="3">
        <v>3</v>
      </c>
      <c r="M390" s="3" t="s">
        <v>6250</v>
      </c>
      <c r="N390" s="4" t="s">
        <v>6251</v>
      </c>
    </row>
    <row r="391" spans="1:14" s="203" customFormat="1" ht="130" customHeight="1">
      <c r="A391" s="204" t="s">
        <v>6151</v>
      </c>
      <c r="B391" s="204" t="s">
        <v>6200</v>
      </c>
      <c r="C391" s="204" t="s">
        <v>1105</v>
      </c>
      <c r="D391" s="204" t="s">
        <v>1105</v>
      </c>
      <c r="E391" s="4" t="s">
        <v>3209</v>
      </c>
      <c r="F391" s="204" t="s">
        <v>1105</v>
      </c>
      <c r="G391" s="204">
        <v>2003</v>
      </c>
      <c r="H391" s="204" t="s">
        <v>2276</v>
      </c>
      <c r="I391" s="204" t="s">
        <v>2276</v>
      </c>
      <c r="J391" s="204" t="s">
        <v>2276</v>
      </c>
      <c r="K391" s="204" t="s">
        <v>2276</v>
      </c>
      <c r="L391" s="204">
        <v>2</v>
      </c>
      <c r="M391" s="4" t="s">
        <v>6674</v>
      </c>
      <c r="N391" s="4"/>
    </row>
    <row r="392" spans="1:14" ht="59" customHeight="1">
      <c r="A392" s="204" t="s">
        <v>6151</v>
      </c>
      <c r="B392" s="204" t="s">
        <v>6201</v>
      </c>
      <c r="C392" s="204" t="s">
        <v>1105</v>
      </c>
      <c r="D392" s="204" t="s">
        <v>1105</v>
      </c>
      <c r="E392" s="4" t="s">
        <v>5801</v>
      </c>
      <c r="F392" s="204" t="s">
        <v>160</v>
      </c>
      <c r="G392" s="3"/>
      <c r="H392" s="3" t="s">
        <v>2276</v>
      </c>
      <c r="I392" s="3" t="s">
        <v>2276</v>
      </c>
      <c r="J392" s="3">
        <v>0</v>
      </c>
      <c r="K392" s="204" t="s">
        <v>5215</v>
      </c>
      <c r="L392" s="3" t="s">
        <v>2276</v>
      </c>
      <c r="M392" s="3" t="s">
        <v>2276</v>
      </c>
      <c r="N392" s="4"/>
    </row>
    <row r="393" spans="1:14" ht="130" customHeight="1">
      <c r="A393" s="3" t="s">
        <v>6152</v>
      </c>
      <c r="B393" s="3" t="s">
        <v>6202</v>
      </c>
      <c r="C393" s="204" t="s">
        <v>1105</v>
      </c>
      <c r="D393" s="204" t="s">
        <v>1105</v>
      </c>
      <c r="E393" s="4" t="s">
        <v>3209</v>
      </c>
      <c r="F393" s="204" t="s">
        <v>1105</v>
      </c>
      <c r="G393" s="3"/>
      <c r="H393" s="204" t="s">
        <v>2276</v>
      </c>
      <c r="I393" s="204" t="s">
        <v>2276</v>
      </c>
      <c r="J393" s="3" t="s">
        <v>2276</v>
      </c>
      <c r="K393" s="3" t="s">
        <v>2276</v>
      </c>
      <c r="L393" s="3">
        <v>3</v>
      </c>
      <c r="M393" s="3" t="s">
        <v>6250</v>
      </c>
      <c r="N393" s="4" t="s">
        <v>6252</v>
      </c>
    </row>
    <row r="394" spans="1:14" ht="43.5" customHeight="1">
      <c r="A394" s="3" t="s">
        <v>6152</v>
      </c>
      <c r="B394" s="3" t="s">
        <v>6259</v>
      </c>
      <c r="C394" s="204" t="s">
        <v>1105</v>
      </c>
      <c r="D394" s="204" t="s">
        <v>1105</v>
      </c>
      <c r="E394" s="4" t="s">
        <v>5801</v>
      </c>
      <c r="F394" s="204" t="s">
        <v>160</v>
      </c>
      <c r="G394" s="3"/>
      <c r="H394" s="3" t="s">
        <v>2276</v>
      </c>
      <c r="I394" s="3" t="s">
        <v>2276</v>
      </c>
      <c r="J394" s="3">
        <v>0</v>
      </c>
      <c r="K394" s="3" t="s">
        <v>5215</v>
      </c>
      <c r="L394" s="3" t="s">
        <v>2276</v>
      </c>
      <c r="M394" s="3" t="s">
        <v>2276</v>
      </c>
      <c r="N394" s="4"/>
    </row>
    <row r="395" spans="1:14" ht="153.5" customHeight="1">
      <c r="A395" s="204" t="s">
        <v>6153</v>
      </c>
      <c r="B395" s="204" t="s">
        <v>6203</v>
      </c>
      <c r="C395" s="204" t="s">
        <v>1105</v>
      </c>
      <c r="D395" s="204" t="s">
        <v>1105</v>
      </c>
      <c r="E395" s="4" t="s">
        <v>3209</v>
      </c>
      <c r="F395" s="204" t="s">
        <v>1105</v>
      </c>
      <c r="G395" s="3"/>
      <c r="H395" s="204" t="s">
        <v>2276</v>
      </c>
      <c r="I395" s="204" t="s">
        <v>2276</v>
      </c>
      <c r="J395" s="3" t="s">
        <v>2276</v>
      </c>
      <c r="K395" s="3" t="s">
        <v>2276</v>
      </c>
      <c r="L395" s="3">
        <v>3</v>
      </c>
      <c r="M395" s="3" t="s">
        <v>6250</v>
      </c>
      <c r="N395" s="4" t="s">
        <v>6252</v>
      </c>
    </row>
    <row r="396" spans="1:14" ht="65.5" customHeight="1">
      <c r="A396" s="204" t="s">
        <v>6153</v>
      </c>
      <c r="B396" s="204" t="s">
        <v>6260</v>
      </c>
      <c r="C396" s="204" t="s">
        <v>1105</v>
      </c>
      <c r="D396" s="204" t="s">
        <v>1105</v>
      </c>
      <c r="E396" s="4" t="s">
        <v>5801</v>
      </c>
      <c r="F396" s="204" t="s">
        <v>160</v>
      </c>
      <c r="G396" s="3"/>
      <c r="H396" s="3" t="s">
        <v>2276</v>
      </c>
      <c r="I396" s="3" t="s">
        <v>2276</v>
      </c>
      <c r="J396" s="3">
        <v>0</v>
      </c>
      <c r="K396" s="3" t="s">
        <v>5215</v>
      </c>
      <c r="L396" s="3" t="s">
        <v>2276</v>
      </c>
      <c r="M396" s="3" t="s">
        <v>2276</v>
      </c>
      <c r="N396" s="4"/>
    </row>
    <row r="397" spans="1:14" s="203" customFormat="1" ht="142.5" customHeight="1">
      <c r="A397" s="3" t="s">
        <v>6675</v>
      </c>
      <c r="B397" s="3" t="s">
        <v>6676</v>
      </c>
      <c r="C397" s="204" t="s">
        <v>1105</v>
      </c>
      <c r="D397" s="204" t="s">
        <v>1105</v>
      </c>
      <c r="E397" s="4" t="s">
        <v>3209</v>
      </c>
      <c r="F397" s="204" t="s">
        <v>1105</v>
      </c>
      <c r="G397" s="204"/>
      <c r="H397" s="204" t="s">
        <v>2276</v>
      </c>
      <c r="I397" s="204" t="s">
        <v>2276</v>
      </c>
      <c r="J397" s="204" t="s">
        <v>2276</v>
      </c>
      <c r="K397" s="204" t="s">
        <v>2276</v>
      </c>
      <c r="L397" s="204">
        <v>3</v>
      </c>
      <c r="M397" s="204" t="s">
        <v>6250</v>
      </c>
      <c r="N397" s="4" t="s">
        <v>6253</v>
      </c>
    </row>
    <row r="398" spans="1:14" s="203" customFormat="1" ht="46.5" customHeight="1">
      <c r="A398" s="3" t="s">
        <v>6675</v>
      </c>
      <c r="B398" s="204" t="s">
        <v>6678</v>
      </c>
      <c r="C398" s="204" t="s">
        <v>1105</v>
      </c>
      <c r="D398" s="204" t="s">
        <v>1105</v>
      </c>
      <c r="E398" s="4" t="s">
        <v>5801</v>
      </c>
      <c r="F398" s="204" t="s">
        <v>160</v>
      </c>
      <c r="G398" s="204"/>
      <c r="H398" s="204" t="s">
        <v>2276</v>
      </c>
      <c r="I398" s="204" t="s">
        <v>2276</v>
      </c>
      <c r="J398" s="204">
        <v>0</v>
      </c>
      <c r="K398" s="204" t="s">
        <v>5215</v>
      </c>
      <c r="L398" s="204" t="s">
        <v>2276</v>
      </c>
      <c r="M398" s="204" t="s">
        <v>2276</v>
      </c>
      <c r="N398" s="4"/>
    </row>
    <row r="399" spans="1:14" s="203" customFormat="1" ht="46.5" customHeight="1">
      <c r="A399" s="4" t="s">
        <v>6154</v>
      </c>
      <c r="B399" s="4" t="s">
        <v>6204</v>
      </c>
      <c r="C399" s="204" t="s">
        <v>1105</v>
      </c>
      <c r="D399" s="204" t="s">
        <v>1105</v>
      </c>
      <c r="E399" s="4" t="s">
        <v>5801</v>
      </c>
      <c r="F399" s="204" t="s">
        <v>160</v>
      </c>
      <c r="G399" s="204"/>
      <c r="H399" s="204" t="s">
        <v>2276</v>
      </c>
      <c r="I399" s="204" t="s">
        <v>2276</v>
      </c>
      <c r="J399" s="204">
        <v>0</v>
      </c>
      <c r="K399" s="204" t="s">
        <v>5215</v>
      </c>
      <c r="L399" s="204" t="s">
        <v>2276</v>
      </c>
      <c r="M399" s="204" t="s">
        <v>2276</v>
      </c>
      <c r="N399" s="4"/>
    </row>
    <row r="400" spans="1:14" s="203" customFormat="1" ht="46.5" customHeight="1">
      <c r="A400" s="4" t="s">
        <v>6155</v>
      </c>
      <c r="B400" s="4" t="s">
        <v>6205</v>
      </c>
      <c r="C400" s="204" t="s">
        <v>1105</v>
      </c>
      <c r="D400" s="204" t="s">
        <v>1105</v>
      </c>
      <c r="E400" s="4" t="s">
        <v>5801</v>
      </c>
      <c r="F400" s="204" t="s">
        <v>160</v>
      </c>
      <c r="G400" s="204"/>
      <c r="H400" s="204" t="s">
        <v>2276</v>
      </c>
      <c r="I400" s="204" t="s">
        <v>2276</v>
      </c>
      <c r="J400" s="204">
        <v>0</v>
      </c>
      <c r="K400" s="204" t="s">
        <v>5215</v>
      </c>
      <c r="L400" s="204" t="s">
        <v>2276</v>
      </c>
      <c r="M400" s="204" t="s">
        <v>2276</v>
      </c>
      <c r="N400" s="4"/>
    </row>
    <row r="401" spans="1:14" s="203" customFormat="1" ht="46.5" customHeight="1">
      <c r="A401" s="4" t="s">
        <v>6156</v>
      </c>
      <c r="B401" s="4" t="s">
        <v>6206</v>
      </c>
      <c r="C401" s="204" t="s">
        <v>1105</v>
      </c>
      <c r="D401" s="204" t="s">
        <v>1105</v>
      </c>
      <c r="E401" s="4" t="s">
        <v>5801</v>
      </c>
      <c r="F401" s="204" t="s">
        <v>160</v>
      </c>
      <c r="G401" s="204"/>
      <c r="H401" s="204" t="s">
        <v>2276</v>
      </c>
      <c r="I401" s="204" t="s">
        <v>2276</v>
      </c>
      <c r="J401" s="204">
        <v>0</v>
      </c>
      <c r="K401" s="204" t="s">
        <v>5215</v>
      </c>
      <c r="L401" s="204" t="s">
        <v>2276</v>
      </c>
      <c r="M401" s="204" t="s">
        <v>2276</v>
      </c>
      <c r="N401" s="4"/>
    </row>
    <row r="402" spans="1:14" s="203" customFormat="1" ht="46.5" customHeight="1">
      <c r="A402" s="4" t="s">
        <v>6157</v>
      </c>
      <c r="B402" s="4" t="s">
        <v>6207</v>
      </c>
      <c r="C402" s="204" t="s">
        <v>1105</v>
      </c>
      <c r="D402" s="204" t="s">
        <v>1105</v>
      </c>
      <c r="E402" s="4" t="s">
        <v>5801</v>
      </c>
      <c r="F402" s="204" t="s">
        <v>160</v>
      </c>
      <c r="G402" s="204"/>
      <c r="H402" s="204" t="s">
        <v>2276</v>
      </c>
      <c r="I402" s="204" t="s">
        <v>2276</v>
      </c>
      <c r="J402" s="204">
        <v>0</v>
      </c>
      <c r="K402" s="204" t="s">
        <v>5215</v>
      </c>
      <c r="L402" s="204" t="s">
        <v>2276</v>
      </c>
      <c r="M402" s="204" t="s">
        <v>2276</v>
      </c>
      <c r="N402" s="4"/>
    </row>
    <row r="403" spans="1:14" s="203" customFormat="1" ht="46.5" customHeight="1">
      <c r="A403" s="4" t="s">
        <v>6158</v>
      </c>
      <c r="B403" s="4" t="s">
        <v>6208</v>
      </c>
      <c r="C403" s="204" t="s">
        <v>1105</v>
      </c>
      <c r="D403" s="204" t="s">
        <v>1105</v>
      </c>
      <c r="E403" s="4" t="s">
        <v>5801</v>
      </c>
      <c r="F403" s="204" t="s">
        <v>160</v>
      </c>
      <c r="G403" s="204"/>
      <c r="H403" s="204" t="s">
        <v>2276</v>
      </c>
      <c r="I403" s="204" t="s">
        <v>2276</v>
      </c>
      <c r="J403" s="204">
        <v>0</v>
      </c>
      <c r="K403" s="204" t="s">
        <v>5215</v>
      </c>
      <c r="L403" s="204" t="s">
        <v>2276</v>
      </c>
      <c r="M403" s="204" t="s">
        <v>2276</v>
      </c>
      <c r="N403" s="4"/>
    </row>
    <row r="404" spans="1:14" s="203" customFormat="1" ht="46.5" customHeight="1">
      <c r="A404" s="4" t="s">
        <v>6159</v>
      </c>
      <c r="B404" s="4" t="s">
        <v>6209</v>
      </c>
      <c r="C404" s="204" t="s">
        <v>1105</v>
      </c>
      <c r="D404" s="204" t="s">
        <v>1105</v>
      </c>
      <c r="E404" s="4" t="s">
        <v>5801</v>
      </c>
      <c r="F404" s="204" t="s">
        <v>160</v>
      </c>
      <c r="G404" s="204"/>
      <c r="H404" s="204" t="s">
        <v>2276</v>
      </c>
      <c r="I404" s="204" t="s">
        <v>2276</v>
      </c>
      <c r="J404" s="204">
        <v>0</v>
      </c>
      <c r="K404" s="204" t="s">
        <v>5215</v>
      </c>
      <c r="L404" s="204" t="s">
        <v>2276</v>
      </c>
      <c r="M404" s="204"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4" t="s">
        <v>1105</v>
      </c>
      <c r="D408" s="204" t="s">
        <v>1105</v>
      </c>
      <c r="E408" s="4" t="s">
        <v>5801</v>
      </c>
      <c r="F408" s="204" t="s">
        <v>160</v>
      </c>
      <c r="G408" s="3"/>
      <c r="H408" s="3" t="s">
        <v>2276</v>
      </c>
      <c r="I408" s="3" t="s">
        <v>2276</v>
      </c>
      <c r="J408" s="3">
        <v>0</v>
      </c>
      <c r="K408" s="3" t="s">
        <v>5215</v>
      </c>
      <c r="L408" s="204" t="s">
        <v>2276</v>
      </c>
      <c r="M408" s="204" t="s">
        <v>2276</v>
      </c>
      <c r="N408" s="3"/>
    </row>
    <row r="409" spans="1:14" ht="68" customHeight="1">
      <c r="A409" s="204" t="s">
        <v>6162</v>
      </c>
      <c r="B409" s="204" t="s">
        <v>6215</v>
      </c>
      <c r="C409" s="3" t="s">
        <v>1105</v>
      </c>
      <c r="D409" s="3" t="s">
        <v>1105</v>
      </c>
      <c r="E409" s="4" t="s">
        <v>3209</v>
      </c>
      <c r="F409" s="3" t="s">
        <v>74</v>
      </c>
      <c r="G409" s="3"/>
      <c r="H409" s="3">
        <v>2</v>
      </c>
      <c r="I409" s="3" t="s">
        <v>6254</v>
      </c>
      <c r="J409" s="3">
        <v>2</v>
      </c>
      <c r="K409" s="3" t="s">
        <v>6254</v>
      </c>
      <c r="L409" s="204">
        <v>3</v>
      </c>
      <c r="M409" s="204" t="s">
        <v>6696</v>
      </c>
      <c r="N409" s="3"/>
    </row>
    <row r="410" spans="1:14" s="203" customFormat="1" ht="68" customHeight="1">
      <c r="A410" s="204" t="s">
        <v>6163</v>
      </c>
      <c r="B410" s="204" t="s">
        <v>6218</v>
      </c>
      <c r="C410" s="204" t="s">
        <v>1105</v>
      </c>
      <c r="D410" s="204" t="s">
        <v>1105</v>
      </c>
      <c r="E410" s="4" t="s">
        <v>5801</v>
      </c>
      <c r="F410" s="204" t="s">
        <v>160</v>
      </c>
      <c r="G410" s="204"/>
      <c r="H410" s="204" t="s">
        <v>2276</v>
      </c>
      <c r="I410" s="204" t="s">
        <v>2276</v>
      </c>
      <c r="J410" s="204">
        <v>0</v>
      </c>
      <c r="K410" s="204" t="s">
        <v>5215</v>
      </c>
      <c r="L410" s="204" t="s">
        <v>2276</v>
      </c>
      <c r="M410" s="204" t="s">
        <v>2276</v>
      </c>
      <c r="N410" s="204" t="s">
        <v>6713</v>
      </c>
    </row>
    <row r="411" spans="1:14" s="203" customFormat="1" ht="68" customHeight="1">
      <c r="A411" s="204" t="s">
        <v>6164</v>
      </c>
      <c r="B411" s="204" t="s">
        <v>6219</v>
      </c>
      <c r="C411" s="204" t="s">
        <v>1105</v>
      </c>
      <c r="D411" s="204" t="s">
        <v>1105</v>
      </c>
      <c r="E411" s="4" t="s">
        <v>5801</v>
      </c>
      <c r="F411" s="204" t="s">
        <v>160</v>
      </c>
      <c r="G411" s="204"/>
      <c r="H411" s="204" t="s">
        <v>2276</v>
      </c>
      <c r="I411" s="204" t="s">
        <v>2276</v>
      </c>
      <c r="J411" s="204">
        <v>0</v>
      </c>
      <c r="K411" s="204" t="s">
        <v>5215</v>
      </c>
      <c r="L411" s="204" t="s">
        <v>2276</v>
      </c>
      <c r="M411" s="204" t="s">
        <v>2276</v>
      </c>
      <c r="N411" s="204" t="s">
        <v>6713</v>
      </c>
    </row>
    <row r="412" spans="1:14" s="203" customFormat="1" ht="68" customHeight="1">
      <c r="A412" s="204" t="s">
        <v>6165</v>
      </c>
      <c r="B412" s="204" t="s">
        <v>6220</v>
      </c>
      <c r="C412" s="204" t="s">
        <v>1105</v>
      </c>
      <c r="D412" s="204" t="s">
        <v>1105</v>
      </c>
      <c r="E412" s="4" t="s">
        <v>5801</v>
      </c>
      <c r="F412" s="204" t="s">
        <v>160</v>
      </c>
      <c r="G412" s="204"/>
      <c r="H412" s="204" t="s">
        <v>2276</v>
      </c>
      <c r="I412" s="204" t="s">
        <v>2276</v>
      </c>
      <c r="J412" s="204">
        <v>0</v>
      </c>
      <c r="K412" s="204" t="s">
        <v>5215</v>
      </c>
      <c r="L412" s="204" t="s">
        <v>2276</v>
      </c>
      <c r="M412" s="204" t="s">
        <v>2276</v>
      </c>
      <c r="N412" s="204" t="s">
        <v>6713</v>
      </c>
    </row>
    <row r="413" spans="1:14" s="203" customFormat="1" ht="68" customHeight="1">
      <c r="A413" s="204" t="s">
        <v>6164</v>
      </c>
      <c r="B413" s="204" t="s">
        <v>6705</v>
      </c>
      <c r="C413" s="204" t="s">
        <v>1105</v>
      </c>
      <c r="D413" s="204" t="s">
        <v>1105</v>
      </c>
      <c r="E413" s="4" t="s">
        <v>3209</v>
      </c>
      <c r="F413" s="204" t="s">
        <v>1105</v>
      </c>
      <c r="G413" s="204"/>
      <c r="H413" s="204" t="s">
        <v>2276</v>
      </c>
      <c r="I413" s="204" t="s">
        <v>2276</v>
      </c>
      <c r="J413" s="204" t="s">
        <v>2276</v>
      </c>
      <c r="K413" s="204" t="s">
        <v>2276</v>
      </c>
      <c r="L413" s="204">
        <v>3</v>
      </c>
      <c r="M413" s="204" t="s">
        <v>6712</v>
      </c>
      <c r="N413" s="204"/>
    </row>
    <row r="414" spans="1:14" s="203" customFormat="1" ht="68" customHeight="1">
      <c r="A414" s="204" t="s">
        <v>6165</v>
      </c>
      <c r="B414" s="204" t="s">
        <v>6706</v>
      </c>
      <c r="C414" s="204" t="s">
        <v>1105</v>
      </c>
      <c r="D414" s="204" t="s">
        <v>1105</v>
      </c>
      <c r="E414" s="4" t="s">
        <v>3209</v>
      </c>
      <c r="F414" s="204" t="s">
        <v>1105</v>
      </c>
      <c r="G414" s="204"/>
      <c r="H414" s="204" t="s">
        <v>2276</v>
      </c>
      <c r="I414" s="204" t="s">
        <v>2276</v>
      </c>
      <c r="J414" s="204" t="s">
        <v>2276</v>
      </c>
      <c r="K414" s="204" t="s">
        <v>2276</v>
      </c>
      <c r="L414" s="204">
        <v>3</v>
      </c>
      <c r="M414" s="204" t="s">
        <v>6712</v>
      </c>
      <c r="N414" s="204"/>
    </row>
    <row r="415" spans="1:14" s="203" customFormat="1" ht="68" customHeight="1">
      <c r="A415" s="204" t="s">
        <v>6166</v>
      </c>
      <c r="B415" s="204" t="s">
        <v>6221</v>
      </c>
      <c r="C415" s="204" t="s">
        <v>1105</v>
      </c>
      <c r="D415" s="204" t="s">
        <v>1105</v>
      </c>
      <c r="E415" s="4" t="s">
        <v>5801</v>
      </c>
      <c r="F415" s="204" t="s">
        <v>160</v>
      </c>
      <c r="G415" s="204"/>
      <c r="H415" s="204" t="s">
        <v>2276</v>
      </c>
      <c r="I415" s="204" t="s">
        <v>2276</v>
      </c>
      <c r="J415" s="204">
        <v>0</v>
      </c>
      <c r="K415" s="4" t="s">
        <v>6805</v>
      </c>
      <c r="L415" s="204" t="s">
        <v>2276</v>
      </c>
      <c r="M415" s="204" t="s">
        <v>2276</v>
      </c>
      <c r="N415" s="204"/>
    </row>
    <row r="416" spans="1:14" s="203" customFormat="1" ht="68" customHeight="1">
      <c r="A416" s="204" t="s">
        <v>6167</v>
      </c>
      <c r="B416" s="204" t="s">
        <v>6222</v>
      </c>
      <c r="C416" s="204" t="s">
        <v>1105</v>
      </c>
      <c r="D416" s="204" t="s">
        <v>1105</v>
      </c>
      <c r="E416" s="4" t="s">
        <v>5801</v>
      </c>
      <c r="F416" s="204" t="s">
        <v>160</v>
      </c>
      <c r="G416" s="204"/>
      <c r="H416" s="204" t="s">
        <v>2276</v>
      </c>
      <c r="I416" s="204" t="s">
        <v>2276</v>
      </c>
      <c r="J416" s="204">
        <v>0</v>
      </c>
      <c r="K416" s="4" t="s">
        <v>6805</v>
      </c>
      <c r="L416" s="204" t="s">
        <v>2276</v>
      </c>
      <c r="M416" s="204" t="s">
        <v>2276</v>
      </c>
      <c r="N416" s="204"/>
    </row>
    <row r="417" spans="1:14" ht="68" customHeight="1">
      <c r="A417" s="3" t="s">
        <v>6168</v>
      </c>
      <c r="B417" s="3" t="s">
        <v>6223</v>
      </c>
      <c r="C417" s="204" t="s">
        <v>24</v>
      </c>
      <c r="D417" s="204" t="s">
        <v>25</v>
      </c>
      <c r="E417" s="4" t="s">
        <v>3855</v>
      </c>
      <c r="F417" s="204" t="s">
        <v>29</v>
      </c>
      <c r="G417" s="3"/>
      <c r="H417" s="204">
        <v>1</v>
      </c>
      <c r="I417" s="4" t="s">
        <v>6781</v>
      </c>
      <c r="J417" s="204">
        <v>1</v>
      </c>
      <c r="K417" s="4" t="s">
        <v>6782</v>
      </c>
      <c r="L417" s="204" t="s">
        <v>2276</v>
      </c>
      <c r="M417" s="52" t="s">
        <v>2276</v>
      </c>
      <c r="N417" s="204"/>
    </row>
    <row r="418" spans="1:14" ht="68" customHeight="1">
      <c r="A418" s="3" t="s">
        <v>6168</v>
      </c>
      <c r="B418" s="3" t="s">
        <v>6224</v>
      </c>
      <c r="C418" s="204" t="s">
        <v>1105</v>
      </c>
      <c r="D418" s="204" t="s">
        <v>1105</v>
      </c>
      <c r="E418" s="4" t="s">
        <v>5801</v>
      </c>
      <c r="F418" s="204" t="s">
        <v>160</v>
      </c>
      <c r="G418" s="3"/>
      <c r="H418" s="3" t="s">
        <v>2276</v>
      </c>
      <c r="I418" s="3" t="s">
        <v>2276</v>
      </c>
      <c r="J418" s="3">
        <v>0</v>
      </c>
      <c r="K418" s="3" t="s">
        <v>5215</v>
      </c>
      <c r="L418" s="3" t="s">
        <v>2276</v>
      </c>
      <c r="M418" s="3" t="s">
        <v>2276</v>
      </c>
      <c r="N418" s="3"/>
    </row>
    <row r="419" spans="1:14" ht="68" customHeight="1">
      <c r="A419" s="204" t="s">
        <v>6168</v>
      </c>
      <c r="B419" s="204" t="s">
        <v>6225</v>
      </c>
      <c r="C419" s="204" t="s">
        <v>1105</v>
      </c>
      <c r="D419" s="204" t="s">
        <v>1105</v>
      </c>
      <c r="E419" s="4" t="s">
        <v>3209</v>
      </c>
      <c r="F419" s="4" t="s">
        <v>2276</v>
      </c>
      <c r="G419" s="3"/>
      <c r="H419" s="204">
        <v>1</v>
      </c>
      <c r="I419" s="4" t="s">
        <v>6783</v>
      </c>
      <c r="J419" s="204">
        <v>2</v>
      </c>
      <c r="K419" s="4" t="s">
        <v>6784</v>
      </c>
      <c r="L419" s="204">
        <v>3</v>
      </c>
      <c r="M419" s="4" t="s">
        <v>6785</v>
      </c>
      <c r="N419" s="3"/>
    </row>
    <row r="420" spans="1:14" s="203" customFormat="1" ht="68" customHeight="1">
      <c r="A420" s="204" t="s">
        <v>6168</v>
      </c>
      <c r="B420" s="204" t="s">
        <v>6226</v>
      </c>
      <c r="C420" s="204" t="s">
        <v>24</v>
      </c>
      <c r="D420" s="204" t="s">
        <v>2659</v>
      </c>
      <c r="E420" s="4" t="s">
        <v>3855</v>
      </c>
      <c r="F420" s="4" t="s">
        <v>28</v>
      </c>
      <c r="G420" s="204"/>
      <c r="H420" s="204">
        <v>0</v>
      </c>
      <c r="I420" s="4" t="s">
        <v>6788</v>
      </c>
      <c r="J420" s="204" t="s">
        <v>2276</v>
      </c>
      <c r="K420" s="204" t="s">
        <v>2276</v>
      </c>
      <c r="L420" s="204" t="s">
        <v>2276</v>
      </c>
      <c r="M420" s="204" t="s">
        <v>2276</v>
      </c>
      <c r="N420" s="204"/>
    </row>
    <row r="421" spans="1:14" ht="68" customHeight="1">
      <c r="A421" s="204" t="s">
        <v>6169</v>
      </c>
      <c r="B421" s="204" t="s">
        <v>6229</v>
      </c>
      <c r="C421" s="204" t="s">
        <v>24</v>
      </c>
      <c r="D421" s="204" t="s">
        <v>25</v>
      </c>
      <c r="E421" s="4" t="s">
        <v>3855</v>
      </c>
      <c r="F421" s="204" t="s">
        <v>29</v>
      </c>
      <c r="G421" s="204"/>
      <c r="H421" s="204">
        <v>1</v>
      </c>
      <c r="I421" s="4" t="s">
        <v>6781</v>
      </c>
      <c r="J421" s="204">
        <v>1</v>
      </c>
      <c r="K421" s="4" t="s">
        <v>6782</v>
      </c>
      <c r="L421" s="204" t="s">
        <v>2276</v>
      </c>
      <c r="M421" s="52" t="s">
        <v>2276</v>
      </c>
      <c r="N421" s="204"/>
    </row>
    <row r="422" spans="1:14" ht="68" customHeight="1">
      <c r="A422" s="204" t="s">
        <v>6169</v>
      </c>
      <c r="B422" s="204" t="s">
        <v>6715</v>
      </c>
      <c r="C422" s="204" t="s">
        <v>1105</v>
      </c>
      <c r="D422" s="204" t="s">
        <v>1105</v>
      </c>
      <c r="E422" s="4" t="s">
        <v>5801</v>
      </c>
      <c r="F422" s="204" t="s">
        <v>160</v>
      </c>
      <c r="G422" s="204"/>
      <c r="H422" s="204" t="s">
        <v>2276</v>
      </c>
      <c r="I422" s="204" t="s">
        <v>2276</v>
      </c>
      <c r="J422" s="204">
        <v>0</v>
      </c>
      <c r="K422" s="204" t="s">
        <v>5215</v>
      </c>
      <c r="L422" s="204" t="s">
        <v>2276</v>
      </c>
      <c r="M422" s="204" t="s">
        <v>2276</v>
      </c>
      <c r="N422" s="204"/>
    </row>
    <row r="423" spans="1:14" ht="68" customHeight="1">
      <c r="A423" s="204" t="s">
        <v>6169</v>
      </c>
      <c r="B423" s="204" t="s">
        <v>6716</v>
      </c>
      <c r="C423" s="204" t="s">
        <v>1105</v>
      </c>
      <c r="D423" s="204" t="s">
        <v>1105</v>
      </c>
      <c r="E423" s="4" t="s">
        <v>3209</v>
      </c>
      <c r="F423" s="4" t="s">
        <v>2276</v>
      </c>
      <c r="G423" s="204"/>
      <c r="H423" s="204">
        <v>1</v>
      </c>
      <c r="I423" s="4" t="s">
        <v>6783</v>
      </c>
      <c r="J423" s="204">
        <v>2</v>
      </c>
      <c r="K423" s="4" t="s">
        <v>6784</v>
      </c>
      <c r="L423" s="204">
        <v>3</v>
      </c>
      <c r="M423" s="4" t="s">
        <v>6785</v>
      </c>
      <c r="N423" s="204"/>
    </row>
    <row r="424" spans="1:14" s="203" customFormat="1" ht="68" customHeight="1">
      <c r="A424" s="204" t="s">
        <v>6169</v>
      </c>
      <c r="B424" s="204" t="s">
        <v>6717</v>
      </c>
      <c r="C424" s="204" t="s">
        <v>24</v>
      </c>
      <c r="D424" s="204" t="s">
        <v>2659</v>
      </c>
      <c r="E424" s="4" t="s">
        <v>3855</v>
      </c>
      <c r="F424" s="4" t="s">
        <v>28</v>
      </c>
      <c r="G424" s="204"/>
      <c r="H424" s="204">
        <v>0</v>
      </c>
      <c r="I424" s="4" t="s">
        <v>6788</v>
      </c>
      <c r="J424" s="204" t="s">
        <v>2276</v>
      </c>
      <c r="K424" s="204" t="s">
        <v>2276</v>
      </c>
      <c r="L424" s="204" t="s">
        <v>2276</v>
      </c>
      <c r="M424" s="204" t="s">
        <v>2276</v>
      </c>
      <c r="N424" s="204"/>
    </row>
    <row r="425" spans="1:14" ht="68" customHeight="1">
      <c r="A425" s="204" t="s">
        <v>6170</v>
      </c>
      <c r="B425" s="204" t="s">
        <v>6230</v>
      </c>
      <c r="C425" s="204" t="s">
        <v>24</v>
      </c>
      <c r="D425" s="204" t="s">
        <v>25</v>
      </c>
      <c r="E425" s="4" t="s">
        <v>3855</v>
      </c>
      <c r="F425" s="204" t="s">
        <v>29</v>
      </c>
      <c r="G425" s="204"/>
      <c r="H425" s="204">
        <v>1</v>
      </c>
      <c r="I425" s="4" t="s">
        <v>6781</v>
      </c>
      <c r="J425" s="204">
        <v>1</v>
      </c>
      <c r="K425" s="4" t="s">
        <v>6782</v>
      </c>
      <c r="L425" s="204" t="s">
        <v>2276</v>
      </c>
      <c r="M425" s="52" t="s">
        <v>2276</v>
      </c>
      <c r="N425" s="204"/>
    </row>
    <row r="426" spans="1:14" ht="68" customHeight="1">
      <c r="A426" s="204" t="s">
        <v>6170</v>
      </c>
      <c r="B426" s="204" t="s">
        <v>6721</v>
      </c>
      <c r="C426" s="204" t="s">
        <v>1105</v>
      </c>
      <c r="D426" s="204" t="s">
        <v>1105</v>
      </c>
      <c r="E426" s="4" t="s">
        <v>5801</v>
      </c>
      <c r="F426" s="204" t="s">
        <v>160</v>
      </c>
      <c r="G426" s="204"/>
      <c r="H426" s="204" t="s">
        <v>2276</v>
      </c>
      <c r="I426" s="204" t="s">
        <v>2276</v>
      </c>
      <c r="J426" s="204">
        <v>0</v>
      </c>
      <c r="K426" s="204" t="s">
        <v>5215</v>
      </c>
      <c r="L426" s="204" t="s">
        <v>2276</v>
      </c>
      <c r="M426" s="204" t="s">
        <v>2276</v>
      </c>
      <c r="N426" s="204"/>
    </row>
    <row r="427" spans="1:14" ht="68" customHeight="1">
      <c r="A427" s="204" t="s">
        <v>6170</v>
      </c>
      <c r="B427" s="204" t="s">
        <v>6722</v>
      </c>
      <c r="C427" s="204" t="s">
        <v>1105</v>
      </c>
      <c r="D427" s="204" t="s">
        <v>1105</v>
      </c>
      <c r="E427" s="4" t="s">
        <v>3209</v>
      </c>
      <c r="F427" s="4" t="s">
        <v>2276</v>
      </c>
      <c r="G427" s="204"/>
      <c r="H427" s="204">
        <v>1</v>
      </c>
      <c r="I427" s="4" t="s">
        <v>6783</v>
      </c>
      <c r="J427" s="204">
        <v>2</v>
      </c>
      <c r="K427" s="4" t="s">
        <v>6784</v>
      </c>
      <c r="L427" s="204">
        <v>3</v>
      </c>
      <c r="M427" s="4" t="s">
        <v>6785</v>
      </c>
      <c r="N427" s="204"/>
    </row>
    <row r="428" spans="1:14" ht="68" customHeight="1">
      <c r="A428" s="204" t="s">
        <v>6170</v>
      </c>
      <c r="B428" s="204" t="s">
        <v>6723</v>
      </c>
      <c r="C428" s="204" t="s">
        <v>24</v>
      </c>
      <c r="D428" s="204" t="s">
        <v>2659</v>
      </c>
      <c r="E428" s="4" t="s">
        <v>3855</v>
      </c>
      <c r="F428" s="4" t="s">
        <v>28</v>
      </c>
      <c r="G428" s="204"/>
      <c r="H428" s="204">
        <v>0</v>
      </c>
      <c r="I428" s="4" t="s">
        <v>6788</v>
      </c>
      <c r="J428" s="204" t="s">
        <v>2276</v>
      </c>
      <c r="K428" s="204" t="s">
        <v>2276</v>
      </c>
      <c r="L428" s="204" t="s">
        <v>2276</v>
      </c>
      <c r="M428" s="204" t="s">
        <v>2276</v>
      </c>
      <c r="N428" s="204"/>
    </row>
    <row r="429" spans="1:14" ht="68" customHeight="1">
      <c r="A429" s="204" t="s">
        <v>6171</v>
      </c>
      <c r="B429" s="204" t="s">
        <v>6231</v>
      </c>
      <c r="C429" s="204" t="s">
        <v>24</v>
      </c>
      <c r="D429" s="204" t="s">
        <v>25</v>
      </c>
      <c r="E429" s="4" t="s">
        <v>3855</v>
      </c>
      <c r="F429" s="204" t="s">
        <v>29</v>
      </c>
      <c r="G429" s="204"/>
      <c r="H429" s="204">
        <v>1</v>
      </c>
      <c r="I429" s="4" t="s">
        <v>6781</v>
      </c>
      <c r="J429" s="204">
        <v>1</v>
      </c>
      <c r="K429" s="4" t="s">
        <v>6782</v>
      </c>
      <c r="L429" s="204" t="s">
        <v>2276</v>
      </c>
      <c r="M429" s="52" t="s">
        <v>2276</v>
      </c>
      <c r="N429" s="204"/>
    </row>
    <row r="430" spans="1:14" ht="68" customHeight="1">
      <c r="A430" s="204" t="s">
        <v>6171</v>
      </c>
      <c r="B430" s="204" t="s">
        <v>6727</v>
      </c>
      <c r="C430" s="204" t="s">
        <v>1105</v>
      </c>
      <c r="D430" s="204" t="s">
        <v>1105</v>
      </c>
      <c r="E430" s="4" t="s">
        <v>5801</v>
      </c>
      <c r="F430" s="204" t="s">
        <v>160</v>
      </c>
      <c r="G430" s="204"/>
      <c r="H430" s="204" t="s">
        <v>2276</v>
      </c>
      <c r="I430" s="204" t="s">
        <v>2276</v>
      </c>
      <c r="J430" s="204">
        <v>0</v>
      </c>
      <c r="K430" s="204" t="s">
        <v>5215</v>
      </c>
      <c r="L430" s="204" t="s">
        <v>2276</v>
      </c>
      <c r="M430" s="204" t="s">
        <v>2276</v>
      </c>
      <c r="N430" s="204"/>
    </row>
    <row r="431" spans="1:14" ht="68" customHeight="1">
      <c r="A431" s="204" t="s">
        <v>6171</v>
      </c>
      <c r="B431" s="204" t="s">
        <v>6728</v>
      </c>
      <c r="C431" s="204" t="s">
        <v>1105</v>
      </c>
      <c r="D431" s="204" t="s">
        <v>1105</v>
      </c>
      <c r="E431" s="4" t="s">
        <v>3209</v>
      </c>
      <c r="F431" s="4" t="s">
        <v>2276</v>
      </c>
      <c r="G431" s="204"/>
      <c r="H431" s="204">
        <v>1</v>
      </c>
      <c r="I431" s="4" t="s">
        <v>6783</v>
      </c>
      <c r="J431" s="204">
        <v>2</v>
      </c>
      <c r="K431" s="4" t="s">
        <v>6784</v>
      </c>
      <c r="L431" s="204">
        <v>3</v>
      </c>
      <c r="M431" s="4" t="s">
        <v>6785</v>
      </c>
      <c r="N431" s="204"/>
    </row>
    <row r="432" spans="1:14" ht="68" customHeight="1">
      <c r="A432" s="204" t="s">
        <v>6171</v>
      </c>
      <c r="B432" s="204" t="s">
        <v>6729</v>
      </c>
      <c r="C432" s="204" t="s">
        <v>24</v>
      </c>
      <c r="D432" s="204" t="s">
        <v>2659</v>
      </c>
      <c r="E432" s="4" t="s">
        <v>3855</v>
      </c>
      <c r="F432" s="4" t="s">
        <v>28</v>
      </c>
      <c r="G432" s="204"/>
      <c r="H432" s="204">
        <v>0</v>
      </c>
      <c r="I432" s="4" t="s">
        <v>6788</v>
      </c>
      <c r="J432" s="204" t="s">
        <v>2276</v>
      </c>
      <c r="K432" s="204" t="s">
        <v>2276</v>
      </c>
      <c r="L432" s="204" t="s">
        <v>2276</v>
      </c>
      <c r="M432" s="204" t="s">
        <v>2276</v>
      </c>
      <c r="N432" s="204"/>
    </row>
    <row r="433" spans="1:14" ht="68" customHeight="1">
      <c r="A433" s="204" t="s">
        <v>6172</v>
      </c>
      <c r="B433" s="204" t="s">
        <v>6232</v>
      </c>
      <c r="C433" s="204" t="s">
        <v>24</v>
      </c>
      <c r="D433" s="204" t="s">
        <v>25</v>
      </c>
      <c r="E433" s="4" t="s">
        <v>3855</v>
      </c>
      <c r="F433" s="204" t="s">
        <v>29</v>
      </c>
      <c r="G433" s="204"/>
      <c r="H433" s="204">
        <v>1</v>
      </c>
      <c r="I433" s="4" t="s">
        <v>6781</v>
      </c>
      <c r="J433" s="204">
        <v>1</v>
      </c>
      <c r="K433" s="4" t="s">
        <v>6782</v>
      </c>
      <c r="L433" s="204" t="s">
        <v>2276</v>
      </c>
      <c r="M433" s="52" t="s">
        <v>2276</v>
      </c>
      <c r="N433" s="204"/>
    </row>
    <row r="434" spans="1:14" s="203" customFormat="1" ht="68" customHeight="1">
      <c r="A434" s="204" t="s">
        <v>6172</v>
      </c>
      <c r="B434" s="204" t="s">
        <v>6733</v>
      </c>
      <c r="C434" s="204" t="s">
        <v>1105</v>
      </c>
      <c r="D434" s="204" t="s">
        <v>1105</v>
      </c>
      <c r="E434" s="4" t="s">
        <v>5801</v>
      </c>
      <c r="F434" s="204" t="s">
        <v>160</v>
      </c>
      <c r="G434" s="204"/>
      <c r="H434" s="204" t="s">
        <v>2276</v>
      </c>
      <c r="I434" s="204" t="s">
        <v>2276</v>
      </c>
      <c r="J434" s="204">
        <v>0</v>
      </c>
      <c r="K434" s="204" t="s">
        <v>5215</v>
      </c>
      <c r="L434" s="204" t="s">
        <v>2276</v>
      </c>
      <c r="M434" s="204" t="s">
        <v>2276</v>
      </c>
      <c r="N434" s="204"/>
    </row>
    <row r="435" spans="1:14" s="203" customFormat="1" ht="68" customHeight="1">
      <c r="A435" s="204" t="s">
        <v>6172</v>
      </c>
      <c r="B435" s="204" t="s">
        <v>6734</v>
      </c>
      <c r="C435" s="204" t="s">
        <v>1105</v>
      </c>
      <c r="D435" s="204" t="s">
        <v>1105</v>
      </c>
      <c r="E435" s="4" t="s">
        <v>3209</v>
      </c>
      <c r="F435" s="4" t="s">
        <v>2276</v>
      </c>
      <c r="G435" s="204"/>
      <c r="H435" s="204">
        <v>1</v>
      </c>
      <c r="I435" s="4" t="s">
        <v>6783</v>
      </c>
      <c r="J435" s="204">
        <v>2</v>
      </c>
      <c r="K435" s="4" t="s">
        <v>6784</v>
      </c>
      <c r="L435" s="204">
        <v>3</v>
      </c>
      <c r="M435" s="4" t="s">
        <v>6785</v>
      </c>
      <c r="N435" s="204"/>
    </row>
    <row r="436" spans="1:14" s="203" customFormat="1" ht="68" customHeight="1">
      <c r="A436" s="204" t="s">
        <v>6172</v>
      </c>
      <c r="B436" s="204" t="s">
        <v>6735</v>
      </c>
      <c r="C436" s="204" t="s">
        <v>24</v>
      </c>
      <c r="D436" s="204" t="s">
        <v>2659</v>
      </c>
      <c r="E436" s="4" t="s">
        <v>3855</v>
      </c>
      <c r="F436" s="4" t="s">
        <v>28</v>
      </c>
      <c r="G436" s="204"/>
      <c r="H436" s="204">
        <v>0</v>
      </c>
      <c r="I436" s="4" t="s">
        <v>6788</v>
      </c>
      <c r="J436" s="204" t="s">
        <v>2276</v>
      </c>
      <c r="K436" s="204" t="s">
        <v>2276</v>
      </c>
      <c r="L436" s="204" t="s">
        <v>2276</v>
      </c>
      <c r="M436" s="204" t="s">
        <v>2276</v>
      </c>
      <c r="N436" s="204"/>
    </row>
    <row r="437" spans="1:14" s="203" customFormat="1" ht="68" customHeight="1">
      <c r="A437" s="204" t="s">
        <v>6173</v>
      </c>
      <c r="B437" s="204" t="s">
        <v>6233</v>
      </c>
      <c r="C437" s="204" t="s">
        <v>24</v>
      </c>
      <c r="D437" s="204" t="s">
        <v>25</v>
      </c>
      <c r="E437" s="4" t="s">
        <v>3855</v>
      </c>
      <c r="F437" s="204" t="s">
        <v>29</v>
      </c>
      <c r="G437" s="204"/>
      <c r="H437" s="204">
        <v>1</v>
      </c>
      <c r="I437" s="4" t="s">
        <v>6781</v>
      </c>
      <c r="J437" s="204">
        <v>1</v>
      </c>
      <c r="K437" s="4" t="s">
        <v>6782</v>
      </c>
      <c r="L437" s="204" t="s">
        <v>2276</v>
      </c>
      <c r="M437" s="52" t="s">
        <v>2276</v>
      </c>
      <c r="N437" s="204"/>
    </row>
    <row r="438" spans="1:14" s="203" customFormat="1" ht="68" customHeight="1">
      <c r="A438" s="204" t="s">
        <v>6173</v>
      </c>
      <c r="B438" s="204" t="s">
        <v>6739</v>
      </c>
      <c r="C438" s="204" t="s">
        <v>1105</v>
      </c>
      <c r="D438" s="204" t="s">
        <v>1105</v>
      </c>
      <c r="E438" s="4" t="s">
        <v>5801</v>
      </c>
      <c r="F438" s="204" t="s">
        <v>160</v>
      </c>
      <c r="G438" s="204"/>
      <c r="H438" s="204" t="s">
        <v>2276</v>
      </c>
      <c r="I438" s="204" t="s">
        <v>2276</v>
      </c>
      <c r="J438" s="204">
        <v>0</v>
      </c>
      <c r="K438" s="204" t="s">
        <v>5215</v>
      </c>
      <c r="L438" s="204" t="s">
        <v>2276</v>
      </c>
      <c r="M438" s="204" t="s">
        <v>2276</v>
      </c>
      <c r="N438" s="204"/>
    </row>
    <row r="439" spans="1:14" s="203" customFormat="1" ht="68" customHeight="1">
      <c r="A439" s="204" t="s">
        <v>6173</v>
      </c>
      <c r="B439" s="204" t="s">
        <v>6740</v>
      </c>
      <c r="C439" s="204" t="s">
        <v>1105</v>
      </c>
      <c r="D439" s="204" t="s">
        <v>1105</v>
      </c>
      <c r="E439" s="4" t="s">
        <v>3209</v>
      </c>
      <c r="F439" s="4" t="s">
        <v>2276</v>
      </c>
      <c r="G439" s="204"/>
      <c r="H439" s="204">
        <v>1</v>
      </c>
      <c r="I439" s="4" t="s">
        <v>6783</v>
      </c>
      <c r="J439" s="204">
        <v>2</v>
      </c>
      <c r="K439" s="4" t="s">
        <v>6784</v>
      </c>
      <c r="L439" s="204">
        <v>3</v>
      </c>
      <c r="M439" s="4" t="s">
        <v>6785</v>
      </c>
      <c r="N439" s="204"/>
    </row>
    <row r="440" spans="1:14" s="203" customFormat="1" ht="68" customHeight="1">
      <c r="A440" s="204" t="s">
        <v>6173</v>
      </c>
      <c r="B440" s="204" t="s">
        <v>6741</v>
      </c>
      <c r="C440" s="204" t="s">
        <v>24</v>
      </c>
      <c r="D440" s="204" t="s">
        <v>2659</v>
      </c>
      <c r="E440" s="4" t="s">
        <v>3855</v>
      </c>
      <c r="F440" s="4" t="s">
        <v>28</v>
      </c>
      <c r="G440" s="204"/>
      <c r="H440" s="204">
        <v>0</v>
      </c>
      <c r="I440" s="4" t="s">
        <v>6788</v>
      </c>
      <c r="J440" s="204" t="s">
        <v>2276</v>
      </c>
      <c r="K440" s="204" t="s">
        <v>2276</v>
      </c>
      <c r="L440" s="204" t="s">
        <v>2276</v>
      </c>
      <c r="M440" s="204" t="s">
        <v>2276</v>
      </c>
      <c r="N440" s="204"/>
    </row>
    <row r="441" spans="1:14" s="203" customFormat="1" ht="68" customHeight="1">
      <c r="A441" s="204" t="s">
        <v>6174</v>
      </c>
      <c r="B441" s="204" t="s">
        <v>6234</v>
      </c>
      <c r="C441" s="204" t="s">
        <v>24</v>
      </c>
      <c r="D441" s="204" t="s">
        <v>25</v>
      </c>
      <c r="E441" s="4" t="s">
        <v>3855</v>
      </c>
      <c r="F441" s="204" t="s">
        <v>29</v>
      </c>
      <c r="G441" s="204"/>
      <c r="H441" s="204">
        <v>1</v>
      </c>
      <c r="I441" s="4" t="s">
        <v>6781</v>
      </c>
      <c r="J441" s="204">
        <v>1</v>
      </c>
      <c r="K441" s="4" t="s">
        <v>6782</v>
      </c>
      <c r="L441" s="204" t="s">
        <v>2276</v>
      </c>
      <c r="M441" s="52" t="s">
        <v>2276</v>
      </c>
      <c r="N441" s="204"/>
    </row>
    <row r="442" spans="1:14" s="203" customFormat="1" ht="68" customHeight="1">
      <c r="A442" s="204" t="s">
        <v>6174</v>
      </c>
      <c r="B442" s="204" t="s">
        <v>6745</v>
      </c>
      <c r="C442" s="204" t="s">
        <v>1105</v>
      </c>
      <c r="D442" s="204" t="s">
        <v>1105</v>
      </c>
      <c r="E442" s="4" t="s">
        <v>5801</v>
      </c>
      <c r="F442" s="204" t="s">
        <v>160</v>
      </c>
      <c r="G442" s="204"/>
      <c r="H442" s="204" t="s">
        <v>2276</v>
      </c>
      <c r="I442" s="204" t="s">
        <v>2276</v>
      </c>
      <c r="J442" s="204">
        <v>0</v>
      </c>
      <c r="K442" s="204" t="s">
        <v>5215</v>
      </c>
      <c r="L442" s="204" t="s">
        <v>2276</v>
      </c>
      <c r="M442" s="204" t="s">
        <v>2276</v>
      </c>
      <c r="N442" s="204"/>
    </row>
    <row r="443" spans="1:14" s="203" customFormat="1" ht="68" customHeight="1">
      <c r="A443" s="204" t="s">
        <v>6174</v>
      </c>
      <c r="B443" s="204" t="s">
        <v>6746</v>
      </c>
      <c r="C443" s="204" t="s">
        <v>1105</v>
      </c>
      <c r="D443" s="204" t="s">
        <v>1105</v>
      </c>
      <c r="E443" s="4" t="s">
        <v>3209</v>
      </c>
      <c r="F443" s="4" t="s">
        <v>2276</v>
      </c>
      <c r="G443" s="204"/>
      <c r="H443" s="204">
        <v>1</v>
      </c>
      <c r="I443" s="4" t="s">
        <v>6783</v>
      </c>
      <c r="J443" s="204">
        <v>2</v>
      </c>
      <c r="K443" s="4" t="s">
        <v>6784</v>
      </c>
      <c r="L443" s="204">
        <v>3</v>
      </c>
      <c r="M443" s="4" t="s">
        <v>6785</v>
      </c>
      <c r="N443" s="204"/>
    </row>
    <row r="444" spans="1:14" s="203" customFormat="1" ht="68" customHeight="1">
      <c r="A444" s="204" t="s">
        <v>6174</v>
      </c>
      <c r="B444" s="204" t="s">
        <v>6747</v>
      </c>
      <c r="C444" s="204" t="s">
        <v>24</v>
      </c>
      <c r="D444" s="204" t="s">
        <v>2659</v>
      </c>
      <c r="E444" s="4" t="s">
        <v>3855</v>
      </c>
      <c r="F444" s="4" t="s">
        <v>28</v>
      </c>
      <c r="G444" s="204"/>
      <c r="H444" s="204">
        <v>0</v>
      </c>
      <c r="I444" s="4" t="s">
        <v>6788</v>
      </c>
      <c r="J444" s="204" t="s">
        <v>2276</v>
      </c>
      <c r="K444" s="204" t="s">
        <v>2276</v>
      </c>
      <c r="L444" s="204" t="s">
        <v>2276</v>
      </c>
      <c r="M444" s="204" t="s">
        <v>2276</v>
      </c>
      <c r="N444" s="204"/>
    </row>
    <row r="445" spans="1:14" s="203" customFormat="1" ht="68" customHeight="1">
      <c r="A445" s="204" t="s">
        <v>6175</v>
      </c>
      <c r="B445" s="204" t="s">
        <v>6235</v>
      </c>
      <c r="C445" s="204" t="s">
        <v>24</v>
      </c>
      <c r="D445" s="204" t="s">
        <v>25</v>
      </c>
      <c r="E445" s="4" t="s">
        <v>3855</v>
      </c>
      <c r="F445" s="204" t="s">
        <v>29</v>
      </c>
      <c r="G445" s="204"/>
      <c r="H445" s="204">
        <v>1</v>
      </c>
      <c r="I445" s="4" t="s">
        <v>6781</v>
      </c>
      <c r="J445" s="204">
        <v>1</v>
      </c>
      <c r="K445" s="4" t="s">
        <v>6782</v>
      </c>
      <c r="L445" s="204" t="s">
        <v>2276</v>
      </c>
      <c r="M445" s="52" t="s">
        <v>2276</v>
      </c>
      <c r="N445" s="204"/>
    </row>
    <row r="446" spans="1:14" s="203" customFormat="1" ht="68" customHeight="1">
      <c r="A446" s="204" t="s">
        <v>6175</v>
      </c>
      <c r="B446" s="204" t="s">
        <v>6751</v>
      </c>
      <c r="C446" s="204" t="s">
        <v>1105</v>
      </c>
      <c r="D446" s="204" t="s">
        <v>1105</v>
      </c>
      <c r="E446" s="4" t="s">
        <v>5801</v>
      </c>
      <c r="F446" s="204" t="s">
        <v>160</v>
      </c>
      <c r="G446" s="204"/>
      <c r="H446" s="204" t="s">
        <v>2276</v>
      </c>
      <c r="I446" s="204" t="s">
        <v>2276</v>
      </c>
      <c r="J446" s="204">
        <v>0</v>
      </c>
      <c r="K446" s="204" t="s">
        <v>5215</v>
      </c>
      <c r="L446" s="204" t="s">
        <v>2276</v>
      </c>
      <c r="M446" s="204" t="s">
        <v>2276</v>
      </c>
      <c r="N446" s="204"/>
    </row>
    <row r="447" spans="1:14" s="203" customFormat="1" ht="68" customHeight="1">
      <c r="A447" s="204" t="s">
        <v>6175</v>
      </c>
      <c r="B447" s="204" t="s">
        <v>6752</v>
      </c>
      <c r="C447" s="204" t="s">
        <v>1105</v>
      </c>
      <c r="D447" s="204" t="s">
        <v>1105</v>
      </c>
      <c r="E447" s="4" t="s">
        <v>3209</v>
      </c>
      <c r="F447" s="4" t="s">
        <v>2276</v>
      </c>
      <c r="G447" s="204"/>
      <c r="H447" s="204">
        <v>1</v>
      </c>
      <c r="I447" s="4" t="s">
        <v>6783</v>
      </c>
      <c r="J447" s="204">
        <v>2</v>
      </c>
      <c r="K447" s="4" t="s">
        <v>6784</v>
      </c>
      <c r="L447" s="204">
        <v>3</v>
      </c>
      <c r="M447" s="4" t="s">
        <v>6785</v>
      </c>
      <c r="N447" s="204"/>
    </row>
    <row r="448" spans="1:14" s="203" customFormat="1" ht="68" customHeight="1">
      <c r="A448" s="204" t="s">
        <v>6175</v>
      </c>
      <c r="B448" s="204" t="s">
        <v>6753</v>
      </c>
      <c r="C448" s="204" t="s">
        <v>24</v>
      </c>
      <c r="D448" s="204" t="s">
        <v>2659</v>
      </c>
      <c r="E448" s="4" t="s">
        <v>3855</v>
      </c>
      <c r="F448" s="4" t="s">
        <v>28</v>
      </c>
      <c r="G448" s="204"/>
      <c r="H448" s="204">
        <v>0</v>
      </c>
      <c r="I448" s="4" t="s">
        <v>6788</v>
      </c>
      <c r="J448" s="204" t="s">
        <v>2276</v>
      </c>
      <c r="K448" s="204" t="s">
        <v>2276</v>
      </c>
      <c r="L448" s="204" t="s">
        <v>2276</v>
      </c>
      <c r="M448" s="204" t="s">
        <v>2276</v>
      </c>
      <c r="N448" s="204"/>
    </row>
    <row r="449" spans="1:14" s="203" customFormat="1" ht="68" customHeight="1">
      <c r="A449" s="204" t="s">
        <v>6176</v>
      </c>
      <c r="B449" s="204" t="s">
        <v>6236</v>
      </c>
      <c r="C449" s="204" t="s">
        <v>24</v>
      </c>
      <c r="D449" s="204" t="s">
        <v>25</v>
      </c>
      <c r="E449" s="4" t="s">
        <v>3855</v>
      </c>
      <c r="F449" s="204" t="s">
        <v>29</v>
      </c>
      <c r="G449" s="204"/>
      <c r="H449" s="204">
        <v>1</v>
      </c>
      <c r="I449" s="4" t="s">
        <v>6781</v>
      </c>
      <c r="J449" s="204">
        <v>1</v>
      </c>
      <c r="K449" s="4" t="s">
        <v>6782</v>
      </c>
      <c r="L449" s="204" t="s">
        <v>2276</v>
      </c>
      <c r="M449" s="52" t="s">
        <v>2276</v>
      </c>
      <c r="N449" s="204"/>
    </row>
    <row r="450" spans="1:14" s="203" customFormat="1" ht="68" customHeight="1">
      <c r="A450" s="204" t="s">
        <v>6176</v>
      </c>
      <c r="B450" s="204" t="s">
        <v>6757</v>
      </c>
      <c r="C450" s="204" t="s">
        <v>1105</v>
      </c>
      <c r="D450" s="204" t="s">
        <v>1105</v>
      </c>
      <c r="E450" s="4" t="s">
        <v>5801</v>
      </c>
      <c r="F450" s="204" t="s">
        <v>160</v>
      </c>
      <c r="G450" s="204"/>
      <c r="H450" s="204" t="s">
        <v>2276</v>
      </c>
      <c r="I450" s="204" t="s">
        <v>2276</v>
      </c>
      <c r="J450" s="204">
        <v>0</v>
      </c>
      <c r="K450" s="204" t="s">
        <v>5215</v>
      </c>
      <c r="L450" s="204" t="s">
        <v>2276</v>
      </c>
      <c r="M450" s="204" t="s">
        <v>2276</v>
      </c>
      <c r="N450" s="204"/>
    </row>
    <row r="451" spans="1:14" s="203" customFormat="1" ht="68" customHeight="1">
      <c r="A451" s="204" t="s">
        <v>6176</v>
      </c>
      <c r="B451" s="204" t="s">
        <v>6758</v>
      </c>
      <c r="C451" s="204" t="s">
        <v>1105</v>
      </c>
      <c r="D451" s="204" t="s">
        <v>1105</v>
      </c>
      <c r="E451" s="4" t="s">
        <v>3209</v>
      </c>
      <c r="F451" s="4" t="s">
        <v>2276</v>
      </c>
      <c r="G451" s="204"/>
      <c r="H451" s="204">
        <v>1</v>
      </c>
      <c r="I451" s="4" t="s">
        <v>6783</v>
      </c>
      <c r="J451" s="204">
        <v>2</v>
      </c>
      <c r="K451" s="4" t="s">
        <v>6784</v>
      </c>
      <c r="L451" s="204">
        <v>3</v>
      </c>
      <c r="M451" s="4" t="s">
        <v>6785</v>
      </c>
      <c r="N451" s="204"/>
    </row>
    <row r="452" spans="1:14" s="203" customFormat="1" ht="68" customHeight="1">
      <c r="A452" s="204" t="s">
        <v>6176</v>
      </c>
      <c r="B452" s="204" t="s">
        <v>6759</v>
      </c>
      <c r="C452" s="204" t="s">
        <v>24</v>
      </c>
      <c r="D452" s="204" t="s">
        <v>2659</v>
      </c>
      <c r="E452" s="4" t="s">
        <v>3855</v>
      </c>
      <c r="F452" s="4" t="s">
        <v>28</v>
      </c>
      <c r="G452" s="204"/>
      <c r="H452" s="204">
        <v>0</v>
      </c>
      <c r="I452" s="4" t="s">
        <v>6788</v>
      </c>
      <c r="J452" s="204" t="s">
        <v>2276</v>
      </c>
      <c r="K452" s="204" t="s">
        <v>2276</v>
      </c>
      <c r="L452" s="204" t="s">
        <v>2276</v>
      </c>
      <c r="M452" s="204" t="s">
        <v>2276</v>
      </c>
      <c r="N452" s="204"/>
    </row>
    <row r="453" spans="1:14" s="203" customFormat="1" ht="68" customHeight="1">
      <c r="A453" s="204" t="s">
        <v>6177</v>
      </c>
      <c r="B453" s="204" t="s">
        <v>6237</v>
      </c>
      <c r="C453" s="204" t="s">
        <v>24</v>
      </c>
      <c r="D453" s="204" t="s">
        <v>25</v>
      </c>
      <c r="E453" s="4" t="s">
        <v>3855</v>
      </c>
      <c r="F453" s="204" t="s">
        <v>29</v>
      </c>
      <c r="G453" s="204"/>
      <c r="H453" s="204">
        <v>1</v>
      </c>
      <c r="I453" s="4" t="s">
        <v>6781</v>
      </c>
      <c r="J453" s="204">
        <v>1</v>
      </c>
      <c r="K453" s="4" t="s">
        <v>6782</v>
      </c>
      <c r="L453" s="204" t="s">
        <v>2276</v>
      </c>
      <c r="M453" s="52" t="s">
        <v>2276</v>
      </c>
      <c r="N453" s="204"/>
    </row>
    <row r="454" spans="1:14" ht="68" customHeight="1">
      <c r="A454" s="204" t="s">
        <v>6177</v>
      </c>
      <c r="B454" s="204" t="s">
        <v>6763</v>
      </c>
      <c r="C454" s="204" t="s">
        <v>1105</v>
      </c>
      <c r="D454" s="204" t="s">
        <v>1105</v>
      </c>
      <c r="E454" s="4" t="s">
        <v>5801</v>
      </c>
      <c r="F454" s="204" t="s">
        <v>160</v>
      </c>
      <c r="G454" s="204"/>
      <c r="H454" s="204" t="s">
        <v>2276</v>
      </c>
      <c r="I454" s="204" t="s">
        <v>2276</v>
      </c>
      <c r="J454" s="204">
        <v>0</v>
      </c>
      <c r="K454" s="204" t="s">
        <v>5215</v>
      </c>
      <c r="L454" s="204" t="s">
        <v>2276</v>
      </c>
      <c r="M454" s="204" t="s">
        <v>2276</v>
      </c>
      <c r="N454" s="204"/>
    </row>
    <row r="455" spans="1:14" ht="68" customHeight="1">
      <c r="A455" s="204" t="s">
        <v>6177</v>
      </c>
      <c r="B455" s="204" t="s">
        <v>6764</v>
      </c>
      <c r="C455" s="204" t="s">
        <v>1105</v>
      </c>
      <c r="D455" s="204" t="s">
        <v>1105</v>
      </c>
      <c r="E455" s="4" t="s">
        <v>3209</v>
      </c>
      <c r="F455" s="4" t="s">
        <v>2276</v>
      </c>
      <c r="G455" s="204"/>
      <c r="H455" s="204">
        <v>1</v>
      </c>
      <c r="I455" s="4" t="s">
        <v>6783</v>
      </c>
      <c r="J455" s="204">
        <v>2</v>
      </c>
      <c r="K455" s="4" t="s">
        <v>6784</v>
      </c>
      <c r="L455" s="204">
        <v>3</v>
      </c>
      <c r="M455" s="4" t="s">
        <v>6785</v>
      </c>
      <c r="N455" s="204"/>
    </row>
    <row r="456" spans="1:14" ht="68" customHeight="1">
      <c r="A456" s="204" t="s">
        <v>6177</v>
      </c>
      <c r="B456" s="204" t="s">
        <v>6765</v>
      </c>
      <c r="C456" s="204" t="s">
        <v>24</v>
      </c>
      <c r="D456" s="204" t="s">
        <v>2659</v>
      </c>
      <c r="E456" s="4" t="s">
        <v>3855</v>
      </c>
      <c r="F456" s="4" t="s">
        <v>28</v>
      </c>
      <c r="G456" s="204"/>
      <c r="H456" s="204">
        <v>0</v>
      </c>
      <c r="I456" s="4" t="s">
        <v>6788</v>
      </c>
      <c r="J456" s="204" t="s">
        <v>2276</v>
      </c>
      <c r="K456" s="204" t="s">
        <v>2276</v>
      </c>
      <c r="L456" s="204" t="s">
        <v>2276</v>
      </c>
      <c r="M456" s="204" t="s">
        <v>2276</v>
      </c>
      <c r="N456" s="204"/>
    </row>
    <row r="457" spans="1:14" ht="68" customHeight="1">
      <c r="A457" s="204" t="s">
        <v>6178</v>
      </c>
      <c r="B457" s="204" t="s">
        <v>6238</v>
      </c>
      <c r="C457" s="204" t="s">
        <v>24</v>
      </c>
      <c r="D457" s="204" t="s">
        <v>25</v>
      </c>
      <c r="E457" s="4" t="s">
        <v>3855</v>
      </c>
      <c r="F457" s="204" t="s">
        <v>29</v>
      </c>
      <c r="G457" s="204"/>
      <c r="H457" s="204">
        <v>1</v>
      </c>
      <c r="I457" s="4" t="s">
        <v>6781</v>
      </c>
      <c r="J457" s="204">
        <v>1</v>
      </c>
      <c r="K457" s="4" t="s">
        <v>6782</v>
      </c>
      <c r="L457" s="204" t="s">
        <v>2276</v>
      </c>
      <c r="M457" s="52" t="s">
        <v>2276</v>
      </c>
      <c r="N457" s="204"/>
    </row>
    <row r="458" spans="1:14" ht="68" customHeight="1">
      <c r="A458" s="204" t="s">
        <v>6178</v>
      </c>
      <c r="B458" s="204" t="s">
        <v>6769</v>
      </c>
      <c r="C458" s="204" t="s">
        <v>1105</v>
      </c>
      <c r="D458" s="204" t="s">
        <v>1105</v>
      </c>
      <c r="E458" s="4" t="s">
        <v>5801</v>
      </c>
      <c r="F458" s="204" t="s">
        <v>160</v>
      </c>
      <c r="G458" s="204"/>
      <c r="H458" s="204" t="s">
        <v>2276</v>
      </c>
      <c r="I458" s="204" t="s">
        <v>2276</v>
      </c>
      <c r="J458" s="204">
        <v>0</v>
      </c>
      <c r="K458" s="204" t="s">
        <v>5215</v>
      </c>
      <c r="L458" s="204" t="s">
        <v>2276</v>
      </c>
      <c r="M458" s="204" t="s">
        <v>2276</v>
      </c>
      <c r="N458" s="204"/>
    </row>
    <row r="459" spans="1:14" ht="68" customHeight="1">
      <c r="A459" s="204" t="s">
        <v>6178</v>
      </c>
      <c r="B459" s="204" t="s">
        <v>6770</v>
      </c>
      <c r="C459" s="204" t="s">
        <v>1105</v>
      </c>
      <c r="D459" s="204" t="s">
        <v>1105</v>
      </c>
      <c r="E459" s="4" t="s">
        <v>3209</v>
      </c>
      <c r="F459" s="4" t="s">
        <v>2276</v>
      </c>
      <c r="G459" s="204"/>
      <c r="H459" s="204">
        <v>1</v>
      </c>
      <c r="I459" s="4" t="s">
        <v>6783</v>
      </c>
      <c r="J459" s="204">
        <v>2</v>
      </c>
      <c r="K459" s="4" t="s">
        <v>6784</v>
      </c>
      <c r="L459" s="204">
        <v>3</v>
      </c>
      <c r="M459" s="4" t="s">
        <v>6785</v>
      </c>
      <c r="N459" s="204"/>
    </row>
    <row r="460" spans="1:14" ht="66" customHeight="1">
      <c r="A460" s="204" t="s">
        <v>6178</v>
      </c>
      <c r="B460" s="204" t="s">
        <v>6771</v>
      </c>
      <c r="C460" s="204" t="s">
        <v>24</v>
      </c>
      <c r="D460" s="204" t="s">
        <v>2659</v>
      </c>
      <c r="E460" s="4" t="s">
        <v>3855</v>
      </c>
      <c r="F460" s="4" t="s">
        <v>28</v>
      </c>
      <c r="G460" s="204"/>
      <c r="H460" s="204">
        <v>0</v>
      </c>
      <c r="I460" s="4" t="s">
        <v>6788</v>
      </c>
      <c r="J460" s="204" t="s">
        <v>2276</v>
      </c>
      <c r="K460" s="204" t="s">
        <v>2276</v>
      </c>
      <c r="L460" s="204" t="s">
        <v>2276</v>
      </c>
      <c r="M460" s="204" t="s">
        <v>2276</v>
      </c>
      <c r="N460" s="204"/>
    </row>
    <row r="461" spans="1:14" ht="43.5">
      <c r="A461" s="204" t="s">
        <v>6179</v>
      </c>
      <c r="B461" s="204" t="s">
        <v>6239</v>
      </c>
      <c r="C461" s="204" t="s">
        <v>24</v>
      </c>
      <c r="D461" s="204" t="s">
        <v>25</v>
      </c>
      <c r="E461" s="4" t="s">
        <v>3855</v>
      </c>
      <c r="F461" s="204" t="s">
        <v>29</v>
      </c>
      <c r="G461" s="204"/>
      <c r="H461" s="204">
        <v>1</v>
      </c>
      <c r="I461" s="4" t="s">
        <v>6781</v>
      </c>
      <c r="J461" s="204">
        <v>1</v>
      </c>
      <c r="K461" s="4" t="s">
        <v>6782</v>
      </c>
      <c r="L461" s="204" t="s">
        <v>2276</v>
      </c>
      <c r="M461" s="52" t="s">
        <v>2276</v>
      </c>
      <c r="N461" s="204"/>
    </row>
    <row r="462" spans="1:14" ht="35.5" customHeight="1">
      <c r="A462" s="204" t="s">
        <v>6179</v>
      </c>
      <c r="B462" s="204" t="s">
        <v>6775</v>
      </c>
      <c r="C462" s="204" t="s">
        <v>1105</v>
      </c>
      <c r="D462" s="204" t="s">
        <v>1105</v>
      </c>
      <c r="E462" s="4" t="s">
        <v>5801</v>
      </c>
      <c r="F462" s="204" t="s">
        <v>160</v>
      </c>
      <c r="G462" s="204"/>
      <c r="H462" s="204" t="s">
        <v>2276</v>
      </c>
      <c r="I462" s="204" t="s">
        <v>2276</v>
      </c>
      <c r="J462" s="204">
        <v>0</v>
      </c>
      <c r="K462" s="204" t="s">
        <v>5215</v>
      </c>
      <c r="L462" s="204" t="s">
        <v>2276</v>
      </c>
      <c r="M462" s="204" t="s">
        <v>2276</v>
      </c>
      <c r="N462" s="204"/>
    </row>
    <row r="463" spans="1:14" ht="29">
      <c r="A463" s="204" t="s">
        <v>6179</v>
      </c>
      <c r="B463" s="204" t="s">
        <v>6776</v>
      </c>
      <c r="C463" s="204" t="s">
        <v>1105</v>
      </c>
      <c r="D463" s="204" t="s">
        <v>1105</v>
      </c>
      <c r="E463" s="4" t="s">
        <v>3209</v>
      </c>
      <c r="F463" s="4" t="s">
        <v>2276</v>
      </c>
      <c r="G463" s="204"/>
      <c r="H463" s="204">
        <v>1</v>
      </c>
      <c r="I463" s="4" t="s">
        <v>6783</v>
      </c>
      <c r="J463" s="204">
        <v>2</v>
      </c>
      <c r="K463" s="4" t="s">
        <v>6784</v>
      </c>
      <c r="L463" s="204">
        <v>3</v>
      </c>
      <c r="M463" s="4" t="s">
        <v>6785</v>
      </c>
      <c r="N463" s="204"/>
    </row>
    <row r="464" spans="1:14" ht="51" customHeight="1">
      <c r="A464" s="204" t="s">
        <v>6179</v>
      </c>
      <c r="B464" s="204" t="s">
        <v>6777</v>
      </c>
      <c r="C464" s="204" t="s">
        <v>24</v>
      </c>
      <c r="D464" s="204" t="s">
        <v>2659</v>
      </c>
      <c r="E464" s="4" t="s">
        <v>3855</v>
      </c>
      <c r="F464" s="4" t="s">
        <v>28</v>
      </c>
      <c r="G464" s="204"/>
      <c r="H464" s="204">
        <v>0</v>
      </c>
      <c r="I464" s="4" t="s">
        <v>6788</v>
      </c>
      <c r="J464" s="204" t="s">
        <v>2276</v>
      </c>
      <c r="K464" s="204" t="s">
        <v>2276</v>
      </c>
      <c r="L464" s="204" t="s">
        <v>2276</v>
      </c>
      <c r="M464" s="204" t="s">
        <v>2276</v>
      </c>
      <c r="N464" s="204"/>
    </row>
    <row r="465" spans="1:14" s="203" customFormat="1" ht="51" customHeight="1">
      <c r="A465" s="204" t="s">
        <v>6180</v>
      </c>
      <c r="B465" s="204" t="s">
        <v>6240</v>
      </c>
      <c r="C465" s="204" t="s">
        <v>1105</v>
      </c>
      <c r="D465" s="204" t="s">
        <v>1105</v>
      </c>
      <c r="E465" s="4" t="s">
        <v>5801</v>
      </c>
      <c r="F465" s="204" t="s">
        <v>160</v>
      </c>
      <c r="G465" s="204"/>
      <c r="H465" s="204" t="s">
        <v>2276</v>
      </c>
      <c r="I465" s="204" t="s">
        <v>2276</v>
      </c>
      <c r="J465" s="204">
        <v>0</v>
      </c>
      <c r="K465" s="204" t="s">
        <v>5215</v>
      </c>
      <c r="L465" s="204" t="s">
        <v>2276</v>
      </c>
      <c r="M465" s="204" t="s">
        <v>2276</v>
      </c>
      <c r="N465" s="204"/>
    </row>
    <row r="466" spans="1:14" s="203" customFormat="1" ht="51" customHeight="1">
      <c r="A466" s="19" t="s">
        <v>6181</v>
      </c>
      <c r="B466" s="19" t="s">
        <v>6241</v>
      </c>
      <c r="C466" s="204" t="s">
        <v>1105</v>
      </c>
      <c r="D466" s="204" t="s">
        <v>1105</v>
      </c>
      <c r="E466" s="4" t="s">
        <v>5801</v>
      </c>
      <c r="F466" s="204" t="s">
        <v>160</v>
      </c>
      <c r="G466" s="204"/>
      <c r="H466" s="204" t="s">
        <v>2276</v>
      </c>
      <c r="I466" s="204" t="s">
        <v>2276</v>
      </c>
      <c r="J466" s="204">
        <v>0</v>
      </c>
      <c r="K466" s="204" t="s">
        <v>5215</v>
      </c>
      <c r="L466" s="204" t="s">
        <v>2276</v>
      </c>
      <c r="M466" s="204" t="s">
        <v>2276</v>
      </c>
      <c r="N466" s="204"/>
    </row>
    <row r="467" spans="1:14" s="203" customFormat="1" ht="51" customHeight="1">
      <c r="A467" s="19" t="s">
        <v>6811</v>
      </c>
      <c r="B467" s="19" t="s">
        <v>6869</v>
      </c>
      <c r="C467" s="204" t="s">
        <v>1105</v>
      </c>
      <c r="D467" s="204" t="s">
        <v>1105</v>
      </c>
      <c r="E467" s="4" t="s">
        <v>5801</v>
      </c>
      <c r="F467" s="204" t="s">
        <v>160</v>
      </c>
      <c r="G467" s="204"/>
      <c r="H467" s="204" t="s">
        <v>2276</v>
      </c>
      <c r="I467" s="204" t="s">
        <v>2276</v>
      </c>
      <c r="J467" s="204">
        <v>0</v>
      </c>
      <c r="K467" s="204" t="s">
        <v>5215</v>
      </c>
      <c r="L467" s="204" t="s">
        <v>2276</v>
      </c>
      <c r="M467" s="204" t="s">
        <v>2276</v>
      </c>
      <c r="N467" s="204"/>
    </row>
    <row r="468" spans="1:14" s="203" customFormat="1" ht="51" customHeight="1">
      <c r="A468" s="19" t="s">
        <v>6812</v>
      </c>
      <c r="B468" s="19" t="s">
        <v>6870</v>
      </c>
      <c r="C468" s="204" t="s">
        <v>1105</v>
      </c>
      <c r="D468" s="204" t="s">
        <v>1105</v>
      </c>
      <c r="E468" s="4" t="s">
        <v>5801</v>
      </c>
      <c r="F468" s="204" t="s">
        <v>160</v>
      </c>
      <c r="G468" s="204"/>
      <c r="H468" s="204" t="s">
        <v>2276</v>
      </c>
      <c r="I468" s="204" t="s">
        <v>2276</v>
      </c>
      <c r="J468" s="204">
        <v>0</v>
      </c>
      <c r="K468" s="204" t="s">
        <v>5215</v>
      </c>
      <c r="L468" s="204" t="s">
        <v>2276</v>
      </c>
      <c r="M468" s="204" t="s">
        <v>2276</v>
      </c>
      <c r="N468" s="204"/>
    </row>
    <row r="469" spans="1:14" s="203" customFormat="1" ht="51" customHeight="1">
      <c r="A469" s="19" t="s">
        <v>6813</v>
      </c>
      <c r="B469" s="19" t="s">
        <v>6871</v>
      </c>
      <c r="C469" s="204" t="s">
        <v>1105</v>
      </c>
      <c r="D469" s="204" t="s">
        <v>1105</v>
      </c>
      <c r="E469" s="4" t="s">
        <v>5801</v>
      </c>
      <c r="F469" s="204" t="s">
        <v>160</v>
      </c>
      <c r="G469" s="204"/>
      <c r="H469" s="204" t="s">
        <v>2276</v>
      </c>
      <c r="I469" s="204" t="s">
        <v>2276</v>
      </c>
      <c r="J469" s="204">
        <v>0</v>
      </c>
      <c r="K469" s="204" t="s">
        <v>5215</v>
      </c>
      <c r="L469" s="204" t="s">
        <v>2276</v>
      </c>
      <c r="M469" s="204" t="s">
        <v>2276</v>
      </c>
      <c r="N469" s="204"/>
    </row>
    <row r="470" spans="1:14" s="203" customFormat="1" ht="51" customHeight="1">
      <c r="A470" s="19" t="s">
        <v>6814</v>
      </c>
      <c r="B470" s="19" t="s">
        <v>6872</v>
      </c>
      <c r="C470" s="204" t="s">
        <v>1105</v>
      </c>
      <c r="D470" s="204" t="s">
        <v>1105</v>
      </c>
      <c r="E470" s="4" t="s">
        <v>5801</v>
      </c>
      <c r="F470" s="204" t="s">
        <v>160</v>
      </c>
      <c r="G470" s="204"/>
      <c r="H470" s="204" t="s">
        <v>2276</v>
      </c>
      <c r="I470" s="204" t="s">
        <v>2276</v>
      </c>
      <c r="J470" s="204">
        <v>0</v>
      </c>
      <c r="K470" s="204" t="s">
        <v>5215</v>
      </c>
      <c r="L470" s="204" t="s">
        <v>2276</v>
      </c>
      <c r="M470" s="204" t="s">
        <v>2276</v>
      </c>
      <c r="N470" s="204"/>
    </row>
    <row r="471" spans="1:14" s="203" customFormat="1" ht="51" customHeight="1">
      <c r="A471" s="19" t="s">
        <v>6815</v>
      </c>
      <c r="B471" s="19" t="s">
        <v>6873</v>
      </c>
      <c r="C471" s="204" t="s">
        <v>1105</v>
      </c>
      <c r="D471" s="204" t="s">
        <v>1105</v>
      </c>
      <c r="E471" s="4" t="s">
        <v>5801</v>
      </c>
      <c r="F471" s="204" t="s">
        <v>160</v>
      </c>
      <c r="G471" s="204"/>
      <c r="H471" s="204" t="s">
        <v>2276</v>
      </c>
      <c r="I471" s="204" t="s">
        <v>2276</v>
      </c>
      <c r="J471" s="204">
        <v>0</v>
      </c>
      <c r="K471" s="204" t="s">
        <v>5215</v>
      </c>
      <c r="L471" s="204" t="s">
        <v>2276</v>
      </c>
      <c r="M471" s="204" t="s">
        <v>2276</v>
      </c>
      <c r="N471" s="204"/>
    </row>
    <row r="472" spans="1:14" s="203" customFormat="1" ht="51" customHeight="1">
      <c r="A472" s="19" t="s">
        <v>6816</v>
      </c>
      <c r="B472" s="19" t="s">
        <v>6874</v>
      </c>
      <c r="C472" s="204" t="s">
        <v>1105</v>
      </c>
      <c r="D472" s="204" t="s">
        <v>1105</v>
      </c>
      <c r="E472" s="4" t="s">
        <v>5801</v>
      </c>
      <c r="F472" s="204" t="s">
        <v>160</v>
      </c>
      <c r="G472" s="204"/>
      <c r="H472" s="204" t="s">
        <v>2276</v>
      </c>
      <c r="I472" s="204" t="s">
        <v>2276</v>
      </c>
      <c r="J472" s="204">
        <v>0</v>
      </c>
      <c r="K472" s="204" t="s">
        <v>5215</v>
      </c>
      <c r="L472" s="204" t="s">
        <v>2276</v>
      </c>
      <c r="M472" s="204" t="s">
        <v>2276</v>
      </c>
      <c r="N472" s="204"/>
    </row>
    <row r="473" spans="1:14" s="203" customFormat="1" ht="51" customHeight="1">
      <c r="A473" s="19" t="s">
        <v>6817</v>
      </c>
      <c r="B473" s="19" t="s">
        <v>6875</v>
      </c>
      <c r="C473" s="204" t="s">
        <v>1105</v>
      </c>
      <c r="D473" s="204" t="s">
        <v>1105</v>
      </c>
      <c r="E473" s="4" t="s">
        <v>5801</v>
      </c>
      <c r="F473" s="204" t="s">
        <v>160</v>
      </c>
      <c r="G473" s="204"/>
      <c r="H473" s="204" t="s">
        <v>2276</v>
      </c>
      <c r="I473" s="204" t="s">
        <v>2276</v>
      </c>
      <c r="J473" s="204">
        <v>0</v>
      </c>
      <c r="K473" s="204" t="s">
        <v>5215</v>
      </c>
      <c r="L473" s="204" t="s">
        <v>2276</v>
      </c>
      <c r="M473" s="204" t="s">
        <v>2276</v>
      </c>
      <c r="N473" s="204"/>
    </row>
    <row r="474" spans="1:14" s="203" customFormat="1" ht="51" customHeight="1">
      <c r="A474" s="19" t="s">
        <v>6818</v>
      </c>
      <c r="B474" s="19" t="s">
        <v>6876</v>
      </c>
      <c r="C474" s="204" t="s">
        <v>1105</v>
      </c>
      <c r="D474" s="204" t="s">
        <v>1105</v>
      </c>
      <c r="E474" s="4" t="s">
        <v>5801</v>
      </c>
      <c r="F474" s="204" t="s">
        <v>160</v>
      </c>
      <c r="G474" s="204"/>
      <c r="H474" s="204" t="s">
        <v>2276</v>
      </c>
      <c r="I474" s="204" t="s">
        <v>2276</v>
      </c>
      <c r="J474" s="204">
        <v>0</v>
      </c>
      <c r="K474" s="204" t="s">
        <v>5215</v>
      </c>
      <c r="L474" s="204" t="s">
        <v>2276</v>
      </c>
      <c r="M474" s="204" t="s">
        <v>2276</v>
      </c>
      <c r="N474" s="204"/>
    </row>
    <row r="475" spans="1:14" s="203" customFormat="1" ht="51" customHeight="1">
      <c r="A475" s="19" t="s">
        <v>6819</v>
      </c>
      <c r="B475" s="19" t="s">
        <v>6877</v>
      </c>
      <c r="C475" s="204" t="s">
        <v>1105</v>
      </c>
      <c r="D475" s="204" t="s">
        <v>1105</v>
      </c>
      <c r="E475" s="4" t="s">
        <v>5801</v>
      </c>
      <c r="F475" s="204" t="s">
        <v>160</v>
      </c>
      <c r="G475" s="204"/>
      <c r="H475" s="204" t="s">
        <v>2276</v>
      </c>
      <c r="I475" s="204" t="s">
        <v>2276</v>
      </c>
      <c r="J475" s="204">
        <v>0</v>
      </c>
      <c r="K475" s="204" t="s">
        <v>5215</v>
      </c>
      <c r="L475" s="204" t="s">
        <v>2276</v>
      </c>
      <c r="M475" s="204" t="s">
        <v>2276</v>
      </c>
      <c r="N475" s="204"/>
    </row>
    <row r="476" spans="1:14" s="203" customFormat="1" ht="51" customHeight="1">
      <c r="A476" s="19" t="s">
        <v>6820</v>
      </c>
      <c r="B476" s="19" t="s">
        <v>6878</v>
      </c>
      <c r="C476" s="204" t="s">
        <v>1105</v>
      </c>
      <c r="D476" s="204" t="s">
        <v>1105</v>
      </c>
      <c r="E476" s="4" t="s">
        <v>5801</v>
      </c>
      <c r="F476" s="204" t="s">
        <v>160</v>
      </c>
      <c r="G476" s="204"/>
      <c r="H476" s="204" t="s">
        <v>2276</v>
      </c>
      <c r="I476" s="204" t="s">
        <v>2276</v>
      </c>
      <c r="J476" s="204">
        <v>0</v>
      </c>
      <c r="K476" s="204" t="s">
        <v>5215</v>
      </c>
      <c r="L476" s="204" t="s">
        <v>2276</v>
      </c>
      <c r="M476" s="204" t="s">
        <v>2276</v>
      </c>
      <c r="N476" s="204"/>
    </row>
    <row r="477" spans="1:14" s="203" customFormat="1" ht="51" customHeight="1">
      <c r="A477" s="19" t="s">
        <v>6821</v>
      </c>
      <c r="B477" s="19" t="s">
        <v>6879</v>
      </c>
      <c r="C477" s="204" t="s">
        <v>1105</v>
      </c>
      <c r="D477" s="204" t="s">
        <v>1105</v>
      </c>
      <c r="E477" s="4" t="s">
        <v>5801</v>
      </c>
      <c r="F477" s="204" t="s">
        <v>160</v>
      </c>
      <c r="G477" s="204"/>
      <c r="H477" s="204" t="s">
        <v>2276</v>
      </c>
      <c r="I477" s="204" t="s">
        <v>2276</v>
      </c>
      <c r="J477" s="204">
        <v>0</v>
      </c>
      <c r="K477" s="204" t="s">
        <v>5215</v>
      </c>
      <c r="L477" s="204" t="s">
        <v>2276</v>
      </c>
      <c r="M477" s="204" t="s">
        <v>2276</v>
      </c>
      <c r="N477" s="204"/>
    </row>
    <row r="478" spans="1:14" s="203" customFormat="1" ht="51" customHeight="1">
      <c r="A478" s="19" t="s">
        <v>6822</v>
      </c>
      <c r="B478" s="19" t="s">
        <v>6880</v>
      </c>
      <c r="C478" s="204" t="s">
        <v>1105</v>
      </c>
      <c r="D478" s="204" t="s">
        <v>1105</v>
      </c>
      <c r="E478" s="4" t="s">
        <v>5801</v>
      </c>
      <c r="F478" s="204" t="s">
        <v>160</v>
      </c>
      <c r="G478" s="204"/>
      <c r="H478" s="204" t="s">
        <v>2276</v>
      </c>
      <c r="I478" s="204" t="s">
        <v>2276</v>
      </c>
      <c r="J478" s="204">
        <v>0</v>
      </c>
      <c r="K478" s="204" t="s">
        <v>5215</v>
      </c>
      <c r="L478" s="204" t="s">
        <v>2276</v>
      </c>
      <c r="M478" s="204" t="s">
        <v>2276</v>
      </c>
      <c r="N478" s="204"/>
    </row>
    <row r="479" spans="1:14" s="203" customFormat="1" ht="51" customHeight="1">
      <c r="A479" s="19" t="s">
        <v>6823</v>
      </c>
      <c r="B479" s="19" t="s">
        <v>6881</v>
      </c>
      <c r="C479" s="204" t="s">
        <v>1105</v>
      </c>
      <c r="D479" s="204" t="s">
        <v>1105</v>
      </c>
      <c r="E479" s="4" t="s">
        <v>5801</v>
      </c>
      <c r="F479" s="204" t="s">
        <v>160</v>
      </c>
      <c r="G479" s="204"/>
      <c r="H479" s="204" t="s">
        <v>2276</v>
      </c>
      <c r="I479" s="204" t="s">
        <v>2276</v>
      </c>
      <c r="J479" s="204">
        <v>0</v>
      </c>
      <c r="K479" s="204" t="s">
        <v>5215</v>
      </c>
      <c r="L479" s="204" t="s">
        <v>2276</v>
      </c>
      <c r="M479" s="204" t="s">
        <v>2276</v>
      </c>
      <c r="N479" s="204"/>
    </row>
    <row r="480" spans="1:14" s="203" customFormat="1" ht="51" customHeight="1">
      <c r="A480" s="19" t="s">
        <v>6824</v>
      </c>
      <c r="B480" s="19" t="s">
        <v>6882</v>
      </c>
      <c r="C480" s="204" t="s">
        <v>1105</v>
      </c>
      <c r="D480" s="204" t="s">
        <v>1105</v>
      </c>
      <c r="E480" s="4" t="s">
        <v>5801</v>
      </c>
      <c r="F480" s="204" t="s">
        <v>160</v>
      </c>
      <c r="G480" s="204"/>
      <c r="H480" s="204" t="s">
        <v>2276</v>
      </c>
      <c r="I480" s="204" t="s">
        <v>2276</v>
      </c>
      <c r="J480" s="204">
        <v>0</v>
      </c>
      <c r="K480" s="204" t="s">
        <v>5215</v>
      </c>
      <c r="L480" s="204" t="s">
        <v>2276</v>
      </c>
      <c r="M480" s="204" t="s">
        <v>2276</v>
      </c>
      <c r="N480" s="204"/>
    </row>
    <row r="481" spans="1:14" s="203" customFormat="1" ht="51" customHeight="1">
      <c r="A481" s="19" t="s">
        <v>6825</v>
      </c>
      <c r="B481" s="19" t="s">
        <v>6883</v>
      </c>
      <c r="C481" s="204" t="s">
        <v>1105</v>
      </c>
      <c r="D481" s="204" t="s">
        <v>1105</v>
      </c>
      <c r="E481" s="4" t="s">
        <v>5801</v>
      </c>
      <c r="F481" s="204" t="s">
        <v>160</v>
      </c>
      <c r="G481" s="204"/>
      <c r="H481" s="204" t="s">
        <v>2276</v>
      </c>
      <c r="I481" s="204" t="s">
        <v>2276</v>
      </c>
      <c r="J481" s="204">
        <v>0</v>
      </c>
      <c r="K481" s="204" t="s">
        <v>5215</v>
      </c>
      <c r="L481" s="204" t="s">
        <v>2276</v>
      </c>
      <c r="M481" s="204" t="s">
        <v>2276</v>
      </c>
      <c r="N481" s="204"/>
    </row>
    <row r="482" spans="1:14" s="203" customFormat="1" ht="51" customHeight="1">
      <c r="A482" s="19" t="s">
        <v>6826</v>
      </c>
      <c r="B482" s="19" t="s">
        <v>6884</v>
      </c>
      <c r="C482" s="204" t="s">
        <v>1105</v>
      </c>
      <c r="D482" s="204" t="s">
        <v>1105</v>
      </c>
      <c r="E482" s="4" t="s">
        <v>5801</v>
      </c>
      <c r="F482" s="204" t="s">
        <v>160</v>
      </c>
      <c r="G482" s="204"/>
      <c r="H482" s="204" t="s">
        <v>2276</v>
      </c>
      <c r="I482" s="204" t="s">
        <v>2276</v>
      </c>
      <c r="J482" s="204">
        <v>0</v>
      </c>
      <c r="K482" s="204" t="s">
        <v>5215</v>
      </c>
      <c r="L482" s="204" t="s">
        <v>2276</v>
      </c>
      <c r="M482" s="204" t="s">
        <v>2276</v>
      </c>
      <c r="N482" s="204"/>
    </row>
    <row r="483" spans="1:14" s="203" customFormat="1" ht="51" customHeight="1">
      <c r="A483" s="19" t="s">
        <v>6827</v>
      </c>
      <c r="B483" s="19" t="s">
        <v>6885</v>
      </c>
      <c r="C483" s="204" t="s">
        <v>1105</v>
      </c>
      <c r="D483" s="204" t="s">
        <v>1105</v>
      </c>
      <c r="E483" s="4" t="s">
        <v>5801</v>
      </c>
      <c r="F483" s="204" t="s">
        <v>160</v>
      </c>
      <c r="G483" s="204"/>
      <c r="H483" s="204" t="s">
        <v>2276</v>
      </c>
      <c r="I483" s="204" t="s">
        <v>2276</v>
      </c>
      <c r="J483" s="204">
        <v>0</v>
      </c>
      <c r="K483" s="204" t="s">
        <v>5215</v>
      </c>
      <c r="L483" s="204" t="s">
        <v>2276</v>
      </c>
      <c r="M483" s="204" t="s">
        <v>2276</v>
      </c>
      <c r="N483" s="204"/>
    </row>
    <row r="484" spans="1:14" s="203" customFormat="1" ht="51" customHeight="1">
      <c r="A484" s="19" t="s">
        <v>6828</v>
      </c>
      <c r="B484" s="19" t="s">
        <v>6886</v>
      </c>
      <c r="C484" s="204" t="s">
        <v>1105</v>
      </c>
      <c r="D484" s="204" t="s">
        <v>1105</v>
      </c>
      <c r="E484" s="4" t="s">
        <v>5801</v>
      </c>
      <c r="F484" s="204" t="s">
        <v>160</v>
      </c>
      <c r="G484" s="204"/>
      <c r="H484" s="204" t="s">
        <v>2276</v>
      </c>
      <c r="I484" s="204" t="s">
        <v>2276</v>
      </c>
      <c r="J484" s="204">
        <v>0</v>
      </c>
      <c r="K484" s="204" t="s">
        <v>5215</v>
      </c>
      <c r="L484" s="204" t="s">
        <v>2276</v>
      </c>
      <c r="M484" s="204" t="s">
        <v>2276</v>
      </c>
      <c r="N484" s="204"/>
    </row>
    <row r="485" spans="1:14" s="203" customFormat="1" ht="51" customHeight="1">
      <c r="A485" s="19" t="s">
        <v>6829</v>
      </c>
      <c r="B485" s="19" t="s">
        <v>6887</v>
      </c>
      <c r="C485" s="204" t="s">
        <v>1105</v>
      </c>
      <c r="D485" s="204" t="s">
        <v>1105</v>
      </c>
      <c r="E485" s="4" t="s">
        <v>5801</v>
      </c>
      <c r="F485" s="204" t="s">
        <v>160</v>
      </c>
      <c r="G485" s="204"/>
      <c r="H485" s="204" t="s">
        <v>2276</v>
      </c>
      <c r="I485" s="204" t="s">
        <v>2276</v>
      </c>
      <c r="J485" s="204">
        <v>0</v>
      </c>
      <c r="K485" s="204" t="s">
        <v>5215</v>
      </c>
      <c r="L485" s="204" t="s">
        <v>2276</v>
      </c>
      <c r="M485" s="204" t="s">
        <v>2276</v>
      </c>
      <c r="N485" s="204"/>
    </row>
    <row r="486" spans="1:14" s="203" customFormat="1" ht="51" customHeight="1">
      <c r="A486" s="19" t="s">
        <v>6830</v>
      </c>
      <c r="B486" s="19" t="s">
        <v>6888</v>
      </c>
      <c r="C486" s="204" t="s">
        <v>1105</v>
      </c>
      <c r="D486" s="204" t="s">
        <v>1105</v>
      </c>
      <c r="E486" s="4" t="s">
        <v>5801</v>
      </c>
      <c r="F486" s="204" t="s">
        <v>160</v>
      </c>
      <c r="G486" s="204"/>
      <c r="H486" s="204" t="s">
        <v>2276</v>
      </c>
      <c r="I486" s="204" t="s">
        <v>2276</v>
      </c>
      <c r="J486" s="204">
        <v>0</v>
      </c>
      <c r="K486" s="204" t="s">
        <v>5215</v>
      </c>
      <c r="L486" s="204" t="s">
        <v>2276</v>
      </c>
      <c r="M486" s="204" t="s">
        <v>2276</v>
      </c>
      <c r="N486" s="204"/>
    </row>
    <row r="487" spans="1:14" s="203" customFormat="1" ht="51" customHeight="1">
      <c r="A487" s="19" t="s">
        <v>6831</v>
      </c>
      <c r="B487" s="19" t="s">
        <v>6889</v>
      </c>
      <c r="C487" s="204" t="s">
        <v>1105</v>
      </c>
      <c r="D487" s="204" t="s">
        <v>1105</v>
      </c>
      <c r="E487" s="4" t="s">
        <v>5801</v>
      </c>
      <c r="F487" s="204" t="s">
        <v>160</v>
      </c>
      <c r="G487" s="204"/>
      <c r="H487" s="204" t="s">
        <v>2276</v>
      </c>
      <c r="I487" s="204" t="s">
        <v>2276</v>
      </c>
      <c r="J487" s="204">
        <v>0</v>
      </c>
      <c r="K487" s="204" t="s">
        <v>5215</v>
      </c>
      <c r="L487" s="204" t="s">
        <v>2276</v>
      </c>
      <c r="M487" s="204" t="s">
        <v>2276</v>
      </c>
      <c r="N487" s="204"/>
    </row>
    <row r="488" spans="1:14" s="203" customFormat="1" ht="51" customHeight="1">
      <c r="A488" s="19" t="s">
        <v>6832</v>
      </c>
      <c r="B488" s="19" t="s">
        <v>6890</v>
      </c>
      <c r="C488" s="204" t="s">
        <v>1105</v>
      </c>
      <c r="D488" s="204" t="s">
        <v>1105</v>
      </c>
      <c r="E488" s="4" t="s">
        <v>5801</v>
      </c>
      <c r="F488" s="204" t="s">
        <v>160</v>
      </c>
      <c r="G488" s="204"/>
      <c r="H488" s="204" t="s">
        <v>2276</v>
      </c>
      <c r="I488" s="204" t="s">
        <v>2276</v>
      </c>
      <c r="J488" s="204">
        <v>0</v>
      </c>
      <c r="K488" s="204" t="s">
        <v>5215</v>
      </c>
      <c r="L488" s="204" t="s">
        <v>2276</v>
      </c>
      <c r="M488" s="204" t="s">
        <v>2276</v>
      </c>
      <c r="N488" s="204"/>
    </row>
    <row r="489" spans="1:14" s="203" customFormat="1" ht="51" customHeight="1">
      <c r="A489" s="19" t="s">
        <v>6833</v>
      </c>
      <c r="B489" s="19" t="s">
        <v>6891</v>
      </c>
      <c r="C489" s="204" t="s">
        <v>1105</v>
      </c>
      <c r="D489" s="204" t="s">
        <v>1105</v>
      </c>
      <c r="E489" s="4" t="s">
        <v>5801</v>
      </c>
      <c r="F489" s="204" t="s">
        <v>160</v>
      </c>
      <c r="G489" s="204"/>
      <c r="H489" s="204" t="s">
        <v>2276</v>
      </c>
      <c r="I489" s="204" t="s">
        <v>2276</v>
      </c>
      <c r="J489" s="204">
        <v>0</v>
      </c>
      <c r="K489" s="204" t="s">
        <v>5215</v>
      </c>
      <c r="L489" s="204" t="s">
        <v>2276</v>
      </c>
      <c r="M489" s="204" t="s">
        <v>2276</v>
      </c>
      <c r="N489" s="204"/>
    </row>
    <row r="490" spans="1:14" s="203" customFormat="1" ht="51" customHeight="1">
      <c r="A490" s="19" t="s">
        <v>6181</v>
      </c>
      <c r="B490" s="19" t="s">
        <v>6242</v>
      </c>
      <c r="C490" s="204" t="s">
        <v>1105</v>
      </c>
      <c r="D490" s="204" t="s">
        <v>1105</v>
      </c>
      <c r="E490" s="19" t="s">
        <v>3855</v>
      </c>
      <c r="F490" s="204" t="s">
        <v>29</v>
      </c>
      <c r="G490" s="204"/>
      <c r="H490" s="204" t="s">
        <v>2276</v>
      </c>
      <c r="I490" s="204" t="s">
        <v>2276</v>
      </c>
      <c r="J490" s="204">
        <v>2</v>
      </c>
      <c r="K490" s="4" t="s">
        <v>6898</v>
      </c>
      <c r="L490" s="204" t="s">
        <v>2276</v>
      </c>
      <c r="M490" s="204" t="s">
        <v>2276</v>
      </c>
      <c r="N490" s="204"/>
    </row>
    <row r="491" spans="1:14" s="203" customFormat="1" ht="51" customHeight="1">
      <c r="A491" s="19" t="s">
        <v>6811</v>
      </c>
      <c r="B491" s="19" t="s">
        <v>6892</v>
      </c>
      <c r="C491" s="204" t="s">
        <v>1105</v>
      </c>
      <c r="D491" s="204" t="s">
        <v>1105</v>
      </c>
      <c r="E491" s="19" t="s">
        <v>3855</v>
      </c>
      <c r="F491" s="204" t="s">
        <v>29</v>
      </c>
      <c r="G491" s="204"/>
      <c r="H491" s="204" t="s">
        <v>2276</v>
      </c>
      <c r="I491" s="204" t="s">
        <v>2276</v>
      </c>
      <c r="J491" s="204">
        <v>2</v>
      </c>
      <c r="K491" s="4" t="s">
        <v>6898</v>
      </c>
      <c r="L491" s="204" t="s">
        <v>2276</v>
      </c>
      <c r="M491" s="204" t="s">
        <v>2276</v>
      </c>
      <c r="N491" s="204"/>
    </row>
    <row r="492" spans="1:14" s="203" customFormat="1" ht="51" customHeight="1">
      <c r="A492" s="19" t="s">
        <v>6812</v>
      </c>
      <c r="B492" s="19" t="s">
        <v>6893</v>
      </c>
      <c r="C492" s="204" t="s">
        <v>1105</v>
      </c>
      <c r="D492" s="204" t="s">
        <v>1105</v>
      </c>
      <c r="E492" s="19" t="s">
        <v>3855</v>
      </c>
      <c r="F492" s="204" t="s">
        <v>29</v>
      </c>
      <c r="G492" s="204"/>
      <c r="H492" s="204" t="s">
        <v>2276</v>
      </c>
      <c r="I492" s="204" t="s">
        <v>2276</v>
      </c>
      <c r="J492" s="204">
        <v>2</v>
      </c>
      <c r="K492" s="4" t="s">
        <v>6898</v>
      </c>
      <c r="L492" s="204" t="s">
        <v>2276</v>
      </c>
      <c r="M492" s="204" t="s">
        <v>2276</v>
      </c>
      <c r="N492" s="204"/>
    </row>
    <row r="493" spans="1:14" s="203" customFormat="1" ht="51" customHeight="1">
      <c r="A493" s="19" t="s">
        <v>6813</v>
      </c>
      <c r="B493" s="19" t="s">
        <v>6894</v>
      </c>
      <c r="C493" s="204" t="s">
        <v>1105</v>
      </c>
      <c r="D493" s="204" t="s">
        <v>1105</v>
      </c>
      <c r="E493" s="19" t="s">
        <v>3855</v>
      </c>
      <c r="F493" s="204" t="s">
        <v>29</v>
      </c>
      <c r="G493" s="204"/>
      <c r="H493" s="204" t="s">
        <v>2276</v>
      </c>
      <c r="I493" s="204" t="s">
        <v>2276</v>
      </c>
      <c r="J493" s="204">
        <v>2</v>
      </c>
      <c r="K493" s="4" t="s">
        <v>6898</v>
      </c>
      <c r="L493" s="204" t="s">
        <v>2276</v>
      </c>
      <c r="M493" s="204" t="s">
        <v>2276</v>
      </c>
      <c r="N493" s="204"/>
    </row>
    <row r="494" spans="1:14" s="203" customFormat="1" ht="51" customHeight="1">
      <c r="A494" s="19" t="s">
        <v>6814</v>
      </c>
      <c r="B494" s="19" t="s">
        <v>6895</v>
      </c>
      <c r="C494" s="204" t="s">
        <v>1105</v>
      </c>
      <c r="D494" s="204" t="s">
        <v>1105</v>
      </c>
      <c r="E494" s="19" t="s">
        <v>3855</v>
      </c>
      <c r="F494" s="204" t="s">
        <v>29</v>
      </c>
      <c r="G494" s="204"/>
      <c r="H494" s="204" t="s">
        <v>2276</v>
      </c>
      <c r="I494" s="204" t="s">
        <v>2276</v>
      </c>
      <c r="J494" s="204">
        <v>2</v>
      </c>
      <c r="K494" s="4" t="s">
        <v>6898</v>
      </c>
      <c r="L494" s="204" t="s">
        <v>2276</v>
      </c>
      <c r="M494" s="204" t="s">
        <v>2276</v>
      </c>
      <c r="N494" s="204"/>
    </row>
    <row r="495" spans="1:14" s="203" customFormat="1" ht="51" customHeight="1">
      <c r="A495" s="19" t="s">
        <v>6815</v>
      </c>
      <c r="B495" s="19" t="s">
        <v>6896</v>
      </c>
      <c r="C495" s="204" t="s">
        <v>1105</v>
      </c>
      <c r="D495" s="204" t="s">
        <v>1105</v>
      </c>
      <c r="E495" s="19" t="s">
        <v>3855</v>
      </c>
      <c r="F495" s="204" t="s">
        <v>29</v>
      </c>
      <c r="G495" s="204"/>
      <c r="H495" s="204" t="s">
        <v>2276</v>
      </c>
      <c r="I495" s="204" t="s">
        <v>2276</v>
      </c>
      <c r="J495" s="204">
        <v>2</v>
      </c>
      <c r="K495" s="4" t="s">
        <v>6898</v>
      </c>
      <c r="L495" s="204" t="s">
        <v>2276</v>
      </c>
      <c r="M495" s="204" t="s">
        <v>2276</v>
      </c>
      <c r="N495" s="204"/>
    </row>
    <row r="496" spans="1:14" s="203" customFormat="1" ht="51" customHeight="1">
      <c r="A496" s="19" t="s">
        <v>6816</v>
      </c>
      <c r="B496" s="19" t="s">
        <v>6897</v>
      </c>
      <c r="C496" s="204" t="s">
        <v>1105</v>
      </c>
      <c r="D496" s="204" t="s">
        <v>1105</v>
      </c>
      <c r="E496" s="19" t="s">
        <v>3855</v>
      </c>
      <c r="F496" s="204" t="s">
        <v>29</v>
      </c>
      <c r="G496" s="204"/>
      <c r="H496" s="204" t="s">
        <v>2276</v>
      </c>
      <c r="I496" s="204" t="s">
        <v>2276</v>
      </c>
      <c r="J496" s="204">
        <v>2</v>
      </c>
      <c r="K496" s="4" t="s">
        <v>6898</v>
      </c>
      <c r="L496" s="204" t="s">
        <v>2276</v>
      </c>
      <c r="M496" s="204" t="s">
        <v>2276</v>
      </c>
      <c r="N496" s="204"/>
    </row>
    <row r="497" spans="1:14" ht="47" customHeight="1">
      <c r="A497" s="3" t="s">
        <v>6182</v>
      </c>
      <c r="B497" s="3" t="s">
        <v>6243</v>
      </c>
      <c r="C497" s="204" t="s">
        <v>1105</v>
      </c>
      <c r="D497" s="204" t="s">
        <v>1105</v>
      </c>
      <c r="E497" s="4" t="s">
        <v>5801</v>
      </c>
      <c r="F497" s="204" t="s">
        <v>160</v>
      </c>
      <c r="G497" s="3"/>
      <c r="H497" s="3" t="s">
        <v>2276</v>
      </c>
      <c r="I497" s="3" t="s">
        <v>2276</v>
      </c>
      <c r="J497" s="3">
        <v>0</v>
      </c>
      <c r="K497" s="3" t="s">
        <v>5215</v>
      </c>
      <c r="L497" s="3" t="s">
        <v>2276</v>
      </c>
      <c r="M497" s="3" t="s">
        <v>2276</v>
      </c>
      <c r="N497" s="3"/>
    </row>
    <row r="498" spans="1:14" s="203" customFormat="1" ht="47" customHeight="1">
      <c r="A498" s="204" t="s">
        <v>6183</v>
      </c>
      <c r="B498" s="204" t="s">
        <v>6245</v>
      </c>
      <c r="C498" s="204" t="s">
        <v>1105</v>
      </c>
      <c r="D498" s="204" t="s">
        <v>1105</v>
      </c>
      <c r="E498" s="4" t="s">
        <v>2653</v>
      </c>
      <c r="F498" s="204" t="s">
        <v>2276</v>
      </c>
      <c r="G498" s="204"/>
      <c r="H498" s="204" t="s">
        <v>2276</v>
      </c>
      <c r="I498" s="204" t="s">
        <v>2276</v>
      </c>
      <c r="J498" s="204" t="s">
        <v>2276</v>
      </c>
      <c r="K498" s="204" t="s">
        <v>2276</v>
      </c>
      <c r="L498" s="204">
        <v>3</v>
      </c>
      <c r="M498" s="4" t="s">
        <v>6796</v>
      </c>
      <c r="N498" s="204"/>
    </row>
    <row r="499" spans="1:14" s="203" customFormat="1" ht="47" customHeight="1">
      <c r="A499" s="204" t="s">
        <v>6183</v>
      </c>
      <c r="B499" s="204" t="s">
        <v>6793</v>
      </c>
      <c r="C499" s="204" t="s">
        <v>1105</v>
      </c>
      <c r="D499" s="204" t="s">
        <v>1105</v>
      </c>
      <c r="E499" s="4" t="s">
        <v>2652</v>
      </c>
      <c r="F499" s="204" t="s">
        <v>2276</v>
      </c>
      <c r="G499" s="204"/>
      <c r="H499" s="204" t="s">
        <v>2276</v>
      </c>
      <c r="I499" s="204" t="s">
        <v>2276</v>
      </c>
      <c r="J499" s="204">
        <v>0</v>
      </c>
      <c r="K499" s="4" t="s">
        <v>6798</v>
      </c>
      <c r="L499" s="204" t="s">
        <v>2276</v>
      </c>
      <c r="M499" s="204" t="s">
        <v>2276</v>
      </c>
      <c r="N499" s="204"/>
    </row>
    <row r="500" spans="1:14" s="203" customFormat="1" ht="47" customHeight="1">
      <c r="A500" s="204" t="s">
        <v>6183</v>
      </c>
      <c r="B500" s="204" t="s">
        <v>6794</v>
      </c>
      <c r="C500" s="204" t="s">
        <v>24</v>
      </c>
      <c r="D500" s="204" t="s">
        <v>1105</v>
      </c>
      <c r="E500" s="4" t="s">
        <v>3855</v>
      </c>
      <c r="F500" s="204" t="s">
        <v>29</v>
      </c>
      <c r="G500" s="204"/>
      <c r="H500" s="204">
        <v>1</v>
      </c>
      <c r="I500" s="4" t="s">
        <v>6797</v>
      </c>
      <c r="J500" s="204" t="s">
        <v>2276</v>
      </c>
      <c r="K500" s="204" t="s">
        <v>2276</v>
      </c>
      <c r="L500" s="204" t="s">
        <v>2276</v>
      </c>
      <c r="M500" s="204" t="s">
        <v>2276</v>
      </c>
      <c r="N500" s="204"/>
    </row>
    <row r="501" spans="1:14" ht="39.5" customHeight="1">
      <c r="A501" s="4" t="s">
        <v>6401</v>
      </c>
      <c r="B501" s="4" t="s">
        <v>6544</v>
      </c>
      <c r="C501" s="4" t="s">
        <v>24</v>
      </c>
      <c r="D501" s="4" t="s">
        <v>6534</v>
      </c>
      <c r="E501" s="4" t="s">
        <v>137</v>
      </c>
      <c r="F501" s="4" t="s">
        <v>74</v>
      </c>
      <c r="G501" s="4"/>
      <c r="H501" s="204" t="s">
        <v>2276</v>
      </c>
      <c r="I501" s="204" t="s">
        <v>2276</v>
      </c>
      <c r="J501" s="4">
        <v>2</v>
      </c>
      <c r="K501" s="4" t="s">
        <v>6580</v>
      </c>
      <c r="L501" s="204" t="s">
        <v>2276</v>
      </c>
      <c r="M501" s="204" t="s">
        <v>2276</v>
      </c>
      <c r="N501" s="4" t="s">
        <v>7862</v>
      </c>
    </row>
    <row r="502" spans="1:14" ht="39.5" customHeight="1">
      <c r="A502" s="4" t="s">
        <v>6402</v>
      </c>
      <c r="B502" s="4" t="s">
        <v>6546</v>
      </c>
      <c r="C502" s="4" t="s">
        <v>24</v>
      </c>
      <c r="D502" s="4" t="s">
        <v>6534</v>
      </c>
      <c r="E502" s="4" t="s">
        <v>137</v>
      </c>
      <c r="F502" s="4" t="s">
        <v>74</v>
      </c>
      <c r="G502" s="4"/>
      <c r="H502" s="204" t="s">
        <v>2276</v>
      </c>
      <c r="I502" s="204" t="s">
        <v>2276</v>
      </c>
      <c r="J502" s="4">
        <v>2</v>
      </c>
      <c r="K502" s="4" t="s">
        <v>6580</v>
      </c>
      <c r="L502" s="204" t="s">
        <v>2276</v>
      </c>
      <c r="M502" s="204" t="s">
        <v>2276</v>
      </c>
      <c r="N502" s="4" t="s">
        <v>7862</v>
      </c>
    </row>
    <row r="503" spans="1:14" s="203" customFormat="1" ht="39.5" customHeight="1">
      <c r="A503" s="4" t="s">
        <v>6402</v>
      </c>
      <c r="B503" s="4" t="s">
        <v>6547</v>
      </c>
      <c r="C503" s="204" t="s">
        <v>1105</v>
      </c>
      <c r="D503" s="204" t="s">
        <v>1105</v>
      </c>
      <c r="E503" s="4" t="s">
        <v>2653</v>
      </c>
      <c r="F503" s="4" t="s">
        <v>74</v>
      </c>
      <c r="G503" s="204"/>
      <c r="H503" s="204" t="s">
        <v>2276</v>
      </c>
      <c r="I503" s="204" t="s">
        <v>2276</v>
      </c>
      <c r="J503" s="204">
        <v>0</v>
      </c>
      <c r="K503" s="204" t="s">
        <v>7864</v>
      </c>
      <c r="L503" s="204" t="s">
        <v>2276</v>
      </c>
      <c r="M503" s="204" t="s">
        <v>2276</v>
      </c>
      <c r="N503" s="204"/>
    </row>
    <row r="504" spans="1:14" ht="39.5" customHeight="1">
      <c r="A504" s="4" t="s">
        <v>6403</v>
      </c>
      <c r="B504" s="4" t="s">
        <v>6548</v>
      </c>
      <c r="C504" s="4" t="s">
        <v>24</v>
      </c>
      <c r="D504" s="38" t="s">
        <v>2276</v>
      </c>
      <c r="E504" s="4" t="s">
        <v>2653</v>
      </c>
      <c r="F504" s="204" t="s">
        <v>2276</v>
      </c>
      <c r="G504" s="4"/>
      <c r="H504" s="204" t="s">
        <v>2276</v>
      </c>
      <c r="I504" s="204" t="s">
        <v>2276</v>
      </c>
      <c r="J504" s="204" t="s">
        <v>2276</v>
      </c>
      <c r="K504" s="4"/>
      <c r="L504" s="4">
        <v>3</v>
      </c>
      <c r="M504" s="204" t="s">
        <v>2276</v>
      </c>
      <c r="N504" s="4"/>
    </row>
    <row r="505" spans="1:14" ht="39.5" customHeight="1">
      <c r="A505" s="4" t="s">
        <v>6403</v>
      </c>
      <c r="B505" s="4" t="s">
        <v>6549</v>
      </c>
      <c r="C505" s="4" t="s">
        <v>2656</v>
      </c>
      <c r="D505" s="38" t="s">
        <v>2276</v>
      </c>
      <c r="E505" s="24" t="s">
        <v>2653</v>
      </c>
      <c r="F505" s="204" t="s">
        <v>2276</v>
      </c>
      <c r="G505" s="4"/>
      <c r="H505" s="204" t="s">
        <v>2276</v>
      </c>
      <c r="I505" s="204" t="s">
        <v>2276</v>
      </c>
      <c r="J505" s="204" t="s">
        <v>2276</v>
      </c>
      <c r="K505" s="4"/>
      <c r="L505" s="4">
        <v>3</v>
      </c>
      <c r="M505" s="204" t="s">
        <v>2276</v>
      </c>
      <c r="N505" s="4"/>
    </row>
    <row r="506" spans="1:14" ht="39.5" customHeight="1">
      <c r="A506" s="4" t="s">
        <v>6404</v>
      </c>
      <c r="B506" s="4" t="s">
        <v>6550</v>
      </c>
      <c r="C506" s="4" t="s">
        <v>24</v>
      </c>
      <c r="D506" s="38" t="s">
        <v>2276</v>
      </c>
      <c r="E506" s="24" t="s">
        <v>2649</v>
      </c>
      <c r="F506" s="4" t="s">
        <v>74</v>
      </c>
      <c r="G506" s="4"/>
      <c r="H506" s="204" t="s">
        <v>2276</v>
      </c>
      <c r="I506" s="204" t="s">
        <v>2276</v>
      </c>
      <c r="J506" s="204" t="s">
        <v>2276</v>
      </c>
      <c r="K506" s="4"/>
      <c r="L506" s="4">
        <v>2</v>
      </c>
      <c r="M506" s="4" t="s">
        <v>6581</v>
      </c>
      <c r="N506" s="4"/>
    </row>
    <row r="507" spans="1:14" ht="39.5" customHeight="1">
      <c r="A507" s="4" t="s">
        <v>6404</v>
      </c>
      <c r="B507" s="4" t="s">
        <v>6551</v>
      </c>
      <c r="C507" s="4" t="s">
        <v>2656</v>
      </c>
      <c r="D507" s="38" t="s">
        <v>2276</v>
      </c>
      <c r="E507" s="24" t="s">
        <v>2649</v>
      </c>
      <c r="F507" s="4" t="s">
        <v>74</v>
      </c>
      <c r="G507" s="4"/>
      <c r="H507" s="204" t="s">
        <v>2276</v>
      </c>
      <c r="I507" s="204" t="s">
        <v>2276</v>
      </c>
      <c r="J507" s="204" t="s">
        <v>2276</v>
      </c>
      <c r="K507" s="4"/>
      <c r="L507" s="4">
        <v>2</v>
      </c>
      <c r="M507" s="4" t="s">
        <v>6581</v>
      </c>
      <c r="N507" s="4"/>
    </row>
    <row r="508" spans="1:14" ht="39.5" customHeight="1">
      <c r="A508" s="4" t="s">
        <v>6405</v>
      </c>
      <c r="B508" s="4" t="s">
        <v>6596</v>
      </c>
      <c r="C508" s="4" t="s">
        <v>1105</v>
      </c>
      <c r="D508" s="4" t="s">
        <v>1105</v>
      </c>
      <c r="E508" s="24" t="s">
        <v>137</v>
      </c>
      <c r="F508" s="204" t="s">
        <v>2276</v>
      </c>
      <c r="G508" s="4"/>
      <c r="H508" s="204" t="s">
        <v>2276</v>
      </c>
      <c r="I508" s="204" t="s">
        <v>2276</v>
      </c>
      <c r="J508" s="204" t="s">
        <v>2276</v>
      </c>
      <c r="K508" s="4"/>
      <c r="L508" s="204" t="s">
        <v>2276</v>
      </c>
      <c r="M508" s="4"/>
      <c r="N508" s="4"/>
    </row>
    <row r="509" spans="1:14" ht="39.5" customHeight="1">
      <c r="A509" s="4" t="s">
        <v>6406</v>
      </c>
      <c r="B509" s="4" t="s">
        <v>6597</v>
      </c>
      <c r="C509" s="4" t="s">
        <v>1105</v>
      </c>
      <c r="D509" s="4" t="s">
        <v>1105</v>
      </c>
      <c r="E509" s="24" t="s">
        <v>2649</v>
      </c>
      <c r="F509" s="204" t="s">
        <v>2276</v>
      </c>
      <c r="G509" s="4"/>
      <c r="H509" s="204" t="s">
        <v>2276</v>
      </c>
      <c r="I509" s="204" t="s">
        <v>2276</v>
      </c>
      <c r="J509" s="204" t="s">
        <v>2276</v>
      </c>
      <c r="K509" s="4"/>
      <c r="L509" s="204" t="s">
        <v>2276</v>
      </c>
      <c r="M509" s="4"/>
      <c r="N509" s="4"/>
    </row>
    <row r="510" spans="1:14" ht="39.5" customHeight="1">
      <c r="A510" s="4" t="s">
        <v>6407</v>
      </c>
      <c r="B510" s="4" t="s">
        <v>6598</v>
      </c>
      <c r="C510" s="4" t="s">
        <v>1105</v>
      </c>
      <c r="D510" s="4" t="s">
        <v>1105</v>
      </c>
      <c r="E510" s="24" t="s">
        <v>2649</v>
      </c>
      <c r="F510" s="204" t="s">
        <v>2276</v>
      </c>
      <c r="G510" s="4"/>
      <c r="H510" s="204" t="s">
        <v>2276</v>
      </c>
      <c r="I510" s="204" t="s">
        <v>2276</v>
      </c>
      <c r="J510" s="204" t="s">
        <v>2276</v>
      </c>
      <c r="K510" s="4"/>
      <c r="L510" s="204" t="s">
        <v>2276</v>
      </c>
      <c r="M510" s="4"/>
      <c r="N510" s="4"/>
    </row>
    <row r="511" spans="1:14" ht="39.5" customHeight="1">
      <c r="A511" s="4" t="s">
        <v>6408</v>
      </c>
      <c r="B511" s="4" t="s">
        <v>6552</v>
      </c>
      <c r="C511" s="4" t="s">
        <v>1105</v>
      </c>
      <c r="D511" s="4" t="s">
        <v>1105</v>
      </c>
      <c r="E511" s="24" t="s">
        <v>2649</v>
      </c>
      <c r="F511" s="4" t="s">
        <v>74</v>
      </c>
      <c r="G511" s="4"/>
      <c r="H511" s="4">
        <v>3</v>
      </c>
      <c r="I511" s="4"/>
      <c r="J511" s="4">
        <v>3</v>
      </c>
      <c r="K511" s="4" t="s">
        <v>6582</v>
      </c>
      <c r="L511" s="4">
        <v>3</v>
      </c>
      <c r="M511" s="4"/>
      <c r="N511" s="4" t="s">
        <v>6583</v>
      </c>
    </row>
    <row r="512" spans="1:14" ht="39.5" customHeight="1">
      <c r="A512" s="4" t="s">
        <v>6409</v>
      </c>
      <c r="B512" s="4" t="s">
        <v>6554</v>
      </c>
      <c r="C512" s="4" t="s">
        <v>1105</v>
      </c>
      <c r="D512" s="4" t="s">
        <v>1105</v>
      </c>
      <c r="E512" s="24" t="s">
        <v>2649</v>
      </c>
      <c r="F512" s="4" t="s">
        <v>74</v>
      </c>
      <c r="G512" s="4"/>
      <c r="H512" s="4">
        <v>3</v>
      </c>
      <c r="I512" s="4"/>
      <c r="J512" s="4">
        <v>3</v>
      </c>
      <c r="K512" s="4" t="s">
        <v>6582</v>
      </c>
      <c r="L512" s="4">
        <v>3</v>
      </c>
      <c r="M512" s="4"/>
      <c r="N512" s="4" t="s">
        <v>6583</v>
      </c>
    </row>
    <row r="513" spans="1:14" ht="39.5" customHeight="1">
      <c r="A513" s="4" t="s">
        <v>6410</v>
      </c>
      <c r="B513" s="4" t="s">
        <v>6556</v>
      </c>
      <c r="C513" s="4" t="s">
        <v>1105</v>
      </c>
      <c r="D513" s="4" t="s">
        <v>1105</v>
      </c>
      <c r="E513" s="24" t="s">
        <v>2649</v>
      </c>
      <c r="F513" s="4" t="s">
        <v>74</v>
      </c>
      <c r="G513" s="4"/>
      <c r="H513" s="4">
        <v>3</v>
      </c>
      <c r="I513" s="4"/>
      <c r="J513" s="4">
        <v>3</v>
      </c>
      <c r="K513" s="4" t="s">
        <v>6582</v>
      </c>
      <c r="L513" s="4">
        <v>3</v>
      </c>
      <c r="M513" s="4"/>
      <c r="N513" s="4" t="s">
        <v>6583</v>
      </c>
    </row>
    <row r="514" spans="1:14" ht="39.5" customHeight="1">
      <c r="A514" s="4" t="s">
        <v>6411</v>
      </c>
      <c r="B514" s="4" t="s">
        <v>6558</v>
      </c>
      <c r="C514" s="4" t="s">
        <v>1105</v>
      </c>
      <c r="D514" s="4" t="s">
        <v>1105</v>
      </c>
      <c r="E514" s="24" t="s">
        <v>2649</v>
      </c>
      <c r="F514" s="4" t="s">
        <v>74</v>
      </c>
      <c r="G514" s="4"/>
      <c r="H514" s="4">
        <v>3</v>
      </c>
      <c r="I514" s="4"/>
      <c r="J514" s="4">
        <v>3</v>
      </c>
      <c r="K514" s="4" t="s">
        <v>6582</v>
      </c>
      <c r="L514" s="4">
        <v>3</v>
      </c>
      <c r="M514" s="4"/>
      <c r="N514" s="4" t="s">
        <v>6583</v>
      </c>
    </row>
    <row r="515" spans="1:14" ht="39.5" customHeight="1">
      <c r="A515" s="4" t="s">
        <v>6412</v>
      </c>
      <c r="B515" s="4" t="s">
        <v>6560</v>
      </c>
      <c r="C515" s="4" t="s">
        <v>1105</v>
      </c>
      <c r="D515" s="4" t="s">
        <v>1105</v>
      </c>
      <c r="E515" s="24" t="s">
        <v>2649</v>
      </c>
      <c r="F515" s="4" t="s">
        <v>74</v>
      </c>
      <c r="G515" s="4"/>
      <c r="H515" s="204" t="s">
        <v>2276</v>
      </c>
      <c r="I515" s="4"/>
      <c r="J515" s="204" t="s">
        <v>2276</v>
      </c>
      <c r="K515" s="4"/>
      <c r="L515" s="4">
        <v>3</v>
      </c>
      <c r="M515" s="4"/>
      <c r="N515" s="4" t="s">
        <v>6584</v>
      </c>
    </row>
    <row r="516" spans="1:14" ht="39.5" customHeight="1">
      <c r="A516" s="4" t="s">
        <v>6412</v>
      </c>
      <c r="B516" s="4" t="s">
        <v>6638</v>
      </c>
      <c r="C516" s="4" t="s">
        <v>24</v>
      </c>
      <c r="D516" s="4" t="s">
        <v>2659</v>
      </c>
      <c r="E516" s="4" t="s">
        <v>2649</v>
      </c>
      <c r="F516" s="4" t="s">
        <v>74</v>
      </c>
      <c r="G516" s="4"/>
      <c r="H516" s="4">
        <v>2</v>
      </c>
      <c r="I516" s="4" t="s">
        <v>6585</v>
      </c>
      <c r="J516" s="204" t="s">
        <v>2276</v>
      </c>
      <c r="K516" s="4"/>
      <c r="L516" s="204" t="s">
        <v>2276</v>
      </c>
      <c r="M516" s="4"/>
      <c r="N516" s="4" t="s">
        <v>6586</v>
      </c>
    </row>
    <row r="517" spans="1:14" ht="39.5" customHeight="1">
      <c r="A517" s="4" t="s">
        <v>6413</v>
      </c>
      <c r="B517" s="4" t="s">
        <v>6561</v>
      </c>
      <c r="C517" s="4" t="s">
        <v>1105</v>
      </c>
      <c r="D517" s="4" t="s">
        <v>1105</v>
      </c>
      <c r="E517" s="4" t="s">
        <v>2649</v>
      </c>
      <c r="F517" s="4" t="s">
        <v>74</v>
      </c>
      <c r="G517" s="4"/>
      <c r="H517" s="204" t="s">
        <v>2276</v>
      </c>
      <c r="I517" s="4"/>
      <c r="J517" s="204" t="s">
        <v>2276</v>
      </c>
      <c r="K517" s="4"/>
      <c r="L517" s="4">
        <v>3</v>
      </c>
      <c r="M517" s="4"/>
      <c r="N517" s="4" t="s">
        <v>6587</v>
      </c>
    </row>
    <row r="518" spans="1:14" ht="39.5" customHeight="1">
      <c r="A518" s="4" t="s">
        <v>6413</v>
      </c>
      <c r="B518" s="4" t="s">
        <v>6599</v>
      </c>
      <c r="C518" s="4" t="s">
        <v>24</v>
      </c>
      <c r="D518" s="4" t="s">
        <v>2659</v>
      </c>
      <c r="E518" s="4" t="s">
        <v>2649</v>
      </c>
      <c r="F518" s="4" t="s">
        <v>74</v>
      </c>
      <c r="G518" s="4"/>
      <c r="H518" s="4">
        <v>2</v>
      </c>
      <c r="I518" s="4" t="s">
        <v>6585</v>
      </c>
      <c r="J518" s="204" t="s">
        <v>2276</v>
      </c>
      <c r="K518" s="4"/>
      <c r="L518" s="204" t="s">
        <v>2276</v>
      </c>
      <c r="M518" s="4"/>
      <c r="N518" s="4" t="s">
        <v>6586</v>
      </c>
    </row>
    <row r="519" spans="1:14" ht="39.5" customHeight="1">
      <c r="A519" s="4" t="s">
        <v>6414</v>
      </c>
      <c r="B519" s="4" t="s">
        <v>6562</v>
      </c>
      <c r="C519" s="4" t="s">
        <v>1105</v>
      </c>
      <c r="D519" s="4" t="s">
        <v>1105</v>
      </c>
      <c r="E519" s="4" t="s">
        <v>2649</v>
      </c>
      <c r="F519" s="4" t="s">
        <v>74</v>
      </c>
      <c r="G519" s="4"/>
      <c r="H519" s="204" t="s">
        <v>2276</v>
      </c>
      <c r="I519" s="4"/>
      <c r="J519" s="204" t="s">
        <v>2276</v>
      </c>
      <c r="K519" s="4"/>
      <c r="L519" s="4">
        <v>2</v>
      </c>
      <c r="M519" s="4"/>
      <c r="N519" s="4" t="s">
        <v>6588</v>
      </c>
    </row>
    <row r="520" spans="1:14" ht="39.5" customHeight="1">
      <c r="A520" s="4" t="s">
        <v>6414</v>
      </c>
      <c r="B520" s="4" t="s">
        <v>6600</v>
      </c>
      <c r="C520" s="4" t="s">
        <v>24</v>
      </c>
      <c r="D520" s="4" t="s">
        <v>2659</v>
      </c>
      <c r="E520" s="4" t="s">
        <v>2649</v>
      </c>
      <c r="F520" s="4" t="s">
        <v>74</v>
      </c>
      <c r="G520" s="4"/>
      <c r="H520" s="4">
        <v>2</v>
      </c>
      <c r="I520" s="4" t="s">
        <v>6585</v>
      </c>
      <c r="J520" s="204" t="s">
        <v>2276</v>
      </c>
      <c r="K520" s="4"/>
      <c r="L520" s="204" t="s">
        <v>2276</v>
      </c>
      <c r="M520" s="4"/>
      <c r="N520" s="4" t="s">
        <v>6586</v>
      </c>
    </row>
    <row r="521" spans="1:14" ht="39.5" customHeight="1">
      <c r="A521" s="4" t="s">
        <v>6414</v>
      </c>
      <c r="B521" s="4" t="s">
        <v>6601</v>
      </c>
      <c r="C521" s="4" t="s">
        <v>24</v>
      </c>
      <c r="D521" s="4" t="s">
        <v>1242</v>
      </c>
      <c r="E521" s="4" t="s">
        <v>2649</v>
      </c>
      <c r="F521" s="4" t="s">
        <v>74</v>
      </c>
      <c r="G521" s="4"/>
      <c r="H521" s="204" t="s">
        <v>2276</v>
      </c>
      <c r="I521" s="4"/>
      <c r="J521" s="204">
        <v>1</v>
      </c>
      <c r="K521" s="4" t="s">
        <v>7865</v>
      </c>
      <c r="L521" s="204" t="s">
        <v>2276</v>
      </c>
      <c r="M521" s="4"/>
      <c r="N521" s="4" t="s">
        <v>6586</v>
      </c>
    </row>
    <row r="522" spans="1:14" ht="39.5" customHeight="1">
      <c r="A522" s="4" t="s">
        <v>6414</v>
      </c>
      <c r="B522" s="4" t="s">
        <v>6602</v>
      </c>
      <c r="C522" s="4" t="s">
        <v>2656</v>
      </c>
      <c r="D522" s="38" t="s">
        <v>2276</v>
      </c>
      <c r="E522" s="4" t="s">
        <v>2649</v>
      </c>
      <c r="F522" s="4" t="s">
        <v>74</v>
      </c>
      <c r="G522" s="4"/>
      <c r="H522" s="204" t="s">
        <v>2276</v>
      </c>
      <c r="I522" s="4"/>
      <c r="J522" s="204" t="s">
        <v>2276</v>
      </c>
      <c r="K522" s="4"/>
      <c r="L522" s="4">
        <v>2</v>
      </c>
      <c r="M522" s="4"/>
      <c r="N522" s="4" t="s">
        <v>6588</v>
      </c>
    </row>
    <row r="523" spans="1:14" ht="39.5" customHeight="1">
      <c r="A523" s="4" t="s">
        <v>6415</v>
      </c>
      <c r="B523" s="4" t="s">
        <v>6563</v>
      </c>
      <c r="C523" s="4" t="s">
        <v>1105</v>
      </c>
      <c r="D523" s="4" t="s">
        <v>1105</v>
      </c>
      <c r="E523" s="4" t="s">
        <v>2649</v>
      </c>
      <c r="F523" s="4" t="s">
        <v>74</v>
      </c>
      <c r="G523" s="4"/>
      <c r="H523" s="204" t="s">
        <v>2276</v>
      </c>
      <c r="I523" s="4"/>
      <c r="J523" s="204" t="s">
        <v>2276</v>
      </c>
      <c r="K523" s="4"/>
      <c r="L523" s="4">
        <v>2</v>
      </c>
      <c r="M523" s="4"/>
      <c r="N523" s="4" t="s">
        <v>6588</v>
      </c>
    </row>
    <row r="524" spans="1:14" ht="39.5" customHeight="1">
      <c r="A524" s="4" t="s">
        <v>6415</v>
      </c>
      <c r="B524" s="4" t="s">
        <v>6603</v>
      </c>
      <c r="C524" s="4" t="s">
        <v>24</v>
      </c>
      <c r="D524" s="4" t="s">
        <v>2659</v>
      </c>
      <c r="E524" s="4" t="s">
        <v>2649</v>
      </c>
      <c r="F524" s="4" t="s">
        <v>74</v>
      </c>
      <c r="G524" s="4"/>
      <c r="H524" s="4">
        <v>2</v>
      </c>
      <c r="I524" s="4" t="s">
        <v>6585</v>
      </c>
      <c r="J524" s="204" t="s">
        <v>2276</v>
      </c>
      <c r="K524" s="4"/>
      <c r="L524" s="204" t="s">
        <v>2276</v>
      </c>
      <c r="M524" s="4"/>
      <c r="N524" s="4" t="s">
        <v>6586</v>
      </c>
    </row>
    <row r="525" spans="1:14" ht="39.5" customHeight="1">
      <c r="A525" s="4" t="s">
        <v>6415</v>
      </c>
      <c r="B525" s="4" t="s">
        <v>6604</v>
      </c>
      <c r="C525" s="4" t="s">
        <v>24</v>
      </c>
      <c r="D525" s="4" t="s">
        <v>1242</v>
      </c>
      <c r="E525" s="4" t="s">
        <v>2649</v>
      </c>
      <c r="F525" s="4" t="s">
        <v>74</v>
      </c>
      <c r="G525" s="4"/>
      <c r="H525" s="204" t="s">
        <v>2276</v>
      </c>
      <c r="I525" s="4"/>
      <c r="J525" s="4">
        <v>3</v>
      </c>
      <c r="K525" s="4" t="s">
        <v>6589</v>
      </c>
      <c r="L525" s="204" t="s">
        <v>2276</v>
      </c>
      <c r="M525" s="4"/>
      <c r="N525" s="4" t="s">
        <v>6586</v>
      </c>
    </row>
    <row r="526" spans="1:14" ht="39.5" customHeight="1">
      <c r="A526" s="4" t="s">
        <v>6415</v>
      </c>
      <c r="B526" s="4" t="s">
        <v>6605</v>
      </c>
      <c r="C526" s="4" t="s">
        <v>2656</v>
      </c>
      <c r="D526" s="38" t="s">
        <v>2276</v>
      </c>
      <c r="E526" s="4" t="s">
        <v>2649</v>
      </c>
      <c r="F526" s="4" t="s">
        <v>74</v>
      </c>
      <c r="G526" s="4"/>
      <c r="H526" s="204" t="s">
        <v>2276</v>
      </c>
      <c r="I526" s="4"/>
      <c r="J526" s="204" t="s">
        <v>2276</v>
      </c>
      <c r="K526" s="4"/>
      <c r="L526" s="4">
        <v>2</v>
      </c>
      <c r="M526" s="4"/>
      <c r="N526" s="4" t="s">
        <v>6588</v>
      </c>
    </row>
    <row r="527" spans="1:14" ht="39.5" customHeight="1">
      <c r="A527" s="4" t="s">
        <v>6416</v>
      </c>
      <c r="B527" s="210" t="s">
        <v>6564</v>
      </c>
      <c r="C527" s="4" t="s">
        <v>1105</v>
      </c>
      <c r="D527" s="4" t="s">
        <v>1105</v>
      </c>
      <c r="E527" s="4" t="s">
        <v>2649</v>
      </c>
      <c r="F527" s="4" t="s">
        <v>74</v>
      </c>
      <c r="G527" s="4"/>
      <c r="H527" s="204" t="s">
        <v>2276</v>
      </c>
      <c r="I527" s="4"/>
      <c r="J527" s="204" t="s">
        <v>2276</v>
      </c>
      <c r="K527" s="4"/>
      <c r="L527" s="4">
        <v>3</v>
      </c>
      <c r="M527" s="4"/>
      <c r="N527" s="4" t="s">
        <v>6584</v>
      </c>
    </row>
    <row r="528" spans="1:14" ht="39.5" customHeight="1">
      <c r="A528" s="4" t="s">
        <v>6416</v>
      </c>
      <c r="B528" s="210" t="s">
        <v>6606</v>
      </c>
      <c r="C528" s="4" t="s">
        <v>24</v>
      </c>
      <c r="D528" s="4" t="s">
        <v>2659</v>
      </c>
      <c r="E528" s="4" t="s">
        <v>2649</v>
      </c>
      <c r="F528" s="4" t="s">
        <v>74</v>
      </c>
      <c r="G528" s="4"/>
      <c r="H528" s="4">
        <v>1</v>
      </c>
      <c r="I528" s="4" t="s">
        <v>6590</v>
      </c>
      <c r="J528" s="204" t="s">
        <v>2276</v>
      </c>
      <c r="K528" s="4"/>
      <c r="L528" s="204" t="s">
        <v>2276</v>
      </c>
      <c r="M528" s="4"/>
      <c r="N528" s="4" t="s">
        <v>6586</v>
      </c>
    </row>
    <row r="529" spans="1:14" ht="39.5" customHeight="1">
      <c r="A529" s="4" t="s">
        <v>6417</v>
      </c>
      <c r="B529" s="4" t="s">
        <v>6565</v>
      </c>
      <c r="C529" s="4" t="s">
        <v>1105</v>
      </c>
      <c r="D529" s="4" t="s">
        <v>1105</v>
      </c>
      <c r="E529" s="4" t="s">
        <v>2649</v>
      </c>
      <c r="F529" s="4" t="s">
        <v>74</v>
      </c>
      <c r="G529" s="4"/>
      <c r="H529" s="204" t="s">
        <v>2276</v>
      </c>
      <c r="I529" s="4"/>
      <c r="J529" s="204" t="s">
        <v>2276</v>
      </c>
      <c r="K529" s="4"/>
      <c r="L529" s="4">
        <v>3</v>
      </c>
      <c r="M529" s="4"/>
      <c r="N529" s="4" t="s">
        <v>6584</v>
      </c>
    </row>
    <row r="530" spans="1:14" ht="39.5" customHeight="1">
      <c r="A530" s="4" t="s">
        <v>6417</v>
      </c>
      <c r="B530" s="4" t="s">
        <v>6607</v>
      </c>
      <c r="C530" s="4" t="s">
        <v>24</v>
      </c>
      <c r="D530" s="4" t="s">
        <v>2659</v>
      </c>
      <c r="E530" s="4" t="s">
        <v>2649</v>
      </c>
      <c r="F530" s="4" t="s">
        <v>74</v>
      </c>
      <c r="G530" s="4"/>
      <c r="H530" s="4">
        <v>2</v>
      </c>
      <c r="I530" s="4" t="s">
        <v>6585</v>
      </c>
      <c r="J530" s="204" t="s">
        <v>2276</v>
      </c>
      <c r="K530" s="4"/>
      <c r="L530" s="204" t="s">
        <v>2276</v>
      </c>
      <c r="M530" s="4"/>
      <c r="N530" s="4" t="s">
        <v>6586</v>
      </c>
    </row>
    <row r="531" spans="1:14" ht="39.5" customHeight="1">
      <c r="A531" s="4" t="s">
        <v>6566</v>
      </c>
      <c r="B531" s="4" t="s">
        <v>6567</v>
      </c>
      <c r="C531" s="4" t="s">
        <v>1105</v>
      </c>
      <c r="D531" s="4" t="s">
        <v>1105</v>
      </c>
      <c r="E531" s="4" t="s">
        <v>2649</v>
      </c>
      <c r="F531" s="4" t="s">
        <v>74</v>
      </c>
      <c r="G531" s="4"/>
      <c r="H531" s="204" t="s">
        <v>2276</v>
      </c>
      <c r="I531" s="4"/>
      <c r="J531" s="204" t="s">
        <v>2276</v>
      </c>
      <c r="K531" s="4"/>
      <c r="L531" s="4">
        <v>3</v>
      </c>
      <c r="M531" s="4"/>
      <c r="N531" s="4" t="s">
        <v>6584</v>
      </c>
    </row>
    <row r="532" spans="1:14" ht="39.5" customHeight="1">
      <c r="A532" s="4" t="s">
        <v>6566</v>
      </c>
      <c r="B532" s="4" t="s">
        <v>6608</v>
      </c>
      <c r="C532" s="4" t="s">
        <v>24</v>
      </c>
      <c r="D532" s="4" t="s">
        <v>2659</v>
      </c>
      <c r="E532" s="4" t="s">
        <v>2649</v>
      </c>
      <c r="F532" s="4" t="s">
        <v>74</v>
      </c>
      <c r="G532" s="4"/>
      <c r="H532" s="4">
        <v>2</v>
      </c>
      <c r="I532" s="4" t="s">
        <v>6585</v>
      </c>
      <c r="J532" s="204" t="s">
        <v>2276</v>
      </c>
      <c r="K532" s="4"/>
      <c r="L532" s="204" t="s">
        <v>2276</v>
      </c>
      <c r="M532" s="4"/>
      <c r="N532" s="4" t="s">
        <v>6586</v>
      </c>
    </row>
    <row r="533" spans="1:14" ht="39.5" customHeight="1">
      <c r="A533" s="4" t="s">
        <v>6566</v>
      </c>
      <c r="B533" s="4" t="s">
        <v>6609</v>
      </c>
      <c r="C533" s="4" t="s">
        <v>24</v>
      </c>
      <c r="D533" s="4" t="s">
        <v>1242</v>
      </c>
      <c r="E533" s="4" t="s">
        <v>2649</v>
      </c>
      <c r="F533" s="4" t="s">
        <v>74</v>
      </c>
      <c r="G533" s="4"/>
      <c r="H533" s="204" t="s">
        <v>2276</v>
      </c>
      <c r="I533" s="4"/>
      <c r="J533" s="4">
        <v>3</v>
      </c>
      <c r="K533" s="4" t="s">
        <v>6591</v>
      </c>
      <c r="L533" s="204" t="s">
        <v>2276</v>
      </c>
      <c r="M533" s="4"/>
      <c r="N533" s="4" t="s">
        <v>6586</v>
      </c>
    </row>
    <row r="534" spans="1:14" ht="39.5" customHeight="1">
      <c r="A534" s="4" t="s">
        <v>6419</v>
      </c>
      <c r="B534" s="4" t="s">
        <v>6568</v>
      </c>
      <c r="C534" s="4" t="s">
        <v>1105</v>
      </c>
      <c r="D534" s="4" t="s">
        <v>1105</v>
      </c>
      <c r="E534" s="4" t="s">
        <v>2649</v>
      </c>
      <c r="F534" s="4" t="s">
        <v>74</v>
      </c>
      <c r="G534" s="4"/>
      <c r="H534" s="204" t="s">
        <v>2276</v>
      </c>
      <c r="I534" s="4"/>
      <c r="J534" s="204" t="s">
        <v>2276</v>
      </c>
      <c r="K534" s="4"/>
      <c r="L534" s="4">
        <v>3</v>
      </c>
      <c r="M534" s="4"/>
      <c r="N534" s="4" t="s">
        <v>6584</v>
      </c>
    </row>
    <row r="535" spans="1:14" ht="39.5" customHeight="1">
      <c r="A535" s="4" t="s">
        <v>6419</v>
      </c>
      <c r="B535" s="4" t="s">
        <v>6610</v>
      </c>
      <c r="C535" s="4" t="s">
        <v>24</v>
      </c>
      <c r="D535" s="4" t="s">
        <v>2659</v>
      </c>
      <c r="E535" s="4" t="s">
        <v>2649</v>
      </c>
      <c r="F535" s="4" t="s">
        <v>74</v>
      </c>
      <c r="G535" s="4"/>
      <c r="H535" s="4">
        <v>2</v>
      </c>
      <c r="I535" s="4" t="s">
        <v>6585</v>
      </c>
      <c r="J535" s="204" t="s">
        <v>2276</v>
      </c>
      <c r="K535" s="4"/>
      <c r="L535" s="204" t="s">
        <v>2276</v>
      </c>
      <c r="M535" s="4"/>
      <c r="N535" s="4" t="s">
        <v>6586</v>
      </c>
    </row>
    <row r="536" spans="1:14" ht="39.5" customHeight="1">
      <c r="A536" s="4" t="s">
        <v>6420</v>
      </c>
      <c r="B536" s="4" t="s">
        <v>6569</v>
      </c>
      <c r="C536" s="4" t="s">
        <v>1105</v>
      </c>
      <c r="D536" s="4" t="s">
        <v>1105</v>
      </c>
      <c r="E536" s="4" t="s">
        <v>2649</v>
      </c>
      <c r="F536" s="4" t="s">
        <v>74</v>
      </c>
      <c r="G536" s="4"/>
      <c r="H536" s="204" t="s">
        <v>2276</v>
      </c>
      <c r="I536" s="4"/>
      <c r="J536" s="204" t="s">
        <v>2276</v>
      </c>
      <c r="K536" s="4"/>
      <c r="L536" s="4">
        <v>3</v>
      </c>
      <c r="M536" s="4"/>
      <c r="N536" s="4" t="s">
        <v>6586</v>
      </c>
    </row>
    <row r="537" spans="1:14" ht="39.5" customHeight="1">
      <c r="A537" s="4" t="s">
        <v>6420</v>
      </c>
      <c r="B537" s="4" t="s">
        <v>6611</v>
      </c>
      <c r="C537" s="4" t="s">
        <v>24</v>
      </c>
      <c r="D537" s="4" t="s">
        <v>2659</v>
      </c>
      <c r="E537" s="4" t="s">
        <v>2649</v>
      </c>
      <c r="F537" s="4" t="s">
        <v>74</v>
      </c>
      <c r="G537" s="4"/>
      <c r="H537" s="4">
        <v>2</v>
      </c>
      <c r="I537" s="4" t="s">
        <v>6585</v>
      </c>
      <c r="J537" s="204" t="s">
        <v>2276</v>
      </c>
      <c r="K537" s="4"/>
      <c r="L537" s="204" t="s">
        <v>2276</v>
      </c>
      <c r="M537" s="4"/>
      <c r="N537" s="4" t="s">
        <v>6586</v>
      </c>
    </row>
    <row r="538" spans="1:14" ht="39.5" customHeight="1">
      <c r="A538" s="4" t="s">
        <v>6421</v>
      </c>
      <c r="B538" s="4" t="s">
        <v>6570</v>
      </c>
      <c r="C538" s="4" t="s">
        <v>1105</v>
      </c>
      <c r="D538" s="4" t="s">
        <v>1105</v>
      </c>
      <c r="E538" s="4" t="s">
        <v>2649</v>
      </c>
      <c r="F538" s="4" t="s">
        <v>74</v>
      </c>
      <c r="G538" s="4"/>
      <c r="H538" s="204" t="s">
        <v>2276</v>
      </c>
      <c r="I538" s="4"/>
      <c r="J538" s="204" t="s">
        <v>2276</v>
      </c>
      <c r="K538" s="4"/>
      <c r="L538" s="4">
        <v>3</v>
      </c>
      <c r="M538" s="4"/>
      <c r="N538" s="4" t="s">
        <v>6584</v>
      </c>
    </row>
    <row r="539" spans="1:14" ht="39.5" customHeight="1">
      <c r="A539" s="4" t="s">
        <v>6421</v>
      </c>
      <c r="B539" s="4" t="s">
        <v>6612</v>
      </c>
      <c r="C539" s="4" t="s">
        <v>24</v>
      </c>
      <c r="D539" s="4" t="s">
        <v>2659</v>
      </c>
      <c r="E539" s="4" t="s">
        <v>2649</v>
      </c>
      <c r="F539" s="4" t="s">
        <v>74</v>
      </c>
      <c r="G539" s="4"/>
      <c r="H539" s="4">
        <v>2</v>
      </c>
      <c r="I539" s="4" t="s">
        <v>6585</v>
      </c>
      <c r="J539" s="204" t="s">
        <v>2276</v>
      </c>
      <c r="K539" s="4"/>
      <c r="L539" s="204" t="s">
        <v>2276</v>
      </c>
      <c r="M539" s="4"/>
      <c r="N539" s="4" t="s">
        <v>6586</v>
      </c>
    </row>
    <row r="540" spans="1:14" ht="39.5" customHeight="1">
      <c r="A540" s="4" t="s">
        <v>6421</v>
      </c>
      <c r="B540" s="4" t="s">
        <v>6613</v>
      </c>
      <c r="C540" s="4" t="s">
        <v>24</v>
      </c>
      <c r="D540" s="4" t="s">
        <v>1242</v>
      </c>
      <c r="E540" s="4" t="s">
        <v>2649</v>
      </c>
      <c r="F540" s="4" t="s">
        <v>74</v>
      </c>
      <c r="G540" s="4"/>
      <c r="H540" s="204" t="s">
        <v>2276</v>
      </c>
      <c r="I540" s="4"/>
      <c r="J540" s="4">
        <v>2</v>
      </c>
      <c r="K540" s="4" t="s">
        <v>6580</v>
      </c>
      <c r="L540" s="204" t="s">
        <v>2276</v>
      </c>
      <c r="M540" s="4"/>
      <c r="N540" s="4" t="s">
        <v>6586</v>
      </c>
    </row>
    <row r="541" spans="1:14" ht="39.5" customHeight="1">
      <c r="A541" s="4" t="s">
        <v>6422</v>
      </c>
      <c r="B541" s="4" t="s">
        <v>6571</v>
      </c>
      <c r="C541" s="4" t="s">
        <v>1105</v>
      </c>
      <c r="D541" s="4" t="s">
        <v>1105</v>
      </c>
      <c r="E541" s="4" t="s">
        <v>2649</v>
      </c>
      <c r="F541" s="4" t="s">
        <v>74</v>
      </c>
      <c r="G541" s="4"/>
      <c r="H541" s="204" t="s">
        <v>2276</v>
      </c>
      <c r="I541" s="4"/>
      <c r="J541" s="204" t="s">
        <v>2276</v>
      </c>
      <c r="K541" s="4"/>
      <c r="L541" s="4">
        <v>3</v>
      </c>
      <c r="M541" s="4"/>
      <c r="N541" s="4" t="s">
        <v>6584</v>
      </c>
    </row>
    <row r="542" spans="1:14" ht="39.5" customHeight="1">
      <c r="A542" s="4" t="s">
        <v>6422</v>
      </c>
      <c r="B542" s="4" t="s">
        <v>6614</v>
      </c>
      <c r="C542" s="4" t="s">
        <v>24</v>
      </c>
      <c r="D542" s="4" t="s">
        <v>2659</v>
      </c>
      <c r="E542" s="4" t="s">
        <v>2649</v>
      </c>
      <c r="F542" s="4" t="s">
        <v>74</v>
      </c>
      <c r="G542" s="4"/>
      <c r="H542" s="4">
        <v>2</v>
      </c>
      <c r="I542" s="4" t="s">
        <v>6585</v>
      </c>
      <c r="J542" s="204" t="s">
        <v>2276</v>
      </c>
      <c r="K542" s="4"/>
      <c r="L542" s="204" t="s">
        <v>2276</v>
      </c>
      <c r="M542" s="4"/>
      <c r="N542" s="4" t="s">
        <v>6586</v>
      </c>
    </row>
    <row r="543" spans="1:14" ht="39.5" customHeight="1">
      <c r="A543" s="4" t="s">
        <v>6422</v>
      </c>
      <c r="B543" s="4" t="s">
        <v>6615</v>
      </c>
      <c r="C543" s="4" t="s">
        <v>24</v>
      </c>
      <c r="D543" s="4" t="s">
        <v>1242</v>
      </c>
      <c r="E543" s="4" t="s">
        <v>2649</v>
      </c>
      <c r="F543" s="4" t="s">
        <v>74</v>
      </c>
      <c r="G543" s="4"/>
      <c r="H543" s="204" t="s">
        <v>2276</v>
      </c>
      <c r="I543" s="4"/>
      <c r="J543" s="4">
        <v>3</v>
      </c>
      <c r="K543" s="4" t="s">
        <v>6589</v>
      </c>
      <c r="L543" s="204" t="s">
        <v>2276</v>
      </c>
      <c r="M543" s="4"/>
      <c r="N543" s="4" t="s">
        <v>6586</v>
      </c>
    </row>
    <row r="544" spans="1:14" ht="39.5" customHeight="1">
      <c r="A544" s="4" t="s">
        <v>6423</v>
      </c>
      <c r="B544" s="4" t="s">
        <v>6572</v>
      </c>
      <c r="C544" s="4" t="s">
        <v>6540</v>
      </c>
      <c r="D544" s="38" t="s">
        <v>30</v>
      </c>
      <c r="E544" s="4" t="s">
        <v>137</v>
      </c>
      <c r="F544" s="4" t="s">
        <v>74</v>
      </c>
      <c r="G544" s="4"/>
      <c r="H544" s="204" t="s">
        <v>2276</v>
      </c>
      <c r="I544" s="4"/>
      <c r="J544" s="4">
        <v>0</v>
      </c>
      <c r="K544" s="4"/>
      <c r="L544" s="4">
        <v>1</v>
      </c>
      <c r="M544" s="4"/>
      <c r="N544" s="166" t="s">
        <v>7866</v>
      </c>
    </row>
    <row r="545" spans="1:14" ht="39.5" customHeight="1">
      <c r="A545" s="4" t="s">
        <v>6423</v>
      </c>
      <c r="B545" s="4" t="s">
        <v>6573</v>
      </c>
      <c r="C545" s="4" t="s">
        <v>2656</v>
      </c>
      <c r="D545" s="38" t="s">
        <v>2276</v>
      </c>
      <c r="E545" s="4" t="s">
        <v>137</v>
      </c>
      <c r="F545" s="4" t="s">
        <v>74</v>
      </c>
      <c r="G545" s="4"/>
      <c r="H545" s="204" t="s">
        <v>2276</v>
      </c>
      <c r="I545" s="4"/>
      <c r="J545" s="4">
        <v>0</v>
      </c>
      <c r="K545" s="4"/>
      <c r="L545" s="4">
        <v>1</v>
      </c>
      <c r="M545" s="4"/>
      <c r="N545" s="166" t="s">
        <v>7866</v>
      </c>
    </row>
    <row r="546" spans="1:14" ht="39.5" customHeight="1">
      <c r="A546" s="4" t="s">
        <v>6424</v>
      </c>
      <c r="B546" s="4" t="s">
        <v>6616</v>
      </c>
      <c r="C546" s="4" t="s">
        <v>6540</v>
      </c>
      <c r="D546" s="38" t="s">
        <v>30</v>
      </c>
      <c r="E546" s="4" t="s">
        <v>2649</v>
      </c>
      <c r="F546" s="4" t="s">
        <v>74</v>
      </c>
      <c r="G546" s="4"/>
      <c r="H546" s="204" t="s">
        <v>2276</v>
      </c>
      <c r="I546" s="4"/>
      <c r="J546" s="204" t="s">
        <v>2276</v>
      </c>
      <c r="K546" s="4"/>
      <c r="L546" s="4">
        <v>3</v>
      </c>
      <c r="M546" s="4"/>
      <c r="N546" s="166"/>
    </row>
    <row r="547" spans="1:14" ht="39.5" customHeight="1">
      <c r="A547" s="4" t="s">
        <v>6424</v>
      </c>
      <c r="B547" s="4" t="s">
        <v>6617</v>
      </c>
      <c r="C547" s="4" t="s">
        <v>2656</v>
      </c>
      <c r="D547" s="38" t="s">
        <v>2276</v>
      </c>
      <c r="E547" s="4" t="s">
        <v>2649</v>
      </c>
      <c r="F547" s="4" t="s">
        <v>74</v>
      </c>
      <c r="G547" s="4"/>
      <c r="H547" s="204" t="s">
        <v>2276</v>
      </c>
      <c r="I547" s="4"/>
      <c r="J547" s="204" t="s">
        <v>2276</v>
      </c>
      <c r="K547" s="4"/>
      <c r="L547" s="4">
        <v>3</v>
      </c>
      <c r="M547" s="4"/>
      <c r="N547" s="166"/>
    </row>
    <row r="548" spans="1:14" ht="39.5" customHeight="1">
      <c r="A548" s="4" t="s">
        <v>6425</v>
      </c>
      <c r="B548" s="4" t="s">
        <v>6574</v>
      </c>
      <c r="C548" s="4" t="s">
        <v>1105</v>
      </c>
      <c r="D548" s="4" t="s">
        <v>1105</v>
      </c>
      <c r="E548" s="4" t="s">
        <v>2649</v>
      </c>
      <c r="F548" s="4" t="s">
        <v>74</v>
      </c>
      <c r="G548" s="4"/>
      <c r="H548" s="204" t="s">
        <v>2276</v>
      </c>
      <c r="I548" s="4"/>
      <c r="J548" s="4">
        <v>0</v>
      </c>
      <c r="K548" s="4"/>
      <c r="L548" s="4">
        <v>2</v>
      </c>
      <c r="M548" s="4" t="s">
        <v>6592</v>
      </c>
      <c r="N548" s="4" t="s">
        <v>6593</v>
      </c>
    </row>
    <row r="549" spans="1:14" ht="39.5" customHeight="1">
      <c r="A549" s="4" t="s">
        <v>6426</v>
      </c>
      <c r="B549" s="4" t="s">
        <v>6577</v>
      </c>
      <c r="C549" s="4" t="s">
        <v>24</v>
      </c>
      <c r="D549" s="4" t="s">
        <v>1242</v>
      </c>
      <c r="E549" s="4" t="s">
        <v>2649</v>
      </c>
      <c r="F549" s="4" t="s">
        <v>74</v>
      </c>
      <c r="G549" s="4"/>
      <c r="H549" s="4">
        <v>2</v>
      </c>
      <c r="I549" s="4" t="s">
        <v>6594</v>
      </c>
      <c r="J549" s="4">
        <v>2</v>
      </c>
      <c r="K549" s="4" t="s">
        <v>6580</v>
      </c>
      <c r="L549" s="204" t="s">
        <v>2276</v>
      </c>
      <c r="M549" s="4"/>
      <c r="N549" s="4"/>
    </row>
    <row r="550" spans="1:14" ht="39.5" customHeight="1">
      <c r="A550" s="4" t="s">
        <v>6427</v>
      </c>
      <c r="B550" s="4" t="s">
        <v>6578</v>
      </c>
      <c r="C550" s="4" t="s">
        <v>24</v>
      </c>
      <c r="D550" s="4" t="s">
        <v>1242</v>
      </c>
      <c r="E550" s="4" t="s">
        <v>2649</v>
      </c>
      <c r="F550" s="4" t="s">
        <v>74</v>
      </c>
      <c r="G550" s="4"/>
      <c r="H550" s="204" t="s">
        <v>2276</v>
      </c>
      <c r="I550" s="4"/>
      <c r="J550" s="4">
        <v>2</v>
      </c>
      <c r="K550" s="4" t="s">
        <v>6580</v>
      </c>
      <c r="L550" s="204" t="s">
        <v>2276</v>
      </c>
      <c r="M550" s="4"/>
      <c r="N550" s="4" t="s">
        <v>6595</v>
      </c>
    </row>
    <row r="551" spans="1:14" ht="39.5" customHeight="1">
      <c r="A551" s="19" t="s">
        <v>6989</v>
      </c>
      <c r="B551" s="19" t="s">
        <v>6992</v>
      </c>
      <c r="C551" s="204" t="s">
        <v>1105</v>
      </c>
      <c r="D551" s="204" t="s">
        <v>1105</v>
      </c>
      <c r="E551" s="4" t="s">
        <v>45</v>
      </c>
      <c r="F551" s="204" t="s">
        <v>55</v>
      </c>
      <c r="G551" s="204"/>
      <c r="H551" s="204"/>
      <c r="I551" s="204"/>
      <c r="J551" s="204">
        <v>2</v>
      </c>
      <c r="K551" s="204" t="s">
        <v>6994</v>
      </c>
      <c r="L551" s="204"/>
      <c r="M551" s="204"/>
      <c r="N551" s="204"/>
    </row>
    <row r="552" spans="1:14" ht="39.5" customHeight="1">
      <c r="A552" s="19" t="s">
        <v>6989</v>
      </c>
      <c r="B552" s="19" t="s">
        <v>6993</v>
      </c>
      <c r="C552" s="204" t="s">
        <v>1105</v>
      </c>
      <c r="D552" s="204" t="s">
        <v>1105</v>
      </c>
      <c r="E552" s="4" t="s">
        <v>5801</v>
      </c>
      <c r="F552" s="204" t="s">
        <v>55</v>
      </c>
      <c r="G552" s="204"/>
      <c r="H552" s="204"/>
      <c r="I552" s="204"/>
      <c r="J552" s="204">
        <v>0</v>
      </c>
      <c r="K552" s="204" t="s">
        <v>6995</v>
      </c>
      <c r="L552" s="204"/>
      <c r="M552" s="204"/>
      <c r="N552" s="204"/>
    </row>
    <row r="553" spans="1:14" ht="38.5" customHeight="1">
      <c r="A553" s="19" t="s">
        <v>7047</v>
      </c>
      <c r="B553" s="19" t="s">
        <v>7050</v>
      </c>
      <c r="C553" s="204" t="s">
        <v>24</v>
      </c>
      <c r="D553" s="204" t="s">
        <v>1242</v>
      </c>
      <c r="E553" s="4" t="s">
        <v>45</v>
      </c>
      <c r="F553" s="204" t="s">
        <v>28</v>
      </c>
      <c r="G553" s="204"/>
      <c r="H553" s="204"/>
      <c r="I553" s="204"/>
      <c r="J553" s="204">
        <v>1</v>
      </c>
      <c r="K553" s="19" t="s">
        <v>7058</v>
      </c>
      <c r="L553" s="204"/>
      <c r="M553" s="204"/>
      <c r="N553" s="204"/>
    </row>
    <row r="554" spans="1:14" ht="39" customHeight="1">
      <c r="A554" s="19" t="s">
        <v>7060</v>
      </c>
      <c r="B554" s="19" t="s">
        <v>7068</v>
      </c>
      <c r="C554" s="204" t="s">
        <v>1105</v>
      </c>
      <c r="D554" s="204" t="s">
        <v>1105</v>
      </c>
      <c r="E554" s="4" t="s">
        <v>3209</v>
      </c>
      <c r="F554" s="204" t="s">
        <v>2276</v>
      </c>
      <c r="G554" s="204"/>
      <c r="H554" s="204" t="s">
        <v>2276</v>
      </c>
      <c r="I554" s="204" t="s">
        <v>2276</v>
      </c>
      <c r="J554" s="204">
        <v>1</v>
      </c>
      <c r="K554" s="204" t="s">
        <v>7078</v>
      </c>
      <c r="L554" s="4">
        <v>2</v>
      </c>
      <c r="M554" s="204" t="s">
        <v>7077</v>
      </c>
      <c r="N554" s="204"/>
    </row>
    <row r="555" spans="1:14" ht="50.5" customHeight="1">
      <c r="A555" s="19" t="s">
        <v>7060</v>
      </c>
      <c r="B555" s="19" t="s">
        <v>7069</v>
      </c>
      <c r="C555" s="204" t="s">
        <v>24</v>
      </c>
      <c r="D555" s="204" t="s">
        <v>2276</v>
      </c>
      <c r="E555" s="4" t="s">
        <v>45</v>
      </c>
      <c r="F555" s="204" t="s">
        <v>2276</v>
      </c>
      <c r="G555" s="204"/>
      <c r="H555" s="204">
        <v>0</v>
      </c>
      <c r="I555" s="4" t="s">
        <v>7079</v>
      </c>
      <c r="J555" s="204" t="s">
        <v>2276</v>
      </c>
      <c r="K555" s="204" t="s">
        <v>2276</v>
      </c>
      <c r="L555" s="204" t="s">
        <v>2276</v>
      </c>
      <c r="M555" s="204" t="s">
        <v>2276</v>
      </c>
      <c r="N555" s="204"/>
    </row>
    <row r="556" spans="1:14" ht="50.5" customHeight="1">
      <c r="A556" s="19" t="s">
        <v>7060</v>
      </c>
      <c r="B556" s="19" t="s">
        <v>7070</v>
      </c>
      <c r="C556" s="204" t="s">
        <v>24</v>
      </c>
      <c r="D556" s="204" t="s">
        <v>2276</v>
      </c>
      <c r="E556" s="4" t="s">
        <v>130</v>
      </c>
      <c r="F556" s="204" t="s">
        <v>2276</v>
      </c>
      <c r="G556" s="204"/>
      <c r="H556" s="204">
        <v>0</v>
      </c>
      <c r="I556" s="4" t="s">
        <v>7079</v>
      </c>
      <c r="J556" s="204" t="s">
        <v>2276</v>
      </c>
      <c r="K556" s="204" t="s">
        <v>2276</v>
      </c>
      <c r="L556" s="204" t="s">
        <v>2276</v>
      </c>
      <c r="M556" s="204" t="s">
        <v>2276</v>
      </c>
      <c r="N556" s="204"/>
    </row>
    <row r="557" spans="1:14" ht="36.5" customHeight="1">
      <c r="A557" s="19" t="s">
        <v>7080</v>
      </c>
      <c r="B557" s="19" t="s">
        <v>7084</v>
      </c>
      <c r="C557" s="204" t="s">
        <v>24</v>
      </c>
      <c r="D557" s="204" t="s">
        <v>1242</v>
      </c>
      <c r="E557" s="4" t="s">
        <v>3209</v>
      </c>
      <c r="F557" s="4" t="s">
        <v>2662</v>
      </c>
      <c r="G557" s="204"/>
      <c r="H557" s="204">
        <v>3</v>
      </c>
      <c r="I557" s="204" t="s">
        <v>7090</v>
      </c>
      <c r="J557" s="204">
        <v>2</v>
      </c>
      <c r="K557" s="204" t="s">
        <v>7089</v>
      </c>
      <c r="L557" s="204" t="s">
        <v>2276</v>
      </c>
      <c r="M557" s="204" t="s">
        <v>2276</v>
      </c>
      <c r="N557" s="204"/>
    </row>
    <row r="558" spans="1:14" ht="35.5" customHeight="1">
      <c r="A558" s="19" t="s">
        <v>7080</v>
      </c>
      <c r="B558" s="19" t="s">
        <v>7085</v>
      </c>
      <c r="C558" s="204" t="s">
        <v>24</v>
      </c>
      <c r="D558" s="204" t="s">
        <v>1105</v>
      </c>
      <c r="E558" s="4" t="s">
        <v>5801</v>
      </c>
      <c r="F558" s="4" t="s">
        <v>2662</v>
      </c>
      <c r="G558" s="204"/>
      <c r="H558" s="204" t="s">
        <v>2276</v>
      </c>
      <c r="I558" s="204" t="s">
        <v>2276</v>
      </c>
      <c r="J558" s="204">
        <v>0</v>
      </c>
      <c r="K558" s="4" t="s">
        <v>7091</v>
      </c>
      <c r="L558" s="204" t="s">
        <v>2276</v>
      </c>
      <c r="M558" s="204" t="s">
        <v>2276</v>
      </c>
      <c r="N558" s="204"/>
    </row>
    <row r="559" spans="1:14" ht="29">
      <c r="A559" s="19" t="s">
        <v>7080</v>
      </c>
      <c r="B559" s="19" t="s">
        <v>7086</v>
      </c>
      <c r="C559" s="204" t="s">
        <v>24</v>
      </c>
      <c r="D559" s="204" t="s">
        <v>1242</v>
      </c>
      <c r="E559" s="4" t="s">
        <v>3209</v>
      </c>
      <c r="F559" s="4" t="s">
        <v>2662</v>
      </c>
      <c r="G559" s="204"/>
      <c r="H559" s="204">
        <v>3</v>
      </c>
      <c r="I559" s="204" t="s">
        <v>7090</v>
      </c>
      <c r="J559" s="204">
        <v>2</v>
      </c>
      <c r="K559" s="204" t="s">
        <v>7089</v>
      </c>
      <c r="L559" s="204" t="s">
        <v>2276</v>
      </c>
      <c r="M559" s="204" t="s">
        <v>2276</v>
      </c>
      <c r="N559" s="204"/>
    </row>
    <row r="560" spans="1:14" ht="36.5" customHeight="1">
      <c r="A560" s="19" t="s">
        <v>7095</v>
      </c>
      <c r="B560" s="19" t="s">
        <v>7184</v>
      </c>
      <c r="C560" s="204" t="s">
        <v>1105</v>
      </c>
      <c r="D560" s="204" t="s">
        <v>1105</v>
      </c>
      <c r="E560" s="4" t="s">
        <v>45</v>
      </c>
      <c r="F560" s="4" t="s">
        <v>2662</v>
      </c>
      <c r="G560" s="204"/>
      <c r="H560" s="204" t="s">
        <v>2276</v>
      </c>
      <c r="I560" s="204" t="s">
        <v>2276</v>
      </c>
      <c r="J560" s="204">
        <v>2</v>
      </c>
      <c r="K560" s="4" t="s">
        <v>7188</v>
      </c>
      <c r="L560" s="204" t="s">
        <v>2276</v>
      </c>
      <c r="M560" s="204" t="s">
        <v>2276</v>
      </c>
      <c r="N560" s="204"/>
    </row>
    <row r="561" spans="1:14" ht="36.5" customHeight="1">
      <c r="A561" s="19" t="s">
        <v>7095</v>
      </c>
      <c r="B561" s="19" t="s">
        <v>7185</v>
      </c>
      <c r="C561" s="204" t="s">
        <v>1105</v>
      </c>
      <c r="D561" s="204" t="s">
        <v>1105</v>
      </c>
      <c r="E561" s="4" t="s">
        <v>5801</v>
      </c>
      <c r="F561" s="4" t="s">
        <v>2662</v>
      </c>
      <c r="G561" s="204"/>
      <c r="H561" s="204" t="s">
        <v>2276</v>
      </c>
      <c r="I561" s="204" t="s">
        <v>2276</v>
      </c>
      <c r="J561" s="204">
        <v>0</v>
      </c>
      <c r="K561" s="4" t="s">
        <v>7091</v>
      </c>
      <c r="L561" s="204" t="s">
        <v>2276</v>
      </c>
      <c r="M561" s="204" t="s">
        <v>2276</v>
      </c>
      <c r="N561" s="204"/>
    </row>
    <row r="562" spans="1:14" ht="36.5" customHeight="1">
      <c r="A562" s="19" t="s">
        <v>7115</v>
      </c>
      <c r="B562" s="19" t="s">
        <v>7186</v>
      </c>
      <c r="C562" s="204" t="s">
        <v>1105</v>
      </c>
      <c r="D562" s="204" t="s">
        <v>1105</v>
      </c>
      <c r="E562" s="4" t="s">
        <v>5801</v>
      </c>
      <c r="F562" s="4" t="s">
        <v>2662</v>
      </c>
      <c r="G562" s="204"/>
      <c r="H562" s="204" t="s">
        <v>2276</v>
      </c>
      <c r="I562" s="204" t="s">
        <v>2276</v>
      </c>
      <c r="J562" s="204">
        <v>0</v>
      </c>
      <c r="K562" s="4" t="s">
        <v>7091</v>
      </c>
      <c r="L562" s="204" t="s">
        <v>2276</v>
      </c>
      <c r="M562" s="204" t="s">
        <v>2276</v>
      </c>
      <c r="N562" s="204"/>
    </row>
    <row r="563" spans="1:14" ht="36.5" customHeight="1">
      <c r="A563" s="19" t="s">
        <v>7115</v>
      </c>
      <c r="B563" s="19" t="s">
        <v>7187</v>
      </c>
      <c r="C563" s="204" t="s">
        <v>1105</v>
      </c>
      <c r="D563" s="204" t="s">
        <v>1105</v>
      </c>
      <c r="E563" s="4" t="s">
        <v>5801</v>
      </c>
      <c r="F563" s="4" t="s">
        <v>2662</v>
      </c>
      <c r="G563" s="204"/>
      <c r="H563" s="204" t="s">
        <v>2276</v>
      </c>
      <c r="I563" s="204" t="s">
        <v>2276</v>
      </c>
      <c r="J563" s="204">
        <v>0</v>
      </c>
      <c r="K563" s="4" t="s">
        <v>7091</v>
      </c>
      <c r="L563" s="204" t="s">
        <v>2276</v>
      </c>
      <c r="M563" s="204" t="s">
        <v>2276</v>
      </c>
      <c r="N563" s="204"/>
    </row>
    <row r="564" spans="1:14" ht="30" customHeight="1">
      <c r="A564" s="19" t="s">
        <v>7120</v>
      </c>
      <c r="B564" s="19" t="s">
        <v>7189</v>
      </c>
      <c r="C564" s="204" t="s">
        <v>1105</v>
      </c>
      <c r="D564" s="204" t="s">
        <v>1105</v>
      </c>
      <c r="E564" s="4" t="s">
        <v>45</v>
      </c>
      <c r="F564" s="4" t="s">
        <v>2662</v>
      </c>
      <c r="G564" s="204"/>
      <c r="H564" s="204" t="s">
        <v>2276</v>
      </c>
      <c r="I564" s="204" t="s">
        <v>2276</v>
      </c>
      <c r="J564" s="204">
        <v>2</v>
      </c>
      <c r="K564" s="4" t="s">
        <v>7188</v>
      </c>
      <c r="L564" s="204" t="s">
        <v>2276</v>
      </c>
      <c r="M564" s="204" t="s">
        <v>2276</v>
      </c>
      <c r="N564" s="204"/>
    </row>
    <row r="565" spans="1:14" ht="29">
      <c r="A565" s="19" t="s">
        <v>7120</v>
      </c>
      <c r="B565" s="19" t="s">
        <v>7194</v>
      </c>
      <c r="C565" s="204" t="s">
        <v>1105</v>
      </c>
      <c r="D565" s="204" t="s">
        <v>1105</v>
      </c>
      <c r="E565" s="4" t="s">
        <v>5801</v>
      </c>
      <c r="F565" s="4" t="s">
        <v>2662</v>
      </c>
      <c r="G565" s="204"/>
      <c r="H565" s="204" t="s">
        <v>2276</v>
      </c>
      <c r="I565" s="204" t="s">
        <v>2276</v>
      </c>
      <c r="J565" s="204">
        <v>0</v>
      </c>
      <c r="K565" s="4" t="s">
        <v>7091</v>
      </c>
      <c r="L565" s="204" t="s">
        <v>2276</v>
      </c>
      <c r="M565" s="204" t="s">
        <v>2276</v>
      </c>
      <c r="N565" s="204"/>
    </row>
    <row r="566" spans="1:14" ht="29">
      <c r="A566" s="19" t="s">
        <v>7121</v>
      </c>
      <c r="B566" s="19" t="s">
        <v>7190</v>
      </c>
      <c r="C566" s="204" t="s">
        <v>1105</v>
      </c>
      <c r="D566" s="204" t="s">
        <v>1105</v>
      </c>
      <c r="E566" s="4" t="s">
        <v>45</v>
      </c>
      <c r="F566" s="4" t="s">
        <v>2662</v>
      </c>
      <c r="G566" s="204"/>
      <c r="H566" s="204" t="s">
        <v>2276</v>
      </c>
      <c r="I566" s="204" t="s">
        <v>2276</v>
      </c>
      <c r="J566" s="204">
        <v>2</v>
      </c>
      <c r="K566" s="4" t="s">
        <v>7188</v>
      </c>
      <c r="L566" s="204" t="s">
        <v>2276</v>
      </c>
      <c r="M566" s="204" t="s">
        <v>2276</v>
      </c>
      <c r="N566" s="204"/>
    </row>
    <row r="567" spans="1:14" ht="29">
      <c r="A567" s="19" t="s">
        <v>7121</v>
      </c>
      <c r="B567" s="19" t="s">
        <v>7195</v>
      </c>
      <c r="C567" s="204" t="s">
        <v>1105</v>
      </c>
      <c r="D567" s="204" t="s">
        <v>1105</v>
      </c>
      <c r="E567" s="4" t="s">
        <v>5801</v>
      </c>
      <c r="F567" s="4" t="s">
        <v>2662</v>
      </c>
      <c r="G567" s="204"/>
      <c r="H567" s="204" t="s">
        <v>2276</v>
      </c>
      <c r="I567" s="204" t="s">
        <v>2276</v>
      </c>
      <c r="J567" s="204">
        <v>0</v>
      </c>
      <c r="K567" s="4" t="s">
        <v>7091</v>
      </c>
      <c r="L567" s="204" t="s">
        <v>2276</v>
      </c>
      <c r="M567" s="204" t="s">
        <v>2276</v>
      </c>
      <c r="N567" s="204"/>
    </row>
    <row r="568" spans="1:14" ht="29">
      <c r="A568" s="19" t="s">
        <v>7122</v>
      </c>
      <c r="B568" s="19" t="s">
        <v>7191</v>
      </c>
      <c r="C568" s="204" t="s">
        <v>1105</v>
      </c>
      <c r="D568" s="204" t="s">
        <v>1105</v>
      </c>
      <c r="E568" s="4" t="s">
        <v>45</v>
      </c>
      <c r="F568" s="4" t="s">
        <v>2662</v>
      </c>
      <c r="G568" s="204"/>
      <c r="H568" s="204" t="s">
        <v>2276</v>
      </c>
      <c r="I568" s="204" t="s">
        <v>2276</v>
      </c>
      <c r="J568" s="204">
        <v>2</v>
      </c>
      <c r="K568" s="4" t="s">
        <v>7188</v>
      </c>
      <c r="L568" s="204" t="s">
        <v>2276</v>
      </c>
      <c r="M568" s="204" t="s">
        <v>2276</v>
      </c>
      <c r="N568" s="204"/>
    </row>
    <row r="569" spans="1:14" ht="29">
      <c r="A569" s="19" t="s">
        <v>7122</v>
      </c>
      <c r="B569" s="19" t="s">
        <v>7196</v>
      </c>
      <c r="C569" s="204" t="s">
        <v>1105</v>
      </c>
      <c r="D569" s="204" t="s">
        <v>1105</v>
      </c>
      <c r="E569" s="4" t="s">
        <v>5801</v>
      </c>
      <c r="F569" s="4" t="s">
        <v>2662</v>
      </c>
      <c r="G569" s="204"/>
      <c r="H569" s="204" t="s">
        <v>2276</v>
      </c>
      <c r="I569" s="204" t="s">
        <v>2276</v>
      </c>
      <c r="J569" s="204">
        <v>0</v>
      </c>
      <c r="K569" s="4" t="s">
        <v>7091</v>
      </c>
      <c r="L569" s="204" t="s">
        <v>2276</v>
      </c>
      <c r="M569" s="204" t="s">
        <v>2276</v>
      </c>
      <c r="N569" s="204"/>
    </row>
    <row r="570" spans="1:14" ht="29">
      <c r="A570" s="19" t="s">
        <v>7123</v>
      </c>
      <c r="B570" s="19" t="s">
        <v>7192</v>
      </c>
      <c r="C570" s="204" t="s">
        <v>1105</v>
      </c>
      <c r="D570" s="204" t="s">
        <v>1105</v>
      </c>
      <c r="E570" s="4" t="s">
        <v>45</v>
      </c>
      <c r="F570" s="4" t="s">
        <v>2662</v>
      </c>
      <c r="G570" s="204"/>
      <c r="H570" s="204" t="s">
        <v>2276</v>
      </c>
      <c r="I570" s="204" t="s">
        <v>2276</v>
      </c>
      <c r="J570" s="204">
        <v>2</v>
      </c>
      <c r="K570" s="4" t="s">
        <v>7188</v>
      </c>
      <c r="L570" s="204" t="s">
        <v>2276</v>
      </c>
      <c r="M570" s="204" t="s">
        <v>2276</v>
      </c>
      <c r="N570" s="204"/>
    </row>
    <row r="571" spans="1:14" ht="29">
      <c r="A571" s="19" t="s">
        <v>7123</v>
      </c>
      <c r="B571" s="19" t="s">
        <v>7197</v>
      </c>
      <c r="C571" s="204" t="s">
        <v>1105</v>
      </c>
      <c r="D571" s="204" t="s">
        <v>1105</v>
      </c>
      <c r="E571" s="4" t="s">
        <v>5801</v>
      </c>
      <c r="F571" s="4" t="s">
        <v>2662</v>
      </c>
      <c r="G571" s="204"/>
      <c r="H571" s="204" t="s">
        <v>2276</v>
      </c>
      <c r="I571" s="204" t="s">
        <v>2276</v>
      </c>
      <c r="J571" s="204">
        <v>0</v>
      </c>
      <c r="K571" s="4" t="s">
        <v>7091</v>
      </c>
      <c r="L571" s="204" t="s">
        <v>2276</v>
      </c>
      <c r="M571" s="204" t="s">
        <v>2276</v>
      </c>
      <c r="N571" s="204"/>
    </row>
    <row r="572" spans="1:14" ht="29">
      <c r="A572" s="19" t="s">
        <v>7124</v>
      </c>
      <c r="B572" s="19" t="s">
        <v>7193</v>
      </c>
      <c r="C572" s="204" t="s">
        <v>1105</v>
      </c>
      <c r="D572" s="204" t="s">
        <v>1105</v>
      </c>
      <c r="E572" s="4" t="s">
        <v>45</v>
      </c>
      <c r="F572" s="4" t="s">
        <v>2662</v>
      </c>
      <c r="G572" s="204"/>
      <c r="H572" s="204" t="s">
        <v>2276</v>
      </c>
      <c r="I572" s="204" t="s">
        <v>2276</v>
      </c>
      <c r="J572" s="204">
        <v>2</v>
      </c>
      <c r="K572" s="4" t="s">
        <v>7188</v>
      </c>
      <c r="L572" s="204" t="s">
        <v>2276</v>
      </c>
      <c r="M572" s="204" t="s">
        <v>2276</v>
      </c>
      <c r="N572" s="204"/>
    </row>
    <row r="573" spans="1:14" ht="29">
      <c r="A573" s="19" t="s">
        <v>7124</v>
      </c>
      <c r="B573" s="19" t="s">
        <v>7198</v>
      </c>
      <c r="C573" s="204" t="s">
        <v>1105</v>
      </c>
      <c r="D573" s="204" t="s">
        <v>1105</v>
      </c>
      <c r="E573" s="4" t="s">
        <v>5801</v>
      </c>
      <c r="F573" s="4" t="s">
        <v>2662</v>
      </c>
      <c r="G573" s="204"/>
      <c r="H573" s="204" t="s">
        <v>2276</v>
      </c>
      <c r="I573" s="204" t="s">
        <v>2276</v>
      </c>
      <c r="J573" s="204">
        <v>0</v>
      </c>
      <c r="K573" s="4" t="s">
        <v>7091</v>
      </c>
      <c r="L573" s="204" t="s">
        <v>2276</v>
      </c>
      <c r="M573" s="204" t="s">
        <v>2276</v>
      </c>
      <c r="N573" s="204"/>
    </row>
    <row r="574" spans="1:14" ht="47" customHeight="1">
      <c r="A574" s="19" t="s">
        <v>7126</v>
      </c>
      <c r="B574" s="19" t="s">
        <v>7202</v>
      </c>
      <c r="C574" s="204" t="s">
        <v>1105</v>
      </c>
      <c r="D574" s="204" t="s">
        <v>1105</v>
      </c>
      <c r="E574" s="4" t="s">
        <v>3855</v>
      </c>
      <c r="F574" s="204" t="s">
        <v>28</v>
      </c>
      <c r="G574" s="204"/>
      <c r="H574" s="204" t="s">
        <v>2276</v>
      </c>
      <c r="I574" s="204" t="s">
        <v>2276</v>
      </c>
      <c r="J574" s="204">
        <v>1</v>
      </c>
      <c r="K574" s="4" t="s">
        <v>7203</v>
      </c>
      <c r="L574" s="204" t="s">
        <v>2276</v>
      </c>
      <c r="M574" s="204" t="s">
        <v>2276</v>
      </c>
      <c r="N574" s="204"/>
    </row>
    <row r="575" spans="1:14" ht="40.5" customHeight="1">
      <c r="A575" s="19" t="s">
        <v>7130</v>
      </c>
      <c r="B575" s="19" t="s">
        <v>7204</v>
      </c>
      <c r="C575" s="204" t="s">
        <v>1105</v>
      </c>
      <c r="D575" s="204" t="s">
        <v>1105</v>
      </c>
      <c r="E575" s="4" t="s">
        <v>5801</v>
      </c>
      <c r="F575" s="4" t="s">
        <v>2662</v>
      </c>
      <c r="G575" s="204"/>
      <c r="H575" s="204" t="s">
        <v>2276</v>
      </c>
      <c r="I575" s="204" t="s">
        <v>2276</v>
      </c>
      <c r="J575" s="204">
        <v>0</v>
      </c>
      <c r="K575" s="4" t="s">
        <v>7205</v>
      </c>
      <c r="L575" s="204" t="s">
        <v>2276</v>
      </c>
      <c r="M575" s="204" t="s">
        <v>2276</v>
      </c>
      <c r="N575" s="204"/>
    </row>
    <row r="576" spans="1:14" ht="32.5" customHeight="1">
      <c r="A576" s="19" t="s">
        <v>7132</v>
      </c>
      <c r="B576" s="19" t="s">
        <v>7206</v>
      </c>
      <c r="C576" s="204" t="s">
        <v>1105</v>
      </c>
      <c r="D576" s="204" t="s">
        <v>1105</v>
      </c>
      <c r="E576" s="4" t="s">
        <v>5801</v>
      </c>
      <c r="F576" s="4" t="s">
        <v>2662</v>
      </c>
      <c r="G576" s="204"/>
      <c r="H576" s="204" t="s">
        <v>2276</v>
      </c>
      <c r="I576" s="204" t="s">
        <v>2276</v>
      </c>
      <c r="J576" s="204">
        <v>0</v>
      </c>
      <c r="K576" s="4" t="s">
        <v>7207</v>
      </c>
      <c r="L576" s="204" t="s">
        <v>2276</v>
      </c>
      <c r="M576" s="204" t="s">
        <v>2276</v>
      </c>
      <c r="N576" s="204"/>
    </row>
    <row r="577" spans="1:14" ht="32.5" customHeight="1">
      <c r="A577" s="19" t="s">
        <v>7133</v>
      </c>
      <c r="B577" s="19" t="s">
        <v>7208</v>
      </c>
      <c r="C577" s="204" t="s">
        <v>1105</v>
      </c>
      <c r="D577" s="204" t="s">
        <v>1105</v>
      </c>
      <c r="E577" s="4" t="s">
        <v>45</v>
      </c>
      <c r="F577" s="4" t="s">
        <v>2662</v>
      </c>
      <c r="G577" s="204"/>
      <c r="H577" s="204" t="s">
        <v>2276</v>
      </c>
      <c r="I577" s="204" t="s">
        <v>2276</v>
      </c>
      <c r="J577" s="204">
        <v>2</v>
      </c>
      <c r="K577" s="204" t="s">
        <v>7210</v>
      </c>
      <c r="L577" s="204" t="s">
        <v>2276</v>
      </c>
      <c r="M577" s="204" t="s">
        <v>2276</v>
      </c>
      <c r="N577" s="204"/>
    </row>
    <row r="578" spans="1:14" ht="32.5" customHeight="1">
      <c r="A578" s="19" t="s">
        <v>7133</v>
      </c>
      <c r="B578" s="19" t="s">
        <v>7209</v>
      </c>
      <c r="C578" s="204" t="s">
        <v>1105</v>
      </c>
      <c r="D578" s="204" t="s">
        <v>1105</v>
      </c>
      <c r="E578" s="4" t="s">
        <v>5801</v>
      </c>
      <c r="F578" s="4" t="s">
        <v>2662</v>
      </c>
      <c r="G578" s="204"/>
      <c r="H578" s="204" t="s">
        <v>2276</v>
      </c>
      <c r="I578" s="204" t="s">
        <v>2276</v>
      </c>
      <c r="J578" s="204">
        <v>0</v>
      </c>
      <c r="K578" s="204" t="s">
        <v>7211</v>
      </c>
      <c r="L578" s="204" t="s">
        <v>2276</v>
      </c>
      <c r="M578" s="204" t="s">
        <v>2276</v>
      </c>
      <c r="N578" s="204"/>
    </row>
    <row r="579" spans="1:14" ht="32.5" customHeight="1">
      <c r="A579" s="19" t="s">
        <v>7136</v>
      </c>
      <c r="B579" s="19" t="s">
        <v>7212</v>
      </c>
      <c r="C579" s="204" t="s">
        <v>1105</v>
      </c>
      <c r="D579" s="204" t="s">
        <v>1105</v>
      </c>
      <c r="E579" s="4" t="s">
        <v>5801</v>
      </c>
      <c r="F579" s="4" t="s">
        <v>2662</v>
      </c>
      <c r="G579" s="204"/>
      <c r="H579" s="204" t="s">
        <v>2276</v>
      </c>
      <c r="I579" s="204" t="s">
        <v>2276</v>
      </c>
      <c r="J579" s="204">
        <v>0</v>
      </c>
      <c r="K579" s="204" t="s">
        <v>7211</v>
      </c>
      <c r="L579" s="204" t="s">
        <v>2276</v>
      </c>
      <c r="M579" s="204" t="s">
        <v>2276</v>
      </c>
      <c r="N579" s="204"/>
    </row>
    <row r="580" spans="1:14" ht="29">
      <c r="A580" s="19" t="s">
        <v>7136</v>
      </c>
      <c r="B580" s="19" t="s">
        <v>7214</v>
      </c>
      <c r="C580" s="204" t="s">
        <v>1105</v>
      </c>
      <c r="D580" s="204" t="s">
        <v>1105</v>
      </c>
      <c r="E580" s="4" t="s">
        <v>45</v>
      </c>
      <c r="F580" s="4" t="s">
        <v>2662</v>
      </c>
      <c r="G580" s="204"/>
      <c r="H580" s="204" t="s">
        <v>2276</v>
      </c>
      <c r="I580" s="204" t="s">
        <v>2276</v>
      </c>
      <c r="J580" s="204">
        <v>2</v>
      </c>
      <c r="K580" s="4" t="s">
        <v>7213</v>
      </c>
      <c r="L580" s="204" t="s">
        <v>2276</v>
      </c>
      <c r="M580" s="204" t="s">
        <v>2276</v>
      </c>
      <c r="N580" s="204"/>
    </row>
    <row r="581" spans="1:14" ht="43" customHeight="1">
      <c r="A581" s="19" t="s">
        <v>7234</v>
      </c>
      <c r="B581" s="19" t="s">
        <v>7241</v>
      </c>
      <c r="C581" s="204" t="s">
        <v>24</v>
      </c>
      <c r="D581" s="204" t="s">
        <v>1242</v>
      </c>
      <c r="E581" s="4" t="s">
        <v>3209</v>
      </c>
      <c r="F581" s="4" t="s">
        <v>2662</v>
      </c>
      <c r="G581" s="152"/>
      <c r="H581" s="204" t="s">
        <v>2276</v>
      </c>
      <c r="I581" s="204" t="s">
        <v>2276</v>
      </c>
      <c r="J581" s="204">
        <v>1</v>
      </c>
      <c r="K581" s="19" t="s">
        <v>7244</v>
      </c>
      <c r="L581" s="204" t="s">
        <v>2276</v>
      </c>
      <c r="M581" s="204" t="s">
        <v>2276</v>
      </c>
      <c r="N581" s="4" t="s">
        <v>7266</v>
      </c>
    </row>
    <row r="582" spans="1:14" ht="53.5" customHeight="1">
      <c r="A582" s="19" t="s">
        <v>7237</v>
      </c>
      <c r="B582" s="19" t="s">
        <v>7251</v>
      </c>
      <c r="C582" s="204" t="s">
        <v>24</v>
      </c>
      <c r="D582" s="204" t="s">
        <v>2804</v>
      </c>
      <c r="E582" s="4" t="s">
        <v>45</v>
      </c>
      <c r="F582" s="4" t="s">
        <v>2662</v>
      </c>
      <c r="G582" s="204">
        <v>1990</v>
      </c>
      <c r="H582" s="204">
        <v>0</v>
      </c>
      <c r="I582" s="19" t="s">
        <v>7255</v>
      </c>
      <c r="J582" s="204" t="s">
        <v>2276</v>
      </c>
      <c r="K582" s="204" t="s">
        <v>2276</v>
      </c>
      <c r="L582" s="204" t="s">
        <v>2276</v>
      </c>
      <c r="M582" s="204" t="s">
        <v>2276</v>
      </c>
      <c r="N582" s="204"/>
    </row>
    <row r="583" spans="1:14" ht="67.5" customHeight="1">
      <c r="A583" s="19" t="s">
        <v>7237</v>
      </c>
      <c r="B583" s="19" t="s">
        <v>7253</v>
      </c>
      <c r="C583" s="204" t="s">
        <v>24</v>
      </c>
      <c r="D583" s="204" t="s">
        <v>2804</v>
      </c>
      <c r="E583" s="4" t="s">
        <v>45</v>
      </c>
      <c r="F583" s="4" t="s">
        <v>2662</v>
      </c>
      <c r="G583" s="204">
        <v>2000</v>
      </c>
      <c r="H583" s="204">
        <v>2</v>
      </c>
      <c r="I583" s="19" t="s">
        <v>7256</v>
      </c>
      <c r="J583" s="204" t="s">
        <v>2276</v>
      </c>
      <c r="K583" s="204" t="s">
        <v>2276</v>
      </c>
      <c r="L583" s="204" t="s">
        <v>2276</v>
      </c>
      <c r="M583" s="204" t="s">
        <v>2276</v>
      </c>
      <c r="N583" s="178"/>
    </row>
    <row r="584" spans="1:14" ht="32" customHeight="1">
      <c r="A584" s="19" t="s">
        <v>7238</v>
      </c>
      <c r="B584" s="19" t="s">
        <v>7252</v>
      </c>
      <c r="C584" s="204" t="s">
        <v>24</v>
      </c>
      <c r="D584" s="204" t="s">
        <v>2804</v>
      </c>
      <c r="E584" s="4" t="s">
        <v>45</v>
      </c>
      <c r="F584" s="4" t="s">
        <v>2662</v>
      </c>
      <c r="G584" s="204">
        <v>1980</v>
      </c>
      <c r="H584" s="204">
        <v>0</v>
      </c>
      <c r="I584" s="11" t="s">
        <v>7263</v>
      </c>
      <c r="J584" s="204" t="s">
        <v>2276</v>
      </c>
      <c r="K584" s="204" t="s">
        <v>2276</v>
      </c>
      <c r="L584" s="204" t="s">
        <v>2276</v>
      </c>
      <c r="M584" s="204" t="s">
        <v>2276</v>
      </c>
      <c r="N584" s="178"/>
    </row>
    <row r="585" spans="1:14" ht="32" customHeight="1">
      <c r="A585" s="19" t="s">
        <v>7238</v>
      </c>
      <c r="B585" s="19" t="s">
        <v>7259</v>
      </c>
      <c r="C585" s="204" t="s">
        <v>24</v>
      </c>
      <c r="D585" s="204" t="s">
        <v>2804</v>
      </c>
      <c r="E585" s="4" t="s">
        <v>45</v>
      </c>
      <c r="F585" s="4" t="s">
        <v>2662</v>
      </c>
      <c r="G585" s="204">
        <v>1990</v>
      </c>
      <c r="H585" s="204">
        <v>2</v>
      </c>
      <c r="I585" s="11" t="s">
        <v>7264</v>
      </c>
      <c r="J585" s="204" t="s">
        <v>2276</v>
      </c>
      <c r="K585" s="204" t="s">
        <v>2276</v>
      </c>
      <c r="L585" s="204" t="s">
        <v>2276</v>
      </c>
      <c r="M585" s="204" t="s">
        <v>2276</v>
      </c>
      <c r="N585" s="178"/>
    </row>
    <row r="586" spans="1:14" ht="32" customHeight="1">
      <c r="A586" s="19" t="s">
        <v>7238</v>
      </c>
      <c r="B586" s="19" t="s">
        <v>7260</v>
      </c>
      <c r="C586" s="204" t="s">
        <v>24</v>
      </c>
      <c r="D586" s="204" t="s">
        <v>2804</v>
      </c>
      <c r="E586" s="4" t="s">
        <v>3209</v>
      </c>
      <c r="F586" s="4" t="s">
        <v>2662</v>
      </c>
      <c r="G586" s="204"/>
      <c r="H586" s="204">
        <v>3</v>
      </c>
      <c r="I586" s="19" t="s">
        <v>7265</v>
      </c>
      <c r="J586" s="204" t="s">
        <v>2276</v>
      </c>
      <c r="K586" s="204" t="s">
        <v>2276</v>
      </c>
      <c r="L586" s="204" t="s">
        <v>2276</v>
      </c>
      <c r="M586" s="204" t="s">
        <v>2276</v>
      </c>
      <c r="N586" s="178"/>
    </row>
    <row r="587" spans="1:14" ht="29">
      <c r="A587" s="19" t="s">
        <v>7288</v>
      </c>
      <c r="B587" s="19" t="s">
        <v>7303</v>
      </c>
      <c r="C587" s="204" t="s">
        <v>1105</v>
      </c>
      <c r="D587" s="204" t="s">
        <v>1242</v>
      </c>
      <c r="E587" s="4" t="s">
        <v>3209</v>
      </c>
      <c r="F587" s="4" t="s">
        <v>2662</v>
      </c>
      <c r="G587" s="204"/>
      <c r="H587" s="204">
        <v>3</v>
      </c>
      <c r="I587" s="4" t="s">
        <v>7633</v>
      </c>
      <c r="J587" s="204">
        <v>1</v>
      </c>
      <c r="K587" s="11" t="s">
        <v>7631</v>
      </c>
      <c r="L587" s="204" t="s">
        <v>2276</v>
      </c>
      <c r="M587" s="204" t="s">
        <v>2276</v>
      </c>
    </row>
    <row r="588" spans="1:14" ht="29">
      <c r="A588" s="19" t="s">
        <v>7289</v>
      </c>
      <c r="B588" s="19" t="s">
        <v>7304</v>
      </c>
      <c r="C588" s="204" t="s">
        <v>1105</v>
      </c>
      <c r="D588" s="204" t="s">
        <v>1242</v>
      </c>
      <c r="E588" s="4" t="s">
        <v>3209</v>
      </c>
      <c r="F588" s="4" t="s">
        <v>2662</v>
      </c>
      <c r="G588" s="204"/>
      <c r="H588" s="204">
        <v>3</v>
      </c>
      <c r="I588" s="4" t="s">
        <v>7633</v>
      </c>
      <c r="J588" s="204">
        <v>1</v>
      </c>
      <c r="K588" s="11" t="s">
        <v>7631</v>
      </c>
      <c r="L588" s="204" t="s">
        <v>2276</v>
      </c>
      <c r="M588" s="204" t="s">
        <v>2276</v>
      </c>
    </row>
    <row r="589" spans="1:14" ht="29">
      <c r="A589" s="19" t="s">
        <v>7290</v>
      </c>
      <c r="B589" s="19" t="s">
        <v>7305</v>
      </c>
      <c r="C589" s="204" t="s">
        <v>1105</v>
      </c>
      <c r="D589" s="204" t="s">
        <v>1242</v>
      </c>
      <c r="E589" s="4" t="s">
        <v>3209</v>
      </c>
      <c r="F589" s="4" t="s">
        <v>2662</v>
      </c>
      <c r="G589" s="204"/>
      <c r="H589" s="204">
        <v>3</v>
      </c>
      <c r="I589" s="4" t="s">
        <v>7633</v>
      </c>
      <c r="J589" s="204">
        <v>2</v>
      </c>
      <c r="K589" s="11" t="s">
        <v>7632</v>
      </c>
      <c r="L589" s="204" t="s">
        <v>2276</v>
      </c>
      <c r="M589" s="204" t="s">
        <v>2276</v>
      </c>
    </row>
    <row r="590" spans="1:14" ht="29">
      <c r="A590" s="19" t="s">
        <v>7291</v>
      </c>
      <c r="B590" s="19" t="s">
        <v>7306</v>
      </c>
      <c r="C590" s="204" t="s">
        <v>1105</v>
      </c>
      <c r="D590" s="204" t="s">
        <v>1242</v>
      </c>
      <c r="E590" s="4" t="s">
        <v>3209</v>
      </c>
      <c r="F590" s="4" t="s">
        <v>2662</v>
      </c>
      <c r="G590" s="204"/>
      <c r="H590" s="204">
        <v>3</v>
      </c>
      <c r="I590" s="4" t="s">
        <v>7633</v>
      </c>
      <c r="J590" s="204">
        <v>2</v>
      </c>
      <c r="K590" s="11" t="s">
        <v>7632</v>
      </c>
      <c r="L590" s="204" t="s">
        <v>2276</v>
      </c>
      <c r="M590" s="204" t="s">
        <v>2276</v>
      </c>
    </row>
    <row r="591" spans="1:14" ht="29">
      <c r="A591" s="19" t="s">
        <v>7292</v>
      </c>
      <c r="B591" s="19" t="s">
        <v>7307</v>
      </c>
      <c r="C591" s="204" t="s">
        <v>1105</v>
      </c>
      <c r="D591" s="204" t="s">
        <v>1242</v>
      </c>
      <c r="E591" s="4" t="s">
        <v>3209</v>
      </c>
      <c r="F591" s="4" t="s">
        <v>2662</v>
      </c>
      <c r="G591" s="204"/>
      <c r="H591" s="204">
        <v>3</v>
      </c>
      <c r="I591" s="4" t="s">
        <v>7633</v>
      </c>
      <c r="J591" s="204">
        <v>1</v>
      </c>
      <c r="K591" s="11" t="s">
        <v>7631</v>
      </c>
      <c r="L591" s="204" t="s">
        <v>2276</v>
      </c>
      <c r="M591" s="204" t="s">
        <v>2276</v>
      </c>
    </row>
    <row r="592" spans="1:14" ht="29">
      <c r="A592" s="19" t="s">
        <v>7293</v>
      </c>
      <c r="B592" s="19" t="s">
        <v>7413</v>
      </c>
      <c r="C592" s="204" t="s">
        <v>1105</v>
      </c>
      <c r="D592" s="204" t="s">
        <v>1242</v>
      </c>
      <c r="E592" s="4" t="s">
        <v>3209</v>
      </c>
      <c r="F592" s="4" t="s">
        <v>2662</v>
      </c>
      <c r="G592" s="204"/>
      <c r="H592" s="204">
        <v>3</v>
      </c>
      <c r="I592" s="4" t="s">
        <v>7633</v>
      </c>
      <c r="J592" s="204">
        <v>1</v>
      </c>
      <c r="K592" s="11" t="s">
        <v>7631</v>
      </c>
      <c r="L592" s="204" t="s">
        <v>2276</v>
      </c>
      <c r="M592" s="204" t="s">
        <v>2276</v>
      </c>
    </row>
    <row r="593" spans="1:13" ht="29">
      <c r="A593" s="19" t="s">
        <v>7379</v>
      </c>
      <c r="B593" s="19" t="s">
        <v>7414</v>
      </c>
      <c r="C593" s="204" t="s">
        <v>1105</v>
      </c>
      <c r="D593" s="204" t="s">
        <v>1242</v>
      </c>
      <c r="E593" s="4" t="s">
        <v>3209</v>
      </c>
      <c r="F593" s="4" t="s">
        <v>2662</v>
      </c>
      <c r="G593" s="204"/>
      <c r="H593" s="204">
        <v>3</v>
      </c>
      <c r="I593" s="4" t="s">
        <v>7633</v>
      </c>
      <c r="J593" s="204">
        <v>1</v>
      </c>
      <c r="K593" s="11" t="s">
        <v>7631</v>
      </c>
      <c r="L593" s="204" t="s">
        <v>2276</v>
      </c>
      <c r="M593" s="204" t="s">
        <v>2276</v>
      </c>
    </row>
    <row r="594" spans="1:13" ht="29">
      <c r="A594" s="19" t="s">
        <v>7380</v>
      </c>
      <c r="B594" s="19" t="s">
        <v>7415</v>
      </c>
      <c r="C594" s="204" t="s">
        <v>1105</v>
      </c>
      <c r="D594" s="204" t="s">
        <v>1242</v>
      </c>
      <c r="E594" s="4" t="s">
        <v>3209</v>
      </c>
      <c r="F594" s="4" t="s">
        <v>2662</v>
      </c>
      <c r="G594" s="204"/>
      <c r="H594" s="204">
        <v>3</v>
      </c>
      <c r="I594" s="4" t="s">
        <v>7633</v>
      </c>
      <c r="J594" s="204">
        <v>1</v>
      </c>
      <c r="K594" s="11" t="s">
        <v>7631</v>
      </c>
      <c r="L594" s="204" t="s">
        <v>2276</v>
      </c>
      <c r="M594" s="204" t="s">
        <v>2276</v>
      </c>
    </row>
    <row r="595" spans="1:13" ht="29">
      <c r="A595" s="19" t="s">
        <v>7381</v>
      </c>
      <c r="B595" s="19" t="s">
        <v>7416</v>
      </c>
      <c r="C595" s="204" t="s">
        <v>1105</v>
      </c>
      <c r="D595" s="204" t="s">
        <v>1242</v>
      </c>
      <c r="E595" s="4" t="s">
        <v>3209</v>
      </c>
      <c r="F595" s="4" t="s">
        <v>2662</v>
      </c>
      <c r="G595" s="204"/>
      <c r="H595" s="204">
        <v>3</v>
      </c>
      <c r="I595" s="4" t="s">
        <v>7633</v>
      </c>
      <c r="J595" s="204">
        <v>1</v>
      </c>
      <c r="K595" s="11" t="s">
        <v>7631</v>
      </c>
      <c r="L595" s="204" t="s">
        <v>2276</v>
      </c>
      <c r="M595" s="204" t="s">
        <v>2276</v>
      </c>
    </row>
    <row r="596" spans="1:13" ht="29">
      <c r="A596" s="19" t="s">
        <v>7382</v>
      </c>
      <c r="B596" s="19" t="s">
        <v>7417</v>
      </c>
      <c r="C596" s="204" t="s">
        <v>1105</v>
      </c>
      <c r="D596" s="204" t="s">
        <v>1242</v>
      </c>
      <c r="E596" s="4" t="s">
        <v>3209</v>
      </c>
      <c r="F596" s="4" t="s">
        <v>2662</v>
      </c>
      <c r="G596" s="204"/>
      <c r="H596" s="204">
        <v>3</v>
      </c>
      <c r="I596" s="4" t="s">
        <v>7633</v>
      </c>
      <c r="J596" s="204">
        <v>1</v>
      </c>
      <c r="K596" s="11" t="s">
        <v>7631</v>
      </c>
      <c r="L596" s="204" t="s">
        <v>2276</v>
      </c>
      <c r="M596" s="204" t="s">
        <v>2276</v>
      </c>
    </row>
    <row r="597" spans="1:13" ht="29">
      <c r="A597" s="19" t="s">
        <v>7383</v>
      </c>
      <c r="B597" s="19" t="s">
        <v>7418</v>
      </c>
      <c r="C597" s="204" t="s">
        <v>1105</v>
      </c>
      <c r="D597" s="204" t="s">
        <v>1242</v>
      </c>
      <c r="E597" s="4" t="s">
        <v>3209</v>
      </c>
      <c r="F597" s="4" t="s">
        <v>2662</v>
      </c>
      <c r="G597" s="204"/>
      <c r="H597" s="204">
        <v>3</v>
      </c>
      <c r="I597" s="4" t="s">
        <v>7633</v>
      </c>
      <c r="J597" s="204">
        <v>1</v>
      </c>
      <c r="K597" s="11" t="s">
        <v>7631</v>
      </c>
      <c r="L597" s="204" t="s">
        <v>2276</v>
      </c>
      <c r="M597" s="204" t="s">
        <v>2276</v>
      </c>
    </row>
    <row r="598" spans="1:13" ht="29">
      <c r="A598" s="19" t="s">
        <v>7384</v>
      </c>
      <c r="B598" s="19" t="s">
        <v>7419</v>
      </c>
      <c r="C598" s="204" t="s">
        <v>1105</v>
      </c>
      <c r="D598" s="204" t="s">
        <v>1242</v>
      </c>
      <c r="E598" s="4" t="s">
        <v>3209</v>
      </c>
      <c r="F598" s="4" t="s">
        <v>2662</v>
      </c>
      <c r="G598" s="204"/>
      <c r="H598" s="204">
        <v>3</v>
      </c>
      <c r="I598" s="4" t="s">
        <v>7633</v>
      </c>
      <c r="J598" s="204">
        <v>1</v>
      </c>
      <c r="K598" s="11" t="s">
        <v>7631</v>
      </c>
      <c r="L598" s="204" t="s">
        <v>2276</v>
      </c>
      <c r="M598" s="204" t="s">
        <v>2276</v>
      </c>
    </row>
    <row r="599" spans="1:13" ht="29">
      <c r="A599" s="19" t="s">
        <v>7385</v>
      </c>
      <c r="B599" s="19" t="s">
        <v>7420</v>
      </c>
      <c r="C599" s="204" t="s">
        <v>1105</v>
      </c>
      <c r="D599" s="204" t="s">
        <v>1242</v>
      </c>
      <c r="E599" s="4" t="s">
        <v>3209</v>
      </c>
      <c r="F599" s="4" t="s">
        <v>2662</v>
      </c>
      <c r="G599" s="204"/>
      <c r="H599" s="204">
        <v>3</v>
      </c>
      <c r="I599" s="4" t="s">
        <v>7633</v>
      </c>
      <c r="J599" s="204">
        <v>1</v>
      </c>
      <c r="K599" s="11" t="s">
        <v>7631</v>
      </c>
      <c r="L599" s="204" t="s">
        <v>2276</v>
      </c>
      <c r="M599" s="204" t="s">
        <v>2276</v>
      </c>
    </row>
    <row r="600" spans="1:13" ht="29">
      <c r="A600" s="19" t="s">
        <v>7386</v>
      </c>
      <c r="B600" s="19" t="s">
        <v>7421</v>
      </c>
      <c r="C600" s="204" t="s">
        <v>1105</v>
      </c>
      <c r="D600" s="204" t="s">
        <v>1242</v>
      </c>
      <c r="E600" s="4" t="s">
        <v>3209</v>
      </c>
      <c r="F600" s="4" t="s">
        <v>2662</v>
      </c>
      <c r="G600" s="204"/>
      <c r="H600" s="204">
        <v>3</v>
      </c>
      <c r="I600" s="4" t="s">
        <v>7633</v>
      </c>
      <c r="J600" s="204">
        <v>1</v>
      </c>
      <c r="K600" s="11" t="s">
        <v>7631</v>
      </c>
      <c r="L600" s="204" t="s">
        <v>2276</v>
      </c>
      <c r="M600" s="204" t="s">
        <v>2276</v>
      </c>
    </row>
    <row r="601" spans="1:13" ht="29">
      <c r="A601" s="19" t="s">
        <v>7387</v>
      </c>
      <c r="B601" s="19" t="s">
        <v>7422</v>
      </c>
      <c r="C601" s="204" t="s">
        <v>1105</v>
      </c>
      <c r="D601" s="204" t="s">
        <v>1242</v>
      </c>
      <c r="E601" s="4" t="s">
        <v>3209</v>
      </c>
      <c r="F601" s="4" t="s">
        <v>2662</v>
      </c>
      <c r="G601" s="204"/>
      <c r="H601" s="204">
        <v>3</v>
      </c>
      <c r="I601" s="4" t="s">
        <v>7633</v>
      </c>
      <c r="J601" s="204">
        <v>2</v>
      </c>
      <c r="K601" s="11" t="s">
        <v>7632</v>
      </c>
      <c r="L601" s="204" t="s">
        <v>2276</v>
      </c>
      <c r="M601" s="204" t="s">
        <v>2276</v>
      </c>
    </row>
    <row r="602" spans="1:13" ht="29">
      <c r="A602" s="19" t="s">
        <v>7388</v>
      </c>
      <c r="B602" s="19" t="s">
        <v>7423</v>
      </c>
      <c r="C602" s="204" t="s">
        <v>1105</v>
      </c>
      <c r="D602" s="204" t="s">
        <v>1242</v>
      </c>
      <c r="E602" s="4" t="s">
        <v>3209</v>
      </c>
      <c r="F602" s="4" t="s">
        <v>2662</v>
      </c>
      <c r="G602" s="204"/>
      <c r="H602" s="204">
        <v>3</v>
      </c>
      <c r="I602" s="4" t="s">
        <v>7633</v>
      </c>
      <c r="J602" s="204">
        <v>1</v>
      </c>
      <c r="K602" s="11" t="s">
        <v>7631</v>
      </c>
      <c r="L602" s="204" t="s">
        <v>2276</v>
      </c>
      <c r="M602" s="204" t="s">
        <v>2276</v>
      </c>
    </row>
    <row r="603" spans="1:13" ht="29">
      <c r="A603" s="19" t="s">
        <v>7389</v>
      </c>
      <c r="B603" s="19" t="s">
        <v>7424</v>
      </c>
      <c r="C603" s="204" t="s">
        <v>1105</v>
      </c>
      <c r="D603" s="204" t="s">
        <v>1242</v>
      </c>
      <c r="E603" s="4" t="s">
        <v>3209</v>
      </c>
      <c r="F603" s="4" t="s">
        <v>2662</v>
      </c>
      <c r="G603" s="204"/>
      <c r="H603" s="204">
        <v>3</v>
      </c>
      <c r="I603" s="4" t="s">
        <v>7633</v>
      </c>
      <c r="J603" s="204">
        <v>1</v>
      </c>
      <c r="K603" s="11" t="s">
        <v>7631</v>
      </c>
      <c r="L603" s="204" t="s">
        <v>2276</v>
      </c>
      <c r="M603" s="204" t="s">
        <v>2276</v>
      </c>
    </row>
    <row r="604" spans="1:13" ht="29">
      <c r="A604" s="19" t="s">
        <v>7390</v>
      </c>
      <c r="B604" s="19" t="s">
        <v>7425</v>
      </c>
      <c r="C604" s="204" t="s">
        <v>1105</v>
      </c>
      <c r="D604" s="204" t="s">
        <v>1242</v>
      </c>
      <c r="E604" s="4" t="s">
        <v>3209</v>
      </c>
      <c r="F604" s="4" t="s">
        <v>2662</v>
      </c>
      <c r="G604" s="204"/>
      <c r="H604" s="204">
        <v>3</v>
      </c>
      <c r="I604" s="4" t="s">
        <v>7633</v>
      </c>
      <c r="J604" s="204">
        <v>1</v>
      </c>
      <c r="K604" s="11" t="s">
        <v>7631</v>
      </c>
      <c r="L604" s="204" t="s">
        <v>2276</v>
      </c>
      <c r="M604" s="204" t="s">
        <v>2276</v>
      </c>
    </row>
    <row r="605" spans="1:13" ht="29">
      <c r="A605" s="19" t="s">
        <v>7391</v>
      </c>
      <c r="B605" s="19" t="s">
        <v>7426</v>
      </c>
      <c r="C605" s="204" t="s">
        <v>1105</v>
      </c>
      <c r="D605" s="204" t="s">
        <v>1242</v>
      </c>
      <c r="E605" s="4" t="s">
        <v>3209</v>
      </c>
      <c r="F605" s="4" t="s">
        <v>2662</v>
      </c>
      <c r="G605" s="204"/>
      <c r="H605" s="204">
        <v>3</v>
      </c>
      <c r="I605" s="4" t="s">
        <v>7633</v>
      </c>
      <c r="J605" s="204">
        <v>1</v>
      </c>
      <c r="K605" s="11" t="s">
        <v>7631</v>
      </c>
      <c r="L605" s="204" t="s">
        <v>2276</v>
      </c>
      <c r="M605" s="204" t="s">
        <v>2276</v>
      </c>
    </row>
    <row r="606" spans="1:13" ht="29">
      <c r="A606" s="19" t="s">
        <v>7392</v>
      </c>
      <c r="B606" s="19" t="s">
        <v>7427</v>
      </c>
      <c r="C606" s="204" t="s">
        <v>1105</v>
      </c>
      <c r="D606" s="204" t="s">
        <v>1242</v>
      </c>
      <c r="E606" s="4" t="s">
        <v>3209</v>
      </c>
      <c r="F606" s="4" t="s">
        <v>2662</v>
      </c>
      <c r="G606" s="204"/>
      <c r="H606" s="204">
        <v>3</v>
      </c>
      <c r="I606" s="4" t="s">
        <v>7633</v>
      </c>
      <c r="J606" s="204">
        <v>1</v>
      </c>
      <c r="K606" s="11" t="s">
        <v>7631</v>
      </c>
      <c r="L606" s="204" t="s">
        <v>2276</v>
      </c>
      <c r="M606" s="204" t="s">
        <v>2276</v>
      </c>
    </row>
    <row r="607" spans="1:13" ht="29">
      <c r="A607" s="19" t="s">
        <v>7393</v>
      </c>
      <c r="B607" s="19" t="s">
        <v>7428</v>
      </c>
      <c r="C607" s="204" t="s">
        <v>1105</v>
      </c>
      <c r="D607" s="204" t="s">
        <v>1242</v>
      </c>
      <c r="E607" s="4" t="s">
        <v>3209</v>
      </c>
      <c r="F607" s="4" t="s">
        <v>2662</v>
      </c>
      <c r="G607" s="204"/>
      <c r="H607" s="204">
        <v>3</v>
      </c>
      <c r="I607" s="4" t="s">
        <v>7633</v>
      </c>
      <c r="J607" s="204">
        <v>2</v>
      </c>
      <c r="K607" s="11" t="s">
        <v>7632</v>
      </c>
      <c r="L607" s="204" t="s">
        <v>2276</v>
      </c>
      <c r="M607" s="204" t="s">
        <v>2276</v>
      </c>
    </row>
    <row r="608" spans="1:13" ht="29">
      <c r="A608" s="19" t="s">
        <v>7394</v>
      </c>
      <c r="B608" s="19" t="s">
        <v>7429</v>
      </c>
      <c r="C608" s="204" t="s">
        <v>1105</v>
      </c>
      <c r="D608" s="204" t="s">
        <v>1242</v>
      </c>
      <c r="E608" s="4" t="s">
        <v>3209</v>
      </c>
      <c r="F608" s="4" t="s">
        <v>2662</v>
      </c>
      <c r="G608" s="204"/>
      <c r="H608" s="204">
        <v>3</v>
      </c>
      <c r="I608" s="4" t="s">
        <v>7633</v>
      </c>
      <c r="J608" s="204">
        <v>2</v>
      </c>
      <c r="K608" s="11" t="s">
        <v>7632</v>
      </c>
      <c r="L608" s="204" t="s">
        <v>2276</v>
      </c>
      <c r="M608" s="204" t="s">
        <v>2276</v>
      </c>
    </row>
    <row r="609" spans="1:13" ht="29">
      <c r="A609" s="19" t="s">
        <v>7395</v>
      </c>
      <c r="B609" s="19" t="s">
        <v>7430</v>
      </c>
      <c r="C609" s="204" t="s">
        <v>1105</v>
      </c>
      <c r="D609" s="204" t="s">
        <v>1242</v>
      </c>
      <c r="E609" s="4" t="s">
        <v>3209</v>
      </c>
      <c r="F609" s="4" t="s">
        <v>2662</v>
      </c>
      <c r="G609" s="204"/>
      <c r="H609" s="204">
        <v>3</v>
      </c>
      <c r="I609" s="4" t="s">
        <v>7633</v>
      </c>
      <c r="J609" s="204">
        <v>2</v>
      </c>
      <c r="K609" s="11" t="s">
        <v>7632</v>
      </c>
      <c r="L609" s="204" t="s">
        <v>2276</v>
      </c>
      <c r="M609" s="204" t="s">
        <v>2276</v>
      </c>
    </row>
    <row r="610" spans="1:13" ht="29">
      <c r="A610" s="19" t="s">
        <v>7594</v>
      </c>
      <c r="B610" s="19" t="s">
        <v>7595</v>
      </c>
      <c r="C610" s="204" t="s">
        <v>1105</v>
      </c>
      <c r="D610" s="204" t="s">
        <v>1242</v>
      </c>
      <c r="E610" s="4" t="s">
        <v>3209</v>
      </c>
      <c r="F610" s="4" t="s">
        <v>2662</v>
      </c>
      <c r="G610" s="204"/>
      <c r="H610" s="204">
        <v>3</v>
      </c>
      <c r="I610" s="4" t="s">
        <v>7633</v>
      </c>
      <c r="J610" s="204">
        <v>1</v>
      </c>
      <c r="K610" s="11" t="s">
        <v>7631</v>
      </c>
      <c r="L610" s="204" t="s">
        <v>2276</v>
      </c>
      <c r="M610" s="204" t="s">
        <v>2276</v>
      </c>
    </row>
    <row r="611" spans="1:13" ht="29">
      <c r="A611" s="19" t="s">
        <v>7616</v>
      </c>
      <c r="B611" s="19" t="s">
        <v>7617</v>
      </c>
      <c r="C611" s="204" t="s">
        <v>1105</v>
      </c>
      <c r="D611" s="204" t="s">
        <v>1242</v>
      </c>
      <c r="E611" s="4" t="s">
        <v>3209</v>
      </c>
      <c r="F611" s="4" t="s">
        <v>2662</v>
      </c>
      <c r="G611" s="204"/>
      <c r="H611" s="204">
        <v>3</v>
      </c>
      <c r="I611" s="4" t="s">
        <v>7633</v>
      </c>
      <c r="J611" s="204">
        <v>1</v>
      </c>
      <c r="K611" s="11" t="s">
        <v>7631</v>
      </c>
      <c r="L611" s="204" t="s">
        <v>2276</v>
      </c>
      <c r="M611" s="204" t="s">
        <v>2276</v>
      </c>
    </row>
    <row r="612" spans="1:13" ht="31.5" customHeight="1">
      <c r="A612" s="19" t="s">
        <v>7288</v>
      </c>
      <c r="B612" s="19" t="s">
        <v>7309</v>
      </c>
      <c r="C612" s="204" t="s">
        <v>1105</v>
      </c>
      <c r="D612" s="204" t="s">
        <v>1242</v>
      </c>
      <c r="E612" s="4" t="s">
        <v>3209</v>
      </c>
      <c r="F612" s="4" t="s">
        <v>74</v>
      </c>
      <c r="G612" s="204"/>
      <c r="H612" s="204">
        <v>3</v>
      </c>
      <c r="I612" s="4" t="s">
        <v>7633</v>
      </c>
      <c r="J612" s="204">
        <v>1</v>
      </c>
      <c r="K612" s="11" t="s">
        <v>7631</v>
      </c>
      <c r="L612" s="204" t="s">
        <v>2276</v>
      </c>
      <c r="M612" s="204" t="s">
        <v>2276</v>
      </c>
    </row>
    <row r="613" spans="1:13" ht="31.5" customHeight="1">
      <c r="A613" s="19" t="s">
        <v>7289</v>
      </c>
      <c r="B613" s="19" t="s">
        <v>7310</v>
      </c>
      <c r="C613" s="204" t="s">
        <v>1105</v>
      </c>
      <c r="D613" s="204" t="s">
        <v>1242</v>
      </c>
      <c r="E613" s="4" t="s">
        <v>3209</v>
      </c>
      <c r="F613" s="4" t="s">
        <v>74</v>
      </c>
      <c r="G613" s="204"/>
      <c r="H613" s="204">
        <v>3</v>
      </c>
      <c r="I613" s="4" t="s">
        <v>7633</v>
      </c>
      <c r="J613" s="204">
        <v>1</v>
      </c>
      <c r="K613" s="11" t="s">
        <v>7631</v>
      </c>
      <c r="L613" s="204" t="s">
        <v>2276</v>
      </c>
      <c r="M613" s="204" t="s">
        <v>2276</v>
      </c>
    </row>
    <row r="614" spans="1:13" ht="31.5" customHeight="1">
      <c r="A614" s="19" t="s">
        <v>7290</v>
      </c>
      <c r="B614" s="19" t="s">
        <v>7311</v>
      </c>
      <c r="C614" s="204" t="s">
        <v>1105</v>
      </c>
      <c r="D614" s="204" t="s">
        <v>1242</v>
      </c>
      <c r="E614" s="4" t="s">
        <v>3209</v>
      </c>
      <c r="F614" s="4" t="s">
        <v>74</v>
      </c>
      <c r="G614" s="204"/>
      <c r="H614" s="204">
        <v>3</v>
      </c>
      <c r="I614" s="4" t="s">
        <v>7633</v>
      </c>
      <c r="J614" s="204">
        <v>2</v>
      </c>
      <c r="K614" s="11" t="s">
        <v>7632</v>
      </c>
      <c r="L614" s="204" t="s">
        <v>2276</v>
      </c>
      <c r="M614" s="204" t="s">
        <v>2276</v>
      </c>
    </row>
    <row r="615" spans="1:13" ht="31.5" customHeight="1">
      <c r="A615" s="19" t="s">
        <v>7291</v>
      </c>
      <c r="B615" s="19" t="s">
        <v>7312</v>
      </c>
      <c r="C615" s="204" t="s">
        <v>1105</v>
      </c>
      <c r="D615" s="204" t="s">
        <v>1242</v>
      </c>
      <c r="E615" s="4" t="s">
        <v>3209</v>
      </c>
      <c r="F615" s="4" t="s">
        <v>74</v>
      </c>
      <c r="G615" s="204"/>
      <c r="H615" s="204">
        <v>3</v>
      </c>
      <c r="I615" s="4" t="s">
        <v>7633</v>
      </c>
      <c r="J615" s="204">
        <v>2</v>
      </c>
      <c r="K615" s="11" t="s">
        <v>7632</v>
      </c>
      <c r="L615" s="204" t="s">
        <v>2276</v>
      </c>
      <c r="M615" s="204" t="s">
        <v>2276</v>
      </c>
    </row>
    <row r="616" spans="1:13" ht="31.5" customHeight="1">
      <c r="A616" s="19" t="s">
        <v>7292</v>
      </c>
      <c r="B616" s="19" t="s">
        <v>7313</v>
      </c>
      <c r="C616" s="204" t="s">
        <v>1105</v>
      </c>
      <c r="D616" s="204" t="s">
        <v>1242</v>
      </c>
      <c r="E616" s="4" t="s">
        <v>3209</v>
      </c>
      <c r="F616" s="4" t="s">
        <v>74</v>
      </c>
      <c r="G616" s="204"/>
      <c r="H616" s="204">
        <v>3</v>
      </c>
      <c r="I616" s="4" t="s">
        <v>7633</v>
      </c>
      <c r="J616" s="204">
        <v>1</v>
      </c>
      <c r="K616" s="11" t="s">
        <v>7631</v>
      </c>
      <c r="L616" s="204" t="s">
        <v>2276</v>
      </c>
      <c r="M616" s="204" t="s">
        <v>2276</v>
      </c>
    </row>
    <row r="617" spans="1:13" ht="31.5" customHeight="1">
      <c r="A617" s="19" t="s">
        <v>7293</v>
      </c>
      <c r="B617" s="19" t="s">
        <v>7431</v>
      </c>
      <c r="C617" s="204" t="s">
        <v>1105</v>
      </c>
      <c r="D617" s="204" t="s">
        <v>1242</v>
      </c>
      <c r="E617" s="4" t="s">
        <v>3209</v>
      </c>
      <c r="F617" s="4" t="s">
        <v>74</v>
      </c>
      <c r="G617" s="204"/>
      <c r="H617" s="204">
        <v>3</v>
      </c>
      <c r="I617" s="4" t="s">
        <v>7633</v>
      </c>
      <c r="J617" s="204">
        <v>1</v>
      </c>
      <c r="K617" s="11" t="s">
        <v>7631</v>
      </c>
      <c r="L617" s="204" t="s">
        <v>2276</v>
      </c>
      <c r="M617" s="204" t="s">
        <v>2276</v>
      </c>
    </row>
    <row r="618" spans="1:13" ht="31.5" customHeight="1">
      <c r="A618" s="19" t="s">
        <v>7379</v>
      </c>
      <c r="B618" s="19" t="s">
        <v>7432</v>
      </c>
      <c r="C618" s="204" t="s">
        <v>1105</v>
      </c>
      <c r="D618" s="204" t="s">
        <v>1242</v>
      </c>
      <c r="E618" s="4" t="s">
        <v>3209</v>
      </c>
      <c r="F618" s="4" t="s">
        <v>74</v>
      </c>
      <c r="G618" s="204"/>
      <c r="H618" s="204">
        <v>3</v>
      </c>
      <c r="I618" s="4" t="s">
        <v>7633</v>
      </c>
      <c r="J618" s="204">
        <v>1</v>
      </c>
      <c r="K618" s="11" t="s">
        <v>7631</v>
      </c>
      <c r="L618" s="204" t="s">
        <v>2276</v>
      </c>
      <c r="M618" s="204" t="s">
        <v>2276</v>
      </c>
    </row>
    <row r="619" spans="1:13" ht="31.5" customHeight="1">
      <c r="A619" s="19" t="s">
        <v>7380</v>
      </c>
      <c r="B619" s="19" t="s">
        <v>7433</v>
      </c>
      <c r="C619" s="204" t="s">
        <v>1105</v>
      </c>
      <c r="D619" s="204" t="s">
        <v>1242</v>
      </c>
      <c r="E619" s="4" t="s">
        <v>3209</v>
      </c>
      <c r="F619" s="4" t="s">
        <v>74</v>
      </c>
      <c r="G619" s="204"/>
      <c r="H619" s="204">
        <v>3</v>
      </c>
      <c r="I619" s="4" t="s">
        <v>7633</v>
      </c>
      <c r="J619" s="204">
        <v>1</v>
      </c>
      <c r="K619" s="11" t="s">
        <v>7631</v>
      </c>
      <c r="L619" s="204" t="s">
        <v>2276</v>
      </c>
      <c r="M619" s="204" t="s">
        <v>2276</v>
      </c>
    </row>
    <row r="620" spans="1:13" ht="31.5" customHeight="1">
      <c r="A620" s="19" t="s">
        <v>7381</v>
      </c>
      <c r="B620" s="19" t="s">
        <v>7434</v>
      </c>
      <c r="C620" s="204" t="s">
        <v>1105</v>
      </c>
      <c r="D620" s="204" t="s">
        <v>1242</v>
      </c>
      <c r="E620" s="4" t="s">
        <v>3209</v>
      </c>
      <c r="F620" s="4" t="s">
        <v>74</v>
      </c>
      <c r="G620" s="204"/>
      <c r="H620" s="204">
        <v>3</v>
      </c>
      <c r="I620" s="4" t="s">
        <v>7633</v>
      </c>
      <c r="J620" s="204">
        <v>1</v>
      </c>
      <c r="K620" s="11" t="s">
        <v>7631</v>
      </c>
      <c r="L620" s="204" t="s">
        <v>2276</v>
      </c>
      <c r="M620" s="204" t="s">
        <v>2276</v>
      </c>
    </row>
    <row r="621" spans="1:13" ht="31.5" customHeight="1">
      <c r="A621" s="19" t="s">
        <v>7382</v>
      </c>
      <c r="B621" s="19" t="s">
        <v>7435</v>
      </c>
      <c r="C621" s="204" t="s">
        <v>1105</v>
      </c>
      <c r="D621" s="204" t="s">
        <v>1242</v>
      </c>
      <c r="E621" s="4" t="s">
        <v>3209</v>
      </c>
      <c r="F621" s="4" t="s">
        <v>74</v>
      </c>
      <c r="G621" s="204"/>
      <c r="H621" s="204">
        <v>3</v>
      </c>
      <c r="I621" s="4" t="s">
        <v>7633</v>
      </c>
      <c r="J621" s="204">
        <v>1</v>
      </c>
      <c r="K621" s="11" t="s">
        <v>7631</v>
      </c>
      <c r="L621" s="204" t="s">
        <v>2276</v>
      </c>
      <c r="M621" s="204" t="s">
        <v>2276</v>
      </c>
    </row>
    <row r="622" spans="1:13" ht="31.5" customHeight="1">
      <c r="A622" s="19" t="s">
        <v>7383</v>
      </c>
      <c r="B622" s="19" t="s">
        <v>7436</v>
      </c>
      <c r="C622" s="204" t="s">
        <v>1105</v>
      </c>
      <c r="D622" s="204" t="s">
        <v>1242</v>
      </c>
      <c r="E622" s="4" t="s">
        <v>3209</v>
      </c>
      <c r="F622" s="4" t="s">
        <v>74</v>
      </c>
      <c r="G622" s="204"/>
      <c r="H622" s="204">
        <v>3</v>
      </c>
      <c r="I622" s="4" t="s">
        <v>7633</v>
      </c>
      <c r="J622" s="204">
        <v>1</v>
      </c>
      <c r="K622" s="11" t="s">
        <v>7631</v>
      </c>
      <c r="L622" s="204" t="s">
        <v>2276</v>
      </c>
      <c r="M622" s="204" t="s">
        <v>2276</v>
      </c>
    </row>
    <row r="623" spans="1:13" ht="31.5" customHeight="1">
      <c r="A623" s="19" t="s">
        <v>7384</v>
      </c>
      <c r="B623" s="19" t="s">
        <v>7437</v>
      </c>
      <c r="C623" s="204" t="s">
        <v>1105</v>
      </c>
      <c r="D623" s="204" t="s">
        <v>1242</v>
      </c>
      <c r="E623" s="4" t="s">
        <v>3209</v>
      </c>
      <c r="F623" s="4" t="s">
        <v>74</v>
      </c>
      <c r="G623" s="204"/>
      <c r="H623" s="204">
        <v>3</v>
      </c>
      <c r="I623" s="4" t="s">
        <v>7633</v>
      </c>
      <c r="J623" s="204">
        <v>1</v>
      </c>
      <c r="K623" s="11" t="s">
        <v>7631</v>
      </c>
      <c r="L623" s="204" t="s">
        <v>2276</v>
      </c>
      <c r="M623" s="204" t="s">
        <v>2276</v>
      </c>
    </row>
    <row r="624" spans="1:13" ht="31.5" customHeight="1">
      <c r="A624" s="19" t="s">
        <v>7385</v>
      </c>
      <c r="B624" s="19" t="s">
        <v>7438</v>
      </c>
      <c r="C624" s="204" t="s">
        <v>1105</v>
      </c>
      <c r="D624" s="204" t="s">
        <v>1242</v>
      </c>
      <c r="E624" s="4" t="s">
        <v>3209</v>
      </c>
      <c r="F624" s="4" t="s">
        <v>74</v>
      </c>
      <c r="G624" s="204"/>
      <c r="H624" s="204">
        <v>3</v>
      </c>
      <c r="I624" s="4" t="s">
        <v>7633</v>
      </c>
      <c r="J624" s="204">
        <v>1</v>
      </c>
      <c r="K624" s="11" t="s">
        <v>7631</v>
      </c>
      <c r="L624" s="204" t="s">
        <v>2276</v>
      </c>
      <c r="M624" s="204" t="s">
        <v>2276</v>
      </c>
    </row>
    <row r="625" spans="1:14" ht="31.5" customHeight="1">
      <c r="A625" s="19" t="s">
        <v>7386</v>
      </c>
      <c r="B625" s="19" t="s">
        <v>7439</v>
      </c>
      <c r="C625" s="204" t="s">
        <v>1105</v>
      </c>
      <c r="D625" s="204" t="s">
        <v>1242</v>
      </c>
      <c r="E625" s="4" t="s">
        <v>3209</v>
      </c>
      <c r="F625" s="4" t="s">
        <v>74</v>
      </c>
      <c r="G625" s="204"/>
      <c r="H625" s="204">
        <v>3</v>
      </c>
      <c r="I625" s="4" t="s">
        <v>7633</v>
      </c>
      <c r="J625" s="204">
        <v>1</v>
      </c>
      <c r="K625" s="11" t="s">
        <v>7631</v>
      </c>
      <c r="L625" s="204" t="s">
        <v>2276</v>
      </c>
      <c r="M625" s="204" t="s">
        <v>2276</v>
      </c>
    </row>
    <row r="626" spans="1:14" ht="31.5" customHeight="1">
      <c r="A626" s="19" t="s">
        <v>7387</v>
      </c>
      <c r="B626" s="19" t="s">
        <v>7440</v>
      </c>
      <c r="C626" s="204" t="s">
        <v>1105</v>
      </c>
      <c r="D626" s="204" t="s">
        <v>1242</v>
      </c>
      <c r="E626" s="4" t="s">
        <v>3209</v>
      </c>
      <c r="F626" s="4" t="s">
        <v>74</v>
      </c>
      <c r="G626" s="204"/>
      <c r="H626" s="204">
        <v>3</v>
      </c>
      <c r="I626" s="4" t="s">
        <v>7633</v>
      </c>
      <c r="J626" s="204">
        <v>2</v>
      </c>
      <c r="K626" s="11" t="s">
        <v>7632</v>
      </c>
      <c r="L626" s="204" t="s">
        <v>2276</v>
      </c>
      <c r="M626" s="204" t="s">
        <v>2276</v>
      </c>
    </row>
    <row r="627" spans="1:14" ht="31.5" customHeight="1">
      <c r="A627" s="19" t="s">
        <v>7388</v>
      </c>
      <c r="B627" s="19" t="s">
        <v>7441</v>
      </c>
      <c r="C627" s="204" t="s">
        <v>1105</v>
      </c>
      <c r="D627" s="204" t="s">
        <v>1242</v>
      </c>
      <c r="E627" s="4" t="s">
        <v>3209</v>
      </c>
      <c r="F627" s="4" t="s">
        <v>74</v>
      </c>
      <c r="G627" s="204"/>
      <c r="H627" s="204">
        <v>3</v>
      </c>
      <c r="I627" s="4" t="s">
        <v>7633</v>
      </c>
      <c r="J627" s="204">
        <v>1</v>
      </c>
      <c r="K627" s="11" t="s">
        <v>7631</v>
      </c>
      <c r="L627" s="204" t="s">
        <v>2276</v>
      </c>
      <c r="M627" s="204" t="s">
        <v>2276</v>
      </c>
    </row>
    <row r="628" spans="1:14" ht="31.5" customHeight="1">
      <c r="A628" s="19" t="s">
        <v>7389</v>
      </c>
      <c r="B628" s="19" t="s">
        <v>7442</v>
      </c>
      <c r="C628" s="204" t="s">
        <v>1105</v>
      </c>
      <c r="D628" s="204" t="s">
        <v>1242</v>
      </c>
      <c r="E628" s="4" t="s">
        <v>3209</v>
      </c>
      <c r="F628" s="4" t="s">
        <v>74</v>
      </c>
      <c r="G628" s="204"/>
      <c r="H628" s="204">
        <v>3</v>
      </c>
      <c r="I628" s="4" t="s">
        <v>7633</v>
      </c>
      <c r="J628" s="204">
        <v>1</v>
      </c>
      <c r="K628" s="11" t="s">
        <v>7631</v>
      </c>
      <c r="L628" s="204" t="s">
        <v>2276</v>
      </c>
      <c r="M628" s="204" t="s">
        <v>2276</v>
      </c>
    </row>
    <row r="629" spans="1:14" ht="31.5" customHeight="1">
      <c r="A629" s="19" t="s">
        <v>7390</v>
      </c>
      <c r="B629" s="19" t="s">
        <v>7443</v>
      </c>
      <c r="C629" s="204" t="s">
        <v>1105</v>
      </c>
      <c r="D629" s="204" t="s">
        <v>1242</v>
      </c>
      <c r="E629" s="4" t="s">
        <v>3209</v>
      </c>
      <c r="F629" s="4" t="s">
        <v>74</v>
      </c>
      <c r="G629" s="204"/>
      <c r="H629" s="204">
        <v>3</v>
      </c>
      <c r="I629" s="4" t="s">
        <v>7633</v>
      </c>
      <c r="J629" s="204">
        <v>1</v>
      </c>
      <c r="K629" s="11" t="s">
        <v>7631</v>
      </c>
      <c r="L629" s="204" t="s">
        <v>2276</v>
      </c>
      <c r="M629" s="204" t="s">
        <v>2276</v>
      </c>
    </row>
    <row r="630" spans="1:14" ht="31.5" customHeight="1">
      <c r="A630" s="19" t="s">
        <v>7391</v>
      </c>
      <c r="B630" s="19" t="s">
        <v>7444</v>
      </c>
      <c r="C630" s="204" t="s">
        <v>1105</v>
      </c>
      <c r="D630" s="204" t="s">
        <v>1242</v>
      </c>
      <c r="E630" s="4" t="s">
        <v>3209</v>
      </c>
      <c r="F630" s="4" t="s">
        <v>74</v>
      </c>
      <c r="G630" s="204"/>
      <c r="H630" s="204">
        <v>3</v>
      </c>
      <c r="I630" s="4" t="s">
        <v>7633</v>
      </c>
      <c r="J630" s="204">
        <v>1</v>
      </c>
      <c r="K630" s="11" t="s">
        <v>7631</v>
      </c>
      <c r="L630" s="204" t="s">
        <v>2276</v>
      </c>
      <c r="M630" s="204" t="s">
        <v>2276</v>
      </c>
    </row>
    <row r="631" spans="1:14" ht="31.5" customHeight="1">
      <c r="A631" s="19" t="s">
        <v>7392</v>
      </c>
      <c r="B631" s="19" t="s">
        <v>7445</v>
      </c>
      <c r="C631" s="204" t="s">
        <v>1105</v>
      </c>
      <c r="D631" s="204" t="s">
        <v>1242</v>
      </c>
      <c r="E631" s="4" t="s">
        <v>3209</v>
      </c>
      <c r="F631" s="4" t="s">
        <v>74</v>
      </c>
      <c r="G631" s="204"/>
      <c r="H631" s="204">
        <v>3</v>
      </c>
      <c r="I631" s="4" t="s">
        <v>7633</v>
      </c>
      <c r="J631" s="204">
        <v>1</v>
      </c>
      <c r="K631" s="11" t="s">
        <v>7631</v>
      </c>
      <c r="L631" s="204" t="s">
        <v>2276</v>
      </c>
      <c r="M631" s="204" t="s">
        <v>2276</v>
      </c>
    </row>
    <row r="632" spans="1:14" ht="31.5" customHeight="1">
      <c r="A632" s="19" t="s">
        <v>7393</v>
      </c>
      <c r="B632" s="19" t="s">
        <v>7446</v>
      </c>
      <c r="C632" s="204" t="s">
        <v>1105</v>
      </c>
      <c r="D632" s="204" t="s">
        <v>1242</v>
      </c>
      <c r="E632" s="4" t="s">
        <v>3209</v>
      </c>
      <c r="F632" s="4" t="s">
        <v>74</v>
      </c>
      <c r="G632" s="204"/>
      <c r="H632" s="204">
        <v>3</v>
      </c>
      <c r="I632" s="4" t="s">
        <v>7633</v>
      </c>
      <c r="J632" s="204">
        <v>2</v>
      </c>
      <c r="K632" s="11" t="s">
        <v>7632</v>
      </c>
      <c r="L632" s="204" t="s">
        <v>2276</v>
      </c>
      <c r="M632" s="204" t="s">
        <v>2276</v>
      </c>
    </row>
    <row r="633" spans="1:14" ht="31.5" customHeight="1">
      <c r="A633" s="19" t="s">
        <v>7394</v>
      </c>
      <c r="B633" s="19" t="s">
        <v>7447</v>
      </c>
      <c r="C633" s="204" t="s">
        <v>1105</v>
      </c>
      <c r="D633" s="204" t="s">
        <v>1242</v>
      </c>
      <c r="E633" s="4" t="s">
        <v>3209</v>
      </c>
      <c r="F633" s="4" t="s">
        <v>74</v>
      </c>
      <c r="G633" s="204"/>
      <c r="H633" s="204">
        <v>3</v>
      </c>
      <c r="I633" s="4" t="s">
        <v>7633</v>
      </c>
      <c r="J633" s="204">
        <v>2</v>
      </c>
      <c r="K633" s="11" t="s">
        <v>7632</v>
      </c>
      <c r="L633" s="204" t="s">
        <v>2276</v>
      </c>
      <c r="M633" s="204" t="s">
        <v>2276</v>
      </c>
    </row>
    <row r="634" spans="1:14" ht="31.5" customHeight="1">
      <c r="A634" s="19" t="s">
        <v>7395</v>
      </c>
      <c r="B634" s="19" t="s">
        <v>7448</v>
      </c>
      <c r="C634" s="204" t="s">
        <v>1105</v>
      </c>
      <c r="D634" s="204" t="s">
        <v>1242</v>
      </c>
      <c r="E634" s="4" t="s">
        <v>3209</v>
      </c>
      <c r="F634" s="4" t="s">
        <v>74</v>
      </c>
      <c r="G634" s="204"/>
      <c r="H634" s="204">
        <v>3</v>
      </c>
      <c r="I634" s="4" t="s">
        <v>7633</v>
      </c>
      <c r="J634" s="204">
        <v>2</v>
      </c>
      <c r="K634" s="11" t="s">
        <v>7632</v>
      </c>
      <c r="L634" s="204" t="s">
        <v>2276</v>
      </c>
      <c r="M634" s="204" t="s">
        <v>2276</v>
      </c>
    </row>
    <row r="635" spans="1:14" ht="31.5" customHeight="1">
      <c r="A635" s="19" t="s">
        <v>7594</v>
      </c>
      <c r="B635" s="19" t="s">
        <v>7596</v>
      </c>
      <c r="C635" s="204" t="s">
        <v>1105</v>
      </c>
      <c r="D635" s="204" t="s">
        <v>1242</v>
      </c>
      <c r="E635" s="4" t="s">
        <v>3209</v>
      </c>
      <c r="F635" s="4" t="s">
        <v>74</v>
      </c>
      <c r="G635" s="204"/>
      <c r="H635" s="204">
        <v>3</v>
      </c>
      <c r="I635" s="4" t="s">
        <v>7633</v>
      </c>
      <c r="J635" s="204">
        <v>1</v>
      </c>
      <c r="K635" s="11" t="s">
        <v>7631</v>
      </c>
      <c r="L635" s="204" t="s">
        <v>2276</v>
      </c>
      <c r="M635" s="204" t="s">
        <v>2276</v>
      </c>
    </row>
    <row r="636" spans="1:14" ht="31.5" customHeight="1">
      <c r="A636" s="55" t="s">
        <v>7616</v>
      </c>
      <c r="B636" s="55" t="s">
        <v>7630</v>
      </c>
      <c r="C636" s="38" t="s">
        <v>1105</v>
      </c>
      <c r="D636" s="38" t="s">
        <v>1242</v>
      </c>
      <c r="E636" s="168" t="s">
        <v>3209</v>
      </c>
      <c r="F636" s="168" t="s">
        <v>74</v>
      </c>
      <c r="G636" s="38"/>
      <c r="H636" s="38">
        <v>3</v>
      </c>
      <c r="I636" s="168" t="s">
        <v>7633</v>
      </c>
      <c r="J636" s="38">
        <v>1</v>
      </c>
      <c r="K636" s="35" t="s">
        <v>7631</v>
      </c>
      <c r="L636" s="38" t="s">
        <v>2276</v>
      </c>
      <c r="M636" s="38" t="s">
        <v>2276</v>
      </c>
    </row>
    <row r="637" spans="1:14" ht="29">
      <c r="A637" s="19" t="s">
        <v>7644</v>
      </c>
      <c r="B637" s="204" t="s">
        <v>7785</v>
      </c>
      <c r="C637" s="38" t="s">
        <v>1105</v>
      </c>
      <c r="D637" s="38" t="s">
        <v>1242</v>
      </c>
      <c r="E637" s="168" t="s">
        <v>3209</v>
      </c>
      <c r="F637" s="4" t="s">
        <v>2276</v>
      </c>
      <c r="G637" s="204"/>
      <c r="H637" s="4" t="s">
        <v>2276</v>
      </c>
      <c r="I637" s="4" t="s">
        <v>2276</v>
      </c>
      <c r="J637" s="204">
        <v>2</v>
      </c>
      <c r="K637" s="19" t="s">
        <v>7850</v>
      </c>
      <c r="L637" s="204" t="s">
        <v>2276</v>
      </c>
      <c r="M637" s="204" t="s">
        <v>2276</v>
      </c>
      <c r="N637" s="204"/>
    </row>
    <row r="638" spans="1:14" ht="29">
      <c r="A638" s="19" t="s">
        <v>7645</v>
      </c>
      <c r="B638" s="204" t="s">
        <v>7786</v>
      </c>
      <c r="C638" s="38" t="s">
        <v>1105</v>
      </c>
      <c r="D638" s="38" t="s">
        <v>1242</v>
      </c>
      <c r="E638" s="168" t="s">
        <v>3209</v>
      </c>
      <c r="F638" s="4" t="s">
        <v>2276</v>
      </c>
      <c r="G638" s="204"/>
      <c r="H638" s="4" t="s">
        <v>2276</v>
      </c>
      <c r="I638" s="4" t="s">
        <v>2276</v>
      </c>
      <c r="J638" s="204">
        <v>2</v>
      </c>
      <c r="K638" s="19" t="s">
        <v>7850</v>
      </c>
      <c r="L638" s="204" t="s">
        <v>2276</v>
      </c>
      <c r="M638" s="204" t="s">
        <v>2276</v>
      </c>
      <c r="N638" s="204"/>
    </row>
    <row r="639" spans="1:14" ht="29">
      <c r="A639" s="19" t="s">
        <v>7646</v>
      </c>
      <c r="B639" s="204" t="s">
        <v>7787</v>
      </c>
      <c r="C639" s="38" t="s">
        <v>1105</v>
      </c>
      <c r="D639" s="38" t="s">
        <v>1242</v>
      </c>
      <c r="E639" s="168" t="s">
        <v>3209</v>
      </c>
      <c r="F639" s="4" t="s">
        <v>2276</v>
      </c>
      <c r="G639" s="204"/>
      <c r="H639" s="4" t="s">
        <v>2276</v>
      </c>
      <c r="I639" s="4" t="s">
        <v>2276</v>
      </c>
      <c r="J639" s="204">
        <v>2</v>
      </c>
      <c r="K639" s="19" t="s">
        <v>7850</v>
      </c>
      <c r="L639" s="204" t="s">
        <v>2276</v>
      </c>
      <c r="M639" s="204" t="s">
        <v>2276</v>
      </c>
      <c r="N639" s="204"/>
    </row>
    <row r="640" spans="1:14" ht="29">
      <c r="A640" s="19" t="s">
        <v>7647</v>
      </c>
      <c r="B640" s="204" t="s">
        <v>7788</v>
      </c>
      <c r="C640" s="38" t="s">
        <v>1105</v>
      </c>
      <c r="D640" s="38" t="s">
        <v>1242</v>
      </c>
      <c r="E640" s="168" t="s">
        <v>3209</v>
      </c>
      <c r="F640" s="4" t="s">
        <v>2276</v>
      </c>
      <c r="G640" s="204"/>
      <c r="H640" s="4" t="s">
        <v>2276</v>
      </c>
      <c r="I640" s="4" t="s">
        <v>2276</v>
      </c>
      <c r="J640" s="204">
        <v>2</v>
      </c>
      <c r="K640" s="19" t="s">
        <v>7850</v>
      </c>
      <c r="L640" s="204" t="s">
        <v>2276</v>
      </c>
      <c r="M640" s="204" t="s">
        <v>2276</v>
      </c>
      <c r="N640" s="204"/>
    </row>
    <row r="641" spans="1:14" ht="29">
      <c r="A641" s="19" t="s">
        <v>7648</v>
      </c>
      <c r="B641" s="204" t="s">
        <v>7789</v>
      </c>
      <c r="C641" s="38" t="s">
        <v>1105</v>
      </c>
      <c r="D641" s="38" t="s">
        <v>1242</v>
      </c>
      <c r="E641" s="168" t="s">
        <v>3209</v>
      </c>
      <c r="F641" s="4" t="s">
        <v>2276</v>
      </c>
      <c r="G641" s="204"/>
      <c r="H641" s="4" t="s">
        <v>2276</v>
      </c>
      <c r="I641" s="4" t="s">
        <v>2276</v>
      </c>
      <c r="J641" s="204">
        <v>1</v>
      </c>
      <c r="K641" s="19" t="s">
        <v>7850</v>
      </c>
      <c r="L641" s="204" t="s">
        <v>2276</v>
      </c>
      <c r="M641" s="204" t="s">
        <v>2276</v>
      </c>
      <c r="N641" s="204"/>
    </row>
    <row r="642" spans="1:14" ht="29">
      <c r="A642" s="19" t="s">
        <v>7649</v>
      </c>
      <c r="B642" s="204" t="s">
        <v>7790</v>
      </c>
      <c r="C642" s="38" t="s">
        <v>1105</v>
      </c>
      <c r="D642" s="38" t="s">
        <v>1242</v>
      </c>
      <c r="E642" s="168" t="s">
        <v>3209</v>
      </c>
      <c r="F642" s="4" t="s">
        <v>2276</v>
      </c>
      <c r="G642" s="204"/>
      <c r="H642" s="4" t="s">
        <v>2276</v>
      </c>
      <c r="I642" s="4" t="s">
        <v>2276</v>
      </c>
      <c r="J642" s="204">
        <v>3</v>
      </c>
      <c r="K642" s="19" t="s">
        <v>7850</v>
      </c>
      <c r="L642" s="204" t="s">
        <v>2276</v>
      </c>
      <c r="M642" s="204" t="s">
        <v>2276</v>
      </c>
      <c r="N642" s="204"/>
    </row>
    <row r="643" spans="1:14" ht="29">
      <c r="A643" s="19" t="s">
        <v>7650</v>
      </c>
      <c r="B643" s="204" t="s">
        <v>7791</v>
      </c>
      <c r="C643" s="38" t="s">
        <v>1105</v>
      </c>
      <c r="D643" s="38" t="s">
        <v>1242</v>
      </c>
      <c r="E643" s="168" t="s">
        <v>3209</v>
      </c>
      <c r="F643" s="4" t="s">
        <v>2276</v>
      </c>
      <c r="G643" s="204"/>
      <c r="H643" s="4" t="s">
        <v>2276</v>
      </c>
      <c r="I643" s="4" t="s">
        <v>2276</v>
      </c>
      <c r="J643" s="204">
        <v>3</v>
      </c>
      <c r="K643" s="19" t="s">
        <v>7850</v>
      </c>
      <c r="L643" s="204" t="s">
        <v>2276</v>
      </c>
      <c r="M643" s="204" t="s">
        <v>2276</v>
      </c>
      <c r="N643" s="204"/>
    </row>
    <row r="644" spans="1:14" ht="29">
      <c r="A644" s="19" t="s">
        <v>7651</v>
      </c>
      <c r="B644" s="204" t="s">
        <v>7792</v>
      </c>
      <c r="C644" s="38" t="s">
        <v>1105</v>
      </c>
      <c r="D644" s="38" t="s">
        <v>1242</v>
      </c>
      <c r="E644" s="168" t="s">
        <v>3209</v>
      </c>
      <c r="F644" s="4" t="s">
        <v>2276</v>
      </c>
      <c r="G644" s="204"/>
      <c r="H644" s="4" t="s">
        <v>2276</v>
      </c>
      <c r="I644" s="4" t="s">
        <v>2276</v>
      </c>
      <c r="J644" s="204">
        <v>1</v>
      </c>
      <c r="K644" s="19" t="s">
        <v>7850</v>
      </c>
      <c r="L644" s="204" t="s">
        <v>2276</v>
      </c>
      <c r="M644" s="204" t="s">
        <v>2276</v>
      </c>
      <c r="N644" s="204"/>
    </row>
    <row r="645" spans="1:14" ht="29">
      <c r="A645" s="19" t="s">
        <v>7652</v>
      </c>
      <c r="B645" s="204" t="s">
        <v>7793</v>
      </c>
      <c r="C645" s="38" t="s">
        <v>1105</v>
      </c>
      <c r="D645" s="38" t="s">
        <v>1242</v>
      </c>
      <c r="E645" s="168" t="s">
        <v>3209</v>
      </c>
      <c r="F645" s="4" t="s">
        <v>2276</v>
      </c>
      <c r="G645" s="204"/>
      <c r="H645" s="4" t="s">
        <v>2276</v>
      </c>
      <c r="I645" s="4" t="s">
        <v>2276</v>
      </c>
      <c r="J645" s="204">
        <v>3</v>
      </c>
      <c r="K645" s="19" t="s">
        <v>7850</v>
      </c>
      <c r="L645" s="204" t="s">
        <v>2276</v>
      </c>
      <c r="M645" s="204" t="s">
        <v>2276</v>
      </c>
      <c r="N645" s="204"/>
    </row>
    <row r="646" spans="1:14" ht="29">
      <c r="A646" s="19" t="s">
        <v>7653</v>
      </c>
      <c r="B646" s="204" t="s">
        <v>7794</v>
      </c>
      <c r="C646" s="38" t="s">
        <v>1105</v>
      </c>
      <c r="D646" s="38" t="s">
        <v>1242</v>
      </c>
      <c r="E646" s="168" t="s">
        <v>3209</v>
      </c>
      <c r="F646" s="4" t="s">
        <v>2276</v>
      </c>
      <c r="G646" s="204"/>
      <c r="H646" s="4" t="s">
        <v>2276</v>
      </c>
      <c r="I646" s="4" t="s">
        <v>2276</v>
      </c>
      <c r="J646" s="204">
        <v>3</v>
      </c>
      <c r="K646" s="19" t="s">
        <v>7850</v>
      </c>
      <c r="L646" s="204" t="s">
        <v>2276</v>
      </c>
      <c r="M646" s="204" t="s">
        <v>2276</v>
      </c>
      <c r="N646" s="204"/>
    </row>
    <row r="647" spans="1:14" ht="29">
      <c r="A647" s="19" t="s">
        <v>7654</v>
      </c>
      <c r="B647" s="204" t="s">
        <v>7795</v>
      </c>
      <c r="C647" s="38" t="s">
        <v>1105</v>
      </c>
      <c r="D647" s="38" t="s">
        <v>1242</v>
      </c>
      <c r="E647" s="168" t="s">
        <v>3209</v>
      </c>
      <c r="F647" s="4" t="s">
        <v>2276</v>
      </c>
      <c r="G647" s="204"/>
      <c r="H647" s="4" t="s">
        <v>2276</v>
      </c>
      <c r="I647" s="4" t="s">
        <v>2276</v>
      </c>
      <c r="J647" s="204">
        <v>2</v>
      </c>
      <c r="K647" s="19" t="s">
        <v>7850</v>
      </c>
      <c r="L647" s="204" t="s">
        <v>2276</v>
      </c>
      <c r="M647" s="204" t="s">
        <v>2276</v>
      </c>
      <c r="N647" s="204"/>
    </row>
    <row r="648" spans="1:14" ht="29">
      <c r="A648" s="19" t="s">
        <v>7655</v>
      </c>
      <c r="B648" s="204" t="s">
        <v>7796</v>
      </c>
      <c r="C648" s="38" t="s">
        <v>1105</v>
      </c>
      <c r="D648" s="38" t="s">
        <v>1242</v>
      </c>
      <c r="E648" s="168" t="s">
        <v>3209</v>
      </c>
      <c r="F648" s="4" t="s">
        <v>2276</v>
      </c>
      <c r="G648" s="204"/>
      <c r="H648" s="4" t="s">
        <v>2276</v>
      </c>
      <c r="I648" s="4" t="s">
        <v>2276</v>
      </c>
      <c r="J648" s="204">
        <v>1</v>
      </c>
      <c r="K648" s="19" t="s">
        <v>7850</v>
      </c>
      <c r="L648" s="204" t="s">
        <v>2276</v>
      </c>
      <c r="M648" s="204" t="s">
        <v>2276</v>
      </c>
      <c r="N648" s="204"/>
    </row>
    <row r="649" spans="1:14" ht="29">
      <c r="A649" s="19" t="s">
        <v>7656</v>
      </c>
      <c r="B649" s="204" t="s">
        <v>7797</v>
      </c>
      <c r="C649" s="38" t="s">
        <v>1105</v>
      </c>
      <c r="D649" s="38" t="s">
        <v>1242</v>
      </c>
      <c r="E649" s="168" t="s">
        <v>3209</v>
      </c>
      <c r="F649" s="4" t="s">
        <v>2276</v>
      </c>
      <c r="G649" s="204"/>
      <c r="H649" s="4" t="s">
        <v>2276</v>
      </c>
      <c r="I649" s="4" t="s">
        <v>2276</v>
      </c>
      <c r="J649" s="204">
        <v>2</v>
      </c>
      <c r="K649" s="19" t="s">
        <v>7850</v>
      </c>
      <c r="L649" s="204" t="s">
        <v>2276</v>
      </c>
      <c r="M649" s="204" t="s">
        <v>2276</v>
      </c>
      <c r="N649" s="204"/>
    </row>
    <row r="650" spans="1:14" ht="29">
      <c r="A650" s="19" t="s">
        <v>7657</v>
      </c>
      <c r="B650" s="204" t="s">
        <v>7798</v>
      </c>
      <c r="C650" s="38" t="s">
        <v>1105</v>
      </c>
      <c r="D650" s="38" t="s">
        <v>1242</v>
      </c>
      <c r="E650" s="168" t="s">
        <v>3209</v>
      </c>
      <c r="F650" s="4" t="s">
        <v>2276</v>
      </c>
      <c r="G650" s="204"/>
      <c r="H650" s="4" t="s">
        <v>2276</v>
      </c>
      <c r="I650" s="4" t="s">
        <v>2276</v>
      </c>
      <c r="J650" s="204">
        <v>3</v>
      </c>
      <c r="K650" s="19" t="s">
        <v>7850</v>
      </c>
      <c r="L650" s="204" t="s">
        <v>2276</v>
      </c>
      <c r="M650" s="204" t="s">
        <v>2276</v>
      </c>
      <c r="N650" s="204"/>
    </row>
    <row r="651" spans="1:14" ht="29">
      <c r="A651" s="19" t="s">
        <v>7658</v>
      </c>
      <c r="B651" s="204" t="s">
        <v>7799</v>
      </c>
      <c r="C651" s="38" t="s">
        <v>1105</v>
      </c>
      <c r="D651" s="38" t="s">
        <v>1242</v>
      </c>
      <c r="E651" s="168" t="s">
        <v>3209</v>
      </c>
      <c r="F651" s="4" t="s">
        <v>2276</v>
      </c>
      <c r="G651" s="204"/>
      <c r="H651" s="4" t="s">
        <v>2276</v>
      </c>
      <c r="I651" s="4" t="s">
        <v>2276</v>
      </c>
      <c r="J651" s="204">
        <v>2</v>
      </c>
      <c r="K651" s="19" t="s">
        <v>7850</v>
      </c>
      <c r="L651" s="204" t="s">
        <v>2276</v>
      </c>
      <c r="M651" s="204" t="s">
        <v>2276</v>
      </c>
      <c r="N651" s="204"/>
    </row>
    <row r="652" spans="1:14" ht="29">
      <c r="A652" s="19" t="s">
        <v>7659</v>
      </c>
      <c r="B652" s="204" t="s">
        <v>7800</v>
      </c>
      <c r="C652" s="38" t="s">
        <v>1105</v>
      </c>
      <c r="D652" s="38" t="s">
        <v>1242</v>
      </c>
      <c r="E652" s="168" t="s">
        <v>3209</v>
      </c>
      <c r="F652" s="4" t="s">
        <v>2276</v>
      </c>
      <c r="G652" s="204"/>
      <c r="H652" s="4" t="s">
        <v>2276</v>
      </c>
      <c r="I652" s="4" t="s">
        <v>2276</v>
      </c>
      <c r="J652" s="204">
        <v>2</v>
      </c>
      <c r="K652" s="19" t="s">
        <v>7850</v>
      </c>
      <c r="L652" s="204" t="s">
        <v>2276</v>
      </c>
      <c r="M652" s="204" t="s">
        <v>2276</v>
      </c>
      <c r="N652" s="204"/>
    </row>
    <row r="653" spans="1:14" ht="29">
      <c r="A653" s="19" t="s">
        <v>7660</v>
      </c>
      <c r="B653" s="204" t="s">
        <v>7801</v>
      </c>
      <c r="C653" s="38" t="s">
        <v>1105</v>
      </c>
      <c r="D653" s="38" t="s">
        <v>1242</v>
      </c>
      <c r="E653" s="168" t="s">
        <v>3209</v>
      </c>
      <c r="F653" s="4" t="s">
        <v>2276</v>
      </c>
      <c r="G653" s="204"/>
      <c r="H653" s="4" t="s">
        <v>2276</v>
      </c>
      <c r="I653" s="4" t="s">
        <v>2276</v>
      </c>
      <c r="J653" s="204">
        <v>2</v>
      </c>
      <c r="K653" s="19" t="s">
        <v>7850</v>
      </c>
      <c r="L653" s="204" t="s">
        <v>2276</v>
      </c>
      <c r="M653" s="204" t="s">
        <v>2276</v>
      </c>
      <c r="N653" s="204"/>
    </row>
    <row r="654" spans="1:14" ht="29">
      <c r="A654" s="19" t="s">
        <v>7661</v>
      </c>
      <c r="B654" s="204" t="s">
        <v>7802</v>
      </c>
      <c r="C654" s="38" t="s">
        <v>1105</v>
      </c>
      <c r="D654" s="38" t="s">
        <v>1242</v>
      </c>
      <c r="E654" s="168" t="s">
        <v>3209</v>
      </c>
      <c r="F654" s="4" t="s">
        <v>2276</v>
      </c>
      <c r="G654" s="204"/>
      <c r="H654" s="4" t="s">
        <v>2276</v>
      </c>
      <c r="I654" s="4" t="s">
        <v>2276</v>
      </c>
      <c r="J654" s="204">
        <v>2</v>
      </c>
      <c r="K654" s="19" t="s">
        <v>7850</v>
      </c>
      <c r="L654" s="204" t="s">
        <v>2276</v>
      </c>
      <c r="M654" s="204" t="s">
        <v>2276</v>
      </c>
      <c r="N654" s="204"/>
    </row>
    <row r="655" spans="1:14" ht="29">
      <c r="A655" s="19" t="s">
        <v>7662</v>
      </c>
      <c r="B655" s="204" t="s">
        <v>7803</v>
      </c>
      <c r="C655" s="38" t="s">
        <v>1105</v>
      </c>
      <c r="D655" s="38" t="s">
        <v>1242</v>
      </c>
      <c r="E655" s="168" t="s">
        <v>3209</v>
      </c>
      <c r="F655" s="4" t="s">
        <v>2276</v>
      </c>
      <c r="G655" s="204"/>
      <c r="H655" s="4" t="s">
        <v>2276</v>
      </c>
      <c r="I655" s="4" t="s">
        <v>2276</v>
      </c>
      <c r="J655" s="204">
        <v>1</v>
      </c>
      <c r="K655" s="19" t="s">
        <v>7850</v>
      </c>
      <c r="L655" s="204" t="s">
        <v>2276</v>
      </c>
      <c r="M655" s="204" t="s">
        <v>2276</v>
      </c>
      <c r="N655" s="204"/>
    </row>
    <row r="656" spans="1:14" ht="29">
      <c r="A656" s="19" t="s">
        <v>7663</v>
      </c>
      <c r="B656" s="204" t="s">
        <v>7804</v>
      </c>
      <c r="C656" s="38" t="s">
        <v>1105</v>
      </c>
      <c r="D656" s="38" t="s">
        <v>1242</v>
      </c>
      <c r="E656" s="168" t="s">
        <v>3209</v>
      </c>
      <c r="F656" s="4" t="s">
        <v>2276</v>
      </c>
      <c r="G656" s="204"/>
      <c r="H656" s="4" t="s">
        <v>2276</v>
      </c>
      <c r="I656" s="4" t="s">
        <v>2276</v>
      </c>
      <c r="J656" s="204">
        <v>2</v>
      </c>
      <c r="K656" s="19" t="s">
        <v>7850</v>
      </c>
      <c r="L656" s="204" t="s">
        <v>2276</v>
      </c>
      <c r="M656" s="204" t="s">
        <v>2276</v>
      </c>
      <c r="N656" s="204"/>
    </row>
    <row r="657" spans="1:14" ht="29">
      <c r="A657" s="19" t="s">
        <v>7664</v>
      </c>
      <c r="B657" s="204" t="s">
        <v>7805</v>
      </c>
      <c r="C657" s="38" t="s">
        <v>1105</v>
      </c>
      <c r="D657" s="38" t="s">
        <v>1242</v>
      </c>
      <c r="E657" s="168" t="s">
        <v>3209</v>
      </c>
      <c r="F657" s="4" t="s">
        <v>2276</v>
      </c>
      <c r="G657" s="204"/>
      <c r="H657" s="4" t="s">
        <v>2276</v>
      </c>
      <c r="I657" s="4" t="s">
        <v>2276</v>
      </c>
      <c r="J657" s="204">
        <v>2</v>
      </c>
      <c r="K657" s="19" t="s">
        <v>7850</v>
      </c>
      <c r="L657" s="204" t="s">
        <v>2276</v>
      </c>
      <c r="M657" s="204" t="s">
        <v>2276</v>
      </c>
      <c r="N657" s="204"/>
    </row>
    <row r="658" spans="1:14" ht="29">
      <c r="A658" s="19" t="s">
        <v>7665</v>
      </c>
      <c r="B658" s="204" t="s">
        <v>7806</v>
      </c>
      <c r="C658" s="38" t="s">
        <v>1105</v>
      </c>
      <c r="D658" s="38" t="s">
        <v>1242</v>
      </c>
      <c r="E658" s="168" t="s">
        <v>3209</v>
      </c>
      <c r="F658" s="4" t="s">
        <v>2276</v>
      </c>
      <c r="G658" s="204"/>
      <c r="H658" s="4" t="s">
        <v>2276</v>
      </c>
      <c r="I658" s="4" t="s">
        <v>2276</v>
      </c>
      <c r="J658" s="204">
        <v>2</v>
      </c>
      <c r="K658" s="19" t="s">
        <v>7850</v>
      </c>
      <c r="L658" s="204" t="s">
        <v>2276</v>
      </c>
      <c r="M658" s="204" t="s">
        <v>2276</v>
      </c>
      <c r="N658" s="204"/>
    </row>
    <row r="659" spans="1:14" ht="29">
      <c r="A659" s="19" t="s">
        <v>7666</v>
      </c>
      <c r="B659" s="204" t="s">
        <v>7807</v>
      </c>
      <c r="C659" s="38" t="s">
        <v>1105</v>
      </c>
      <c r="D659" s="38" t="s">
        <v>1242</v>
      </c>
      <c r="E659" s="168" t="s">
        <v>3209</v>
      </c>
      <c r="F659" s="4" t="s">
        <v>2276</v>
      </c>
      <c r="G659" s="204"/>
      <c r="H659" s="4" t="s">
        <v>2276</v>
      </c>
      <c r="I659" s="4" t="s">
        <v>2276</v>
      </c>
      <c r="J659" s="204">
        <v>2</v>
      </c>
      <c r="K659" s="19" t="s">
        <v>7850</v>
      </c>
      <c r="L659" s="204" t="s">
        <v>2276</v>
      </c>
      <c r="M659" s="204" t="s">
        <v>2276</v>
      </c>
      <c r="N659" s="204"/>
    </row>
    <row r="660" spans="1:14" ht="29">
      <c r="A660" s="19" t="s">
        <v>7667</v>
      </c>
      <c r="B660" s="204" t="s">
        <v>7808</v>
      </c>
      <c r="C660" s="38" t="s">
        <v>1105</v>
      </c>
      <c r="D660" s="38" t="s">
        <v>1242</v>
      </c>
      <c r="E660" s="168" t="s">
        <v>3209</v>
      </c>
      <c r="F660" s="4" t="s">
        <v>2276</v>
      </c>
      <c r="G660" s="204"/>
      <c r="H660" s="4" t="s">
        <v>2276</v>
      </c>
      <c r="I660" s="4" t="s">
        <v>2276</v>
      </c>
      <c r="J660" s="204">
        <v>2</v>
      </c>
      <c r="K660" s="19" t="s">
        <v>7850</v>
      </c>
      <c r="L660" s="204" t="s">
        <v>2276</v>
      </c>
      <c r="M660" s="204" t="s">
        <v>2276</v>
      </c>
      <c r="N660" s="204"/>
    </row>
    <row r="661" spans="1:14" ht="29">
      <c r="A661" s="19" t="s">
        <v>7668</v>
      </c>
      <c r="B661" s="204" t="s">
        <v>7809</v>
      </c>
      <c r="C661" s="38" t="s">
        <v>1105</v>
      </c>
      <c r="D661" s="38" t="s">
        <v>1242</v>
      </c>
      <c r="E661" s="168" t="s">
        <v>3209</v>
      </c>
      <c r="F661" s="4" t="s">
        <v>2276</v>
      </c>
      <c r="G661" s="204"/>
      <c r="H661" s="4" t="s">
        <v>2276</v>
      </c>
      <c r="I661" s="4" t="s">
        <v>2276</v>
      </c>
      <c r="J661" s="204">
        <v>2</v>
      </c>
      <c r="K661" s="19" t="s">
        <v>7850</v>
      </c>
      <c r="L661" s="204" t="s">
        <v>2276</v>
      </c>
      <c r="M661" s="204" t="s">
        <v>2276</v>
      </c>
      <c r="N661" s="204"/>
    </row>
    <row r="662" spans="1:14" ht="29">
      <c r="A662" s="19" t="s">
        <v>7669</v>
      </c>
      <c r="B662" s="204" t="s">
        <v>7810</v>
      </c>
      <c r="C662" s="38" t="s">
        <v>1105</v>
      </c>
      <c r="D662" s="38" t="s">
        <v>1242</v>
      </c>
      <c r="E662" s="168" t="s">
        <v>3209</v>
      </c>
      <c r="F662" s="4" t="s">
        <v>2276</v>
      </c>
      <c r="G662" s="204"/>
      <c r="H662" s="4" t="s">
        <v>2276</v>
      </c>
      <c r="I662" s="4" t="s">
        <v>2276</v>
      </c>
      <c r="J662" s="204">
        <v>1</v>
      </c>
      <c r="K662" s="19" t="s">
        <v>7850</v>
      </c>
      <c r="L662" s="204" t="s">
        <v>2276</v>
      </c>
      <c r="M662" s="204" t="s">
        <v>2276</v>
      </c>
      <c r="N662" s="204"/>
    </row>
    <row r="663" spans="1:14" ht="29">
      <c r="A663" s="19" t="s">
        <v>7670</v>
      </c>
      <c r="B663" s="204" t="s">
        <v>7811</v>
      </c>
      <c r="C663" s="38" t="s">
        <v>1105</v>
      </c>
      <c r="D663" s="38" t="s">
        <v>1242</v>
      </c>
      <c r="E663" s="168" t="s">
        <v>3209</v>
      </c>
      <c r="F663" s="4" t="s">
        <v>2276</v>
      </c>
      <c r="G663" s="204"/>
      <c r="H663" s="4" t="s">
        <v>2276</v>
      </c>
      <c r="I663" s="4" t="s">
        <v>2276</v>
      </c>
      <c r="J663" s="204">
        <v>2</v>
      </c>
      <c r="K663" s="19" t="s">
        <v>7850</v>
      </c>
      <c r="L663" s="204" t="s">
        <v>2276</v>
      </c>
      <c r="M663" s="204" t="s">
        <v>2276</v>
      </c>
      <c r="N663" s="204"/>
    </row>
    <row r="664" spans="1:14" ht="29">
      <c r="A664" s="19" t="s">
        <v>7671</v>
      </c>
      <c r="B664" s="204" t="s">
        <v>7812</v>
      </c>
      <c r="C664" s="38" t="s">
        <v>1105</v>
      </c>
      <c r="D664" s="38" t="s">
        <v>1242</v>
      </c>
      <c r="E664" s="168" t="s">
        <v>3209</v>
      </c>
      <c r="F664" s="4" t="s">
        <v>2276</v>
      </c>
      <c r="G664" s="204"/>
      <c r="H664" s="4" t="s">
        <v>2276</v>
      </c>
      <c r="I664" s="4" t="s">
        <v>2276</v>
      </c>
      <c r="J664" s="204">
        <v>2</v>
      </c>
      <c r="K664" s="19" t="s">
        <v>7850</v>
      </c>
      <c r="L664" s="204" t="s">
        <v>2276</v>
      </c>
      <c r="M664" s="204" t="s">
        <v>2276</v>
      </c>
      <c r="N664" s="204"/>
    </row>
    <row r="665" spans="1:14" ht="29">
      <c r="A665" s="19" t="s">
        <v>7672</v>
      </c>
      <c r="B665" s="204" t="s">
        <v>7813</v>
      </c>
      <c r="C665" s="38" t="s">
        <v>1105</v>
      </c>
      <c r="D665" s="38" t="s">
        <v>1242</v>
      </c>
      <c r="E665" s="168" t="s">
        <v>3209</v>
      </c>
      <c r="F665" s="4" t="s">
        <v>2276</v>
      </c>
      <c r="G665" s="204"/>
      <c r="H665" s="4" t="s">
        <v>2276</v>
      </c>
      <c r="I665" s="4" t="s">
        <v>2276</v>
      </c>
      <c r="J665" s="204">
        <v>1</v>
      </c>
      <c r="K665" s="19" t="s">
        <v>7850</v>
      </c>
      <c r="L665" s="204" t="s">
        <v>2276</v>
      </c>
      <c r="M665" s="204" t="s">
        <v>2276</v>
      </c>
      <c r="N665" s="204"/>
    </row>
    <row r="666" spans="1:14" ht="29">
      <c r="A666" s="19" t="s">
        <v>7673</v>
      </c>
      <c r="B666" s="204" t="s">
        <v>7814</v>
      </c>
      <c r="C666" s="38" t="s">
        <v>1105</v>
      </c>
      <c r="D666" s="38" t="s">
        <v>1242</v>
      </c>
      <c r="E666" s="168" t="s">
        <v>3209</v>
      </c>
      <c r="F666" s="4" t="s">
        <v>2276</v>
      </c>
      <c r="G666" s="204"/>
      <c r="H666" s="4" t="s">
        <v>2276</v>
      </c>
      <c r="I666" s="4" t="s">
        <v>2276</v>
      </c>
      <c r="J666" s="204">
        <v>1</v>
      </c>
      <c r="K666" s="19" t="s">
        <v>7850</v>
      </c>
      <c r="L666" s="204" t="s">
        <v>2276</v>
      </c>
      <c r="M666" s="204" t="s">
        <v>2276</v>
      </c>
      <c r="N666" s="204"/>
    </row>
    <row r="667" spans="1:14" ht="29">
      <c r="A667" s="19" t="s">
        <v>7593</v>
      </c>
      <c r="B667" s="204" t="s">
        <v>7815</v>
      </c>
      <c r="C667" s="38" t="s">
        <v>1105</v>
      </c>
      <c r="D667" s="38" t="s">
        <v>1242</v>
      </c>
      <c r="E667" s="168" t="s">
        <v>3209</v>
      </c>
      <c r="F667" s="4" t="s">
        <v>2276</v>
      </c>
      <c r="G667" s="204"/>
      <c r="H667" s="4" t="s">
        <v>2276</v>
      </c>
      <c r="I667" s="4" t="s">
        <v>2276</v>
      </c>
      <c r="J667" s="204">
        <v>1</v>
      </c>
      <c r="K667" s="19" t="s">
        <v>7850</v>
      </c>
      <c r="L667" s="204" t="s">
        <v>2276</v>
      </c>
      <c r="M667" s="204" t="s">
        <v>2276</v>
      </c>
      <c r="N667" s="204"/>
    </row>
    <row r="668" spans="1:14" ht="29">
      <c r="A668" s="19" t="s">
        <v>7614</v>
      </c>
      <c r="B668" s="204" t="s">
        <v>7615</v>
      </c>
      <c r="C668" s="38" t="s">
        <v>1105</v>
      </c>
      <c r="D668" s="38" t="s">
        <v>1242</v>
      </c>
      <c r="E668" s="168" t="s">
        <v>3209</v>
      </c>
      <c r="F668" s="4" t="s">
        <v>2276</v>
      </c>
      <c r="G668" s="204"/>
      <c r="H668" s="4" t="s">
        <v>2276</v>
      </c>
      <c r="I668" s="4" t="s">
        <v>2276</v>
      </c>
      <c r="J668" s="204">
        <v>1</v>
      </c>
      <c r="K668" s="19" t="s">
        <v>7850</v>
      </c>
      <c r="L668" s="204" t="s">
        <v>2276</v>
      </c>
      <c r="M668" s="204" t="s">
        <v>2276</v>
      </c>
      <c r="N668" s="204"/>
    </row>
    <row r="669" spans="1:14" ht="29">
      <c r="A669" s="19" t="s">
        <v>7674</v>
      </c>
      <c r="B669" s="204" t="s">
        <v>7816</v>
      </c>
      <c r="C669" s="38" t="s">
        <v>1105</v>
      </c>
      <c r="D669" s="38" t="s">
        <v>1242</v>
      </c>
      <c r="E669" s="168" t="s">
        <v>3209</v>
      </c>
      <c r="F669" s="4" t="s">
        <v>2276</v>
      </c>
      <c r="G669" s="204"/>
      <c r="H669" s="4" t="s">
        <v>2276</v>
      </c>
      <c r="I669" s="4" t="s">
        <v>2276</v>
      </c>
      <c r="J669" s="204">
        <v>1</v>
      </c>
      <c r="K669" s="19" t="s">
        <v>7850</v>
      </c>
      <c r="L669" s="204" t="s">
        <v>2276</v>
      </c>
      <c r="M669" s="204" t="s">
        <v>2276</v>
      </c>
      <c r="N669" s="204"/>
    </row>
    <row r="670" spans="1:14" ht="29">
      <c r="A670" s="19" t="s">
        <v>7675</v>
      </c>
      <c r="B670" s="204" t="s">
        <v>7817</v>
      </c>
      <c r="C670" s="38" t="s">
        <v>1105</v>
      </c>
      <c r="D670" s="38" t="s">
        <v>1242</v>
      </c>
      <c r="E670" s="168" t="s">
        <v>3209</v>
      </c>
      <c r="F670" s="4" t="s">
        <v>2276</v>
      </c>
      <c r="G670" s="204"/>
      <c r="H670" s="4" t="s">
        <v>2276</v>
      </c>
      <c r="I670" s="4" t="s">
        <v>2276</v>
      </c>
      <c r="J670" s="204">
        <v>0</v>
      </c>
      <c r="K670" s="19" t="s">
        <v>7850</v>
      </c>
      <c r="L670" s="204" t="s">
        <v>2276</v>
      </c>
      <c r="M670" s="204" t="s">
        <v>2276</v>
      </c>
      <c r="N670" s="204"/>
    </row>
    <row r="671" spans="1:14" ht="29">
      <c r="A671" s="19" t="s">
        <v>7676</v>
      </c>
      <c r="B671" s="204" t="s">
        <v>7818</v>
      </c>
      <c r="C671" s="38" t="s">
        <v>1105</v>
      </c>
      <c r="D671" s="38" t="s">
        <v>1242</v>
      </c>
      <c r="E671" s="168" t="s">
        <v>3209</v>
      </c>
      <c r="F671" s="4" t="s">
        <v>2276</v>
      </c>
      <c r="G671" s="204"/>
      <c r="H671" s="4" t="s">
        <v>2276</v>
      </c>
      <c r="I671" s="4" t="s">
        <v>2276</v>
      </c>
      <c r="J671" s="204">
        <v>1</v>
      </c>
      <c r="K671" s="19" t="s">
        <v>7850</v>
      </c>
      <c r="L671" s="204" t="s">
        <v>2276</v>
      </c>
      <c r="M671" s="204" t="s">
        <v>2276</v>
      </c>
      <c r="N671" s="204"/>
    </row>
    <row r="672" spans="1:14" ht="29">
      <c r="A672" s="19" t="s">
        <v>7677</v>
      </c>
      <c r="B672" s="204" t="s">
        <v>7819</v>
      </c>
      <c r="C672" s="38" t="s">
        <v>1105</v>
      </c>
      <c r="D672" s="38" t="s">
        <v>1242</v>
      </c>
      <c r="E672" s="168" t="s">
        <v>3209</v>
      </c>
      <c r="F672" s="4" t="s">
        <v>2276</v>
      </c>
      <c r="G672" s="204"/>
      <c r="H672" s="4" t="s">
        <v>2276</v>
      </c>
      <c r="I672" s="4" t="s">
        <v>2276</v>
      </c>
      <c r="J672" s="204">
        <v>3</v>
      </c>
      <c r="K672" s="19" t="s">
        <v>7850</v>
      </c>
      <c r="L672" s="204" t="s">
        <v>2276</v>
      </c>
      <c r="M672" s="204" t="s">
        <v>2276</v>
      </c>
      <c r="N672" s="204"/>
    </row>
    <row r="673" spans="1:14" ht="29">
      <c r="A673" s="19" t="s">
        <v>7678</v>
      </c>
      <c r="B673" s="204" t="s">
        <v>7820</v>
      </c>
      <c r="C673" s="38" t="s">
        <v>1105</v>
      </c>
      <c r="D673" s="38" t="s">
        <v>1242</v>
      </c>
      <c r="E673" s="168" t="s">
        <v>3209</v>
      </c>
      <c r="F673" s="4" t="s">
        <v>2276</v>
      </c>
      <c r="G673" s="204"/>
      <c r="H673" s="4" t="s">
        <v>2276</v>
      </c>
      <c r="I673" s="4" t="s">
        <v>2276</v>
      </c>
      <c r="J673" s="204">
        <v>1</v>
      </c>
      <c r="K673" s="19" t="s">
        <v>7850</v>
      </c>
      <c r="L673" s="204" t="s">
        <v>2276</v>
      </c>
      <c r="M673" s="204" t="s">
        <v>2276</v>
      </c>
      <c r="N673" s="204"/>
    </row>
    <row r="674" spans="1:14" ht="29">
      <c r="A674" s="19" t="s">
        <v>7679</v>
      </c>
      <c r="B674" s="204" t="s">
        <v>7821</v>
      </c>
      <c r="C674" s="38" t="s">
        <v>1105</v>
      </c>
      <c r="D674" s="38" t="s">
        <v>1242</v>
      </c>
      <c r="E674" s="168" t="s">
        <v>3209</v>
      </c>
      <c r="F674" s="4" t="s">
        <v>2276</v>
      </c>
      <c r="G674" s="204"/>
      <c r="H674" s="4" t="s">
        <v>2276</v>
      </c>
      <c r="I674" s="4" t="s">
        <v>2276</v>
      </c>
      <c r="J674" s="204">
        <v>1</v>
      </c>
      <c r="K674" s="19" t="s">
        <v>7850</v>
      </c>
      <c r="L674" s="204" t="s">
        <v>2276</v>
      </c>
      <c r="M674" s="204" t="s">
        <v>2276</v>
      </c>
      <c r="N674" s="204"/>
    </row>
    <row r="675" spans="1:14" ht="29">
      <c r="A675" s="19" t="s">
        <v>7680</v>
      </c>
      <c r="B675" s="204" t="s">
        <v>7822</v>
      </c>
      <c r="C675" s="38" t="s">
        <v>1105</v>
      </c>
      <c r="D675" s="38" t="s">
        <v>1242</v>
      </c>
      <c r="E675" s="168" t="s">
        <v>3209</v>
      </c>
      <c r="F675" s="4" t="s">
        <v>2276</v>
      </c>
      <c r="G675" s="204"/>
      <c r="H675" s="4" t="s">
        <v>2276</v>
      </c>
      <c r="I675" s="4" t="s">
        <v>2276</v>
      </c>
      <c r="J675" s="204">
        <v>2</v>
      </c>
      <c r="K675" s="19" t="s">
        <v>7850</v>
      </c>
      <c r="L675" s="204" t="s">
        <v>2276</v>
      </c>
      <c r="M675" s="204" t="s">
        <v>2276</v>
      </c>
      <c r="N675" s="204"/>
    </row>
    <row r="676" spans="1:14" ht="29">
      <c r="A676" s="19" t="s">
        <v>7681</v>
      </c>
      <c r="B676" s="204" t="s">
        <v>7823</v>
      </c>
      <c r="C676" s="38" t="s">
        <v>1105</v>
      </c>
      <c r="D676" s="38" t="s">
        <v>1242</v>
      </c>
      <c r="E676" s="168" t="s">
        <v>3209</v>
      </c>
      <c r="F676" s="4" t="s">
        <v>2276</v>
      </c>
      <c r="G676" s="204"/>
      <c r="H676" s="4" t="s">
        <v>2276</v>
      </c>
      <c r="I676" s="4" t="s">
        <v>2276</v>
      </c>
      <c r="J676" s="204">
        <v>2</v>
      </c>
      <c r="K676" s="19" t="s">
        <v>7850</v>
      </c>
      <c r="L676" s="204" t="s">
        <v>2276</v>
      </c>
      <c r="M676" s="204" t="s">
        <v>2276</v>
      </c>
      <c r="N676" s="204"/>
    </row>
    <row r="677" spans="1:14" ht="29">
      <c r="A677" s="19" t="s">
        <v>7682</v>
      </c>
      <c r="B677" s="204" t="s">
        <v>7824</v>
      </c>
      <c r="C677" s="38" t="s">
        <v>1105</v>
      </c>
      <c r="D677" s="38" t="s">
        <v>1242</v>
      </c>
      <c r="E677" s="168" t="s">
        <v>3209</v>
      </c>
      <c r="F677" s="4" t="s">
        <v>2276</v>
      </c>
      <c r="G677" s="204"/>
      <c r="H677" s="4" t="s">
        <v>2276</v>
      </c>
      <c r="I677" s="4" t="s">
        <v>2276</v>
      </c>
      <c r="J677" s="204">
        <v>1</v>
      </c>
      <c r="K677" s="19" t="s">
        <v>7850</v>
      </c>
      <c r="L677" s="204" t="s">
        <v>2276</v>
      </c>
      <c r="M677" s="204" t="s">
        <v>2276</v>
      </c>
      <c r="N677" s="204"/>
    </row>
    <row r="678" spans="1:14" ht="29">
      <c r="A678" s="19" t="s">
        <v>7683</v>
      </c>
      <c r="B678" s="204" t="s">
        <v>7825</v>
      </c>
      <c r="C678" s="38" t="s">
        <v>1105</v>
      </c>
      <c r="D678" s="38" t="s">
        <v>1242</v>
      </c>
      <c r="E678" s="168" t="s">
        <v>3209</v>
      </c>
      <c r="F678" s="4" t="s">
        <v>2276</v>
      </c>
      <c r="G678" s="204"/>
      <c r="H678" s="4" t="s">
        <v>2276</v>
      </c>
      <c r="I678" s="4" t="s">
        <v>2276</v>
      </c>
      <c r="J678" s="204">
        <v>1</v>
      </c>
      <c r="K678" s="19" t="s">
        <v>7850</v>
      </c>
      <c r="L678" s="204" t="s">
        <v>2276</v>
      </c>
      <c r="M678" s="204" t="s">
        <v>2276</v>
      </c>
      <c r="N678" s="204"/>
    </row>
    <row r="679" spans="1:14" ht="29">
      <c r="A679" s="19" t="s">
        <v>7684</v>
      </c>
      <c r="B679" s="204" t="s">
        <v>7826</v>
      </c>
      <c r="C679" s="38" t="s">
        <v>1105</v>
      </c>
      <c r="D679" s="38" t="s">
        <v>1242</v>
      </c>
      <c r="E679" s="168" t="s">
        <v>3209</v>
      </c>
      <c r="F679" s="4" t="s">
        <v>2276</v>
      </c>
      <c r="G679" s="204"/>
      <c r="H679" s="4" t="s">
        <v>2276</v>
      </c>
      <c r="I679" s="4" t="s">
        <v>2276</v>
      </c>
      <c r="J679" s="204">
        <v>2</v>
      </c>
      <c r="K679" s="19" t="s">
        <v>7850</v>
      </c>
      <c r="L679" s="204" t="s">
        <v>2276</v>
      </c>
      <c r="M679" s="204" t="s">
        <v>2276</v>
      </c>
      <c r="N679" s="204"/>
    </row>
    <row r="680" spans="1:14" ht="29">
      <c r="A680" s="19" t="s">
        <v>7685</v>
      </c>
      <c r="B680" s="204" t="s">
        <v>7827</v>
      </c>
      <c r="C680" s="38" t="s">
        <v>1105</v>
      </c>
      <c r="D680" s="38" t="s">
        <v>1242</v>
      </c>
      <c r="E680" s="168" t="s">
        <v>3209</v>
      </c>
      <c r="F680" s="4" t="s">
        <v>2276</v>
      </c>
      <c r="G680" s="204"/>
      <c r="H680" s="4" t="s">
        <v>2276</v>
      </c>
      <c r="I680" s="4" t="s">
        <v>2276</v>
      </c>
      <c r="J680" s="204">
        <v>1</v>
      </c>
      <c r="K680" s="19" t="s">
        <v>7850</v>
      </c>
      <c r="L680" s="204" t="s">
        <v>2276</v>
      </c>
      <c r="M680" s="204" t="s">
        <v>2276</v>
      </c>
      <c r="N680" s="204"/>
    </row>
    <row r="681" spans="1:14" ht="29">
      <c r="A681" s="19" t="s">
        <v>7686</v>
      </c>
      <c r="B681" s="204" t="s">
        <v>7828</v>
      </c>
      <c r="C681" s="38" t="s">
        <v>1105</v>
      </c>
      <c r="D681" s="38" t="s">
        <v>1242</v>
      </c>
      <c r="E681" s="168" t="s">
        <v>3209</v>
      </c>
      <c r="F681" s="4" t="s">
        <v>2276</v>
      </c>
      <c r="G681" s="204"/>
      <c r="H681" s="4" t="s">
        <v>2276</v>
      </c>
      <c r="I681" s="4" t="s">
        <v>2276</v>
      </c>
      <c r="J681" s="204">
        <v>1</v>
      </c>
      <c r="K681" s="19" t="s">
        <v>7850</v>
      </c>
      <c r="L681" s="204" t="s">
        <v>2276</v>
      </c>
      <c r="M681" s="204" t="s">
        <v>2276</v>
      </c>
      <c r="N681" s="204"/>
    </row>
    <row r="682" spans="1:14" ht="29">
      <c r="A682" s="19" t="s">
        <v>7687</v>
      </c>
      <c r="B682" s="204" t="s">
        <v>7829</v>
      </c>
      <c r="C682" s="38" t="s">
        <v>1105</v>
      </c>
      <c r="D682" s="38" t="s">
        <v>1242</v>
      </c>
      <c r="E682" s="168" t="s">
        <v>3209</v>
      </c>
      <c r="F682" s="4" t="s">
        <v>2276</v>
      </c>
      <c r="G682" s="204"/>
      <c r="H682" s="4" t="s">
        <v>2276</v>
      </c>
      <c r="I682" s="4" t="s">
        <v>2276</v>
      </c>
      <c r="J682" s="204">
        <v>1</v>
      </c>
      <c r="K682" s="19" t="s">
        <v>7850</v>
      </c>
      <c r="L682" s="204" t="s">
        <v>2276</v>
      </c>
      <c r="M682" s="204" t="s">
        <v>2276</v>
      </c>
      <c r="N682" s="204"/>
    </row>
    <row r="683" spans="1:14" ht="29">
      <c r="A683" s="19" t="s">
        <v>7688</v>
      </c>
      <c r="B683" s="204" t="s">
        <v>7830</v>
      </c>
      <c r="C683" s="38" t="s">
        <v>1105</v>
      </c>
      <c r="D683" s="38" t="s">
        <v>1242</v>
      </c>
      <c r="E683" s="168" t="s">
        <v>3209</v>
      </c>
      <c r="F683" s="4" t="s">
        <v>2276</v>
      </c>
      <c r="G683" s="204"/>
      <c r="H683" s="4" t="s">
        <v>2276</v>
      </c>
      <c r="I683" s="4" t="s">
        <v>2276</v>
      </c>
      <c r="J683" s="204">
        <v>1</v>
      </c>
      <c r="K683" s="19" t="s">
        <v>7850</v>
      </c>
      <c r="L683" s="204" t="s">
        <v>2276</v>
      </c>
      <c r="M683" s="204" t="s">
        <v>2276</v>
      </c>
      <c r="N683" s="204"/>
    </row>
    <row r="684" spans="1:14" ht="29">
      <c r="A684" s="19" t="s">
        <v>7689</v>
      </c>
      <c r="B684" s="204" t="s">
        <v>7831</v>
      </c>
      <c r="C684" s="38" t="s">
        <v>1105</v>
      </c>
      <c r="D684" s="38" t="s">
        <v>1242</v>
      </c>
      <c r="E684" s="168" t="s">
        <v>3209</v>
      </c>
      <c r="F684" s="4" t="s">
        <v>2276</v>
      </c>
      <c r="G684" s="204"/>
      <c r="H684" s="4" t="s">
        <v>2276</v>
      </c>
      <c r="I684" s="4" t="s">
        <v>2276</v>
      </c>
      <c r="J684" s="204">
        <v>1</v>
      </c>
      <c r="K684" s="19" t="s">
        <v>7850</v>
      </c>
      <c r="L684" s="204" t="s">
        <v>2276</v>
      </c>
      <c r="M684" s="204" t="s">
        <v>2276</v>
      </c>
      <c r="N684" s="204"/>
    </row>
    <row r="685" spans="1:14" ht="29">
      <c r="A685" s="19" t="s">
        <v>7690</v>
      </c>
      <c r="B685" s="204" t="s">
        <v>7832</v>
      </c>
      <c r="C685" s="38" t="s">
        <v>1105</v>
      </c>
      <c r="D685" s="38" t="s">
        <v>1242</v>
      </c>
      <c r="E685" s="168" t="s">
        <v>3209</v>
      </c>
      <c r="F685" s="4" t="s">
        <v>2276</v>
      </c>
      <c r="G685" s="204"/>
      <c r="H685" s="4" t="s">
        <v>2276</v>
      </c>
      <c r="I685" s="4" t="s">
        <v>2276</v>
      </c>
      <c r="J685" s="204">
        <v>1</v>
      </c>
      <c r="K685" s="19" t="s">
        <v>7850</v>
      </c>
      <c r="L685" s="204" t="s">
        <v>2276</v>
      </c>
      <c r="M685" s="204" t="s">
        <v>2276</v>
      </c>
      <c r="N685" s="204"/>
    </row>
    <row r="686" spans="1:14" ht="29">
      <c r="A686" s="19" t="s">
        <v>7691</v>
      </c>
      <c r="B686" s="204" t="s">
        <v>7833</v>
      </c>
      <c r="C686" s="38" t="s">
        <v>1105</v>
      </c>
      <c r="D686" s="38" t="s">
        <v>1242</v>
      </c>
      <c r="E686" s="168" t="s">
        <v>3209</v>
      </c>
      <c r="F686" s="4" t="s">
        <v>2276</v>
      </c>
      <c r="G686" s="204"/>
      <c r="H686" s="4" t="s">
        <v>2276</v>
      </c>
      <c r="I686" s="4" t="s">
        <v>2276</v>
      </c>
      <c r="J686" s="204">
        <v>2</v>
      </c>
      <c r="K686" s="19" t="s">
        <v>7850</v>
      </c>
      <c r="L686" s="204" t="s">
        <v>2276</v>
      </c>
      <c r="M686" s="204" t="s">
        <v>2276</v>
      </c>
      <c r="N686" s="204"/>
    </row>
    <row r="687" spans="1:14" ht="29">
      <c r="A687" s="19" t="s">
        <v>7692</v>
      </c>
      <c r="B687" s="204" t="s">
        <v>7834</v>
      </c>
      <c r="C687" s="38" t="s">
        <v>1105</v>
      </c>
      <c r="D687" s="38" t="s">
        <v>1242</v>
      </c>
      <c r="E687" s="168" t="s">
        <v>3209</v>
      </c>
      <c r="F687" s="4" t="s">
        <v>2276</v>
      </c>
      <c r="G687" s="204"/>
      <c r="H687" s="4" t="s">
        <v>2276</v>
      </c>
      <c r="I687" s="4" t="s">
        <v>2276</v>
      </c>
      <c r="J687" s="204">
        <v>0</v>
      </c>
      <c r="K687" s="19" t="s">
        <v>7850</v>
      </c>
      <c r="L687" s="204" t="s">
        <v>2276</v>
      </c>
      <c r="M687" s="204" t="s">
        <v>2276</v>
      </c>
      <c r="N687" s="204"/>
    </row>
    <row r="688" spans="1:14" ht="29">
      <c r="A688" s="19" t="s">
        <v>7760</v>
      </c>
      <c r="B688" s="204" t="s">
        <v>7835</v>
      </c>
      <c r="C688" s="38" t="s">
        <v>1105</v>
      </c>
      <c r="D688" s="38" t="s">
        <v>1242</v>
      </c>
      <c r="E688" s="168" t="s">
        <v>3209</v>
      </c>
      <c r="F688" s="4" t="s">
        <v>2276</v>
      </c>
      <c r="G688" s="204"/>
      <c r="H688" s="4" t="s">
        <v>2276</v>
      </c>
      <c r="I688" s="4" t="s">
        <v>2276</v>
      </c>
      <c r="J688" s="204">
        <v>1</v>
      </c>
      <c r="K688" s="19" t="s">
        <v>7850</v>
      </c>
      <c r="L688" s="204" t="s">
        <v>2276</v>
      </c>
      <c r="M688" s="204" t="s">
        <v>2276</v>
      </c>
      <c r="N688" s="204"/>
    </row>
    <row r="689" spans="1:14" ht="29">
      <c r="A689" s="19" t="s">
        <v>7761</v>
      </c>
      <c r="B689" s="204" t="s">
        <v>7836</v>
      </c>
      <c r="C689" s="38" t="s">
        <v>1105</v>
      </c>
      <c r="D689" s="38" t="s">
        <v>1242</v>
      </c>
      <c r="E689" s="168" t="s">
        <v>3209</v>
      </c>
      <c r="F689" s="4" t="s">
        <v>2276</v>
      </c>
      <c r="G689" s="204"/>
      <c r="H689" s="4" t="s">
        <v>2276</v>
      </c>
      <c r="I689" s="4" t="s">
        <v>2276</v>
      </c>
      <c r="J689" s="204">
        <v>2</v>
      </c>
      <c r="K689" s="19" t="s">
        <v>7850</v>
      </c>
      <c r="L689" s="204" t="s">
        <v>2276</v>
      </c>
      <c r="M689" s="204" t="s">
        <v>2276</v>
      </c>
      <c r="N689" s="204"/>
    </row>
    <row r="690" spans="1:14" ht="29">
      <c r="A690" s="19" t="s">
        <v>7762</v>
      </c>
      <c r="B690" s="204" t="s">
        <v>7837</v>
      </c>
      <c r="C690" s="38" t="s">
        <v>1105</v>
      </c>
      <c r="D690" s="38" t="s">
        <v>1242</v>
      </c>
      <c r="E690" s="168" t="s">
        <v>3209</v>
      </c>
      <c r="F690" s="4" t="s">
        <v>2276</v>
      </c>
      <c r="G690" s="204"/>
      <c r="H690" s="4" t="s">
        <v>2276</v>
      </c>
      <c r="I690" s="4" t="s">
        <v>2276</v>
      </c>
      <c r="J690" s="204">
        <v>3</v>
      </c>
      <c r="K690" s="19" t="s">
        <v>7850</v>
      </c>
      <c r="L690" s="204" t="s">
        <v>2276</v>
      </c>
      <c r="M690" s="204" t="s">
        <v>2276</v>
      </c>
      <c r="N690" s="204"/>
    </row>
    <row r="691" spans="1:14" ht="29">
      <c r="A691" s="19" t="s">
        <v>7763</v>
      </c>
      <c r="B691" s="204" t="s">
        <v>7838</v>
      </c>
      <c r="C691" s="38" t="s">
        <v>1105</v>
      </c>
      <c r="D691" s="38" t="s">
        <v>1242</v>
      </c>
      <c r="E691" s="168" t="s">
        <v>3209</v>
      </c>
      <c r="F691" s="4" t="s">
        <v>2276</v>
      </c>
      <c r="G691" s="204"/>
      <c r="H691" s="4" t="s">
        <v>2276</v>
      </c>
      <c r="I691" s="4" t="s">
        <v>2276</v>
      </c>
      <c r="J691" s="204">
        <v>3</v>
      </c>
      <c r="K691" s="19" t="s">
        <v>7850</v>
      </c>
      <c r="L691" s="204" t="s">
        <v>2276</v>
      </c>
      <c r="M691" s="204" t="s">
        <v>2276</v>
      </c>
      <c r="N691" s="204"/>
    </row>
    <row r="692" spans="1:14" ht="29">
      <c r="A692" s="19" t="s">
        <v>7764</v>
      </c>
      <c r="B692" s="204" t="s">
        <v>7839</v>
      </c>
      <c r="C692" s="38" t="s">
        <v>1105</v>
      </c>
      <c r="D692" s="38" t="s">
        <v>1242</v>
      </c>
      <c r="E692" s="168" t="s">
        <v>3209</v>
      </c>
      <c r="F692" s="4" t="s">
        <v>2276</v>
      </c>
      <c r="G692" s="204"/>
      <c r="H692" s="4" t="s">
        <v>2276</v>
      </c>
      <c r="I692" s="4" t="s">
        <v>2276</v>
      </c>
      <c r="J692" s="204">
        <v>1</v>
      </c>
      <c r="K692" s="19" t="s">
        <v>7850</v>
      </c>
      <c r="L692" s="204" t="s">
        <v>2276</v>
      </c>
      <c r="M692" s="204" t="s">
        <v>2276</v>
      </c>
      <c r="N692" s="204"/>
    </row>
    <row r="693" spans="1:14" ht="29">
      <c r="A693" s="19" t="s">
        <v>7765</v>
      </c>
      <c r="B693" s="204" t="s">
        <v>7840</v>
      </c>
      <c r="C693" s="38" t="s">
        <v>1105</v>
      </c>
      <c r="D693" s="38" t="s">
        <v>1242</v>
      </c>
      <c r="E693" s="168" t="s">
        <v>3209</v>
      </c>
      <c r="F693" s="4" t="s">
        <v>2276</v>
      </c>
      <c r="G693" s="204"/>
      <c r="H693" s="4" t="s">
        <v>2276</v>
      </c>
      <c r="I693" s="4" t="s">
        <v>2276</v>
      </c>
      <c r="J693" s="204">
        <v>2</v>
      </c>
      <c r="K693" s="19" t="s">
        <v>7850</v>
      </c>
      <c r="L693" s="204" t="s">
        <v>2276</v>
      </c>
      <c r="M693" s="204" t="s">
        <v>2276</v>
      </c>
      <c r="N693" s="204"/>
    </row>
    <row r="694" spans="1:14" ht="29">
      <c r="A694" s="19" t="s">
        <v>7766</v>
      </c>
      <c r="B694" s="204" t="s">
        <v>7841</v>
      </c>
      <c r="C694" s="38" t="s">
        <v>1105</v>
      </c>
      <c r="D694" s="38" t="s">
        <v>1242</v>
      </c>
      <c r="E694" s="168" t="s">
        <v>3209</v>
      </c>
      <c r="F694" s="4" t="s">
        <v>2276</v>
      </c>
      <c r="G694" s="204"/>
      <c r="H694" s="4" t="s">
        <v>2276</v>
      </c>
      <c r="I694" s="4" t="s">
        <v>2276</v>
      </c>
      <c r="J694" s="204">
        <v>1</v>
      </c>
      <c r="K694" s="19" t="s">
        <v>7850</v>
      </c>
      <c r="L694" s="204" t="s">
        <v>2276</v>
      </c>
      <c r="M694" s="204" t="s">
        <v>2276</v>
      </c>
      <c r="N694" s="204"/>
    </row>
    <row r="695" spans="1:14" ht="29">
      <c r="A695" s="19" t="s">
        <v>7670</v>
      </c>
      <c r="B695" s="204" t="s">
        <v>7811</v>
      </c>
      <c r="C695" s="38" t="s">
        <v>1105</v>
      </c>
      <c r="D695" s="38" t="s">
        <v>1242</v>
      </c>
      <c r="E695" s="168" t="s">
        <v>3209</v>
      </c>
      <c r="F695" s="4" t="s">
        <v>2276</v>
      </c>
      <c r="G695" s="204"/>
      <c r="H695" s="4" t="s">
        <v>2276</v>
      </c>
      <c r="I695" s="4" t="s">
        <v>2276</v>
      </c>
      <c r="J695" s="204">
        <v>1</v>
      </c>
      <c r="K695" s="19" t="s">
        <v>7850</v>
      </c>
      <c r="L695" s="204" t="s">
        <v>2276</v>
      </c>
      <c r="M695" s="204" t="s">
        <v>2276</v>
      </c>
      <c r="N695" s="204"/>
    </row>
    <row r="696" spans="1:14" ht="29">
      <c r="A696" s="19" t="s">
        <v>7767</v>
      </c>
      <c r="B696" s="204" t="s">
        <v>7842</v>
      </c>
      <c r="C696" s="38" t="s">
        <v>1105</v>
      </c>
      <c r="D696" s="38" t="s">
        <v>1242</v>
      </c>
      <c r="E696" s="168" t="s">
        <v>3209</v>
      </c>
      <c r="F696" s="4" t="s">
        <v>2276</v>
      </c>
      <c r="G696" s="204"/>
      <c r="H696" s="4" t="s">
        <v>2276</v>
      </c>
      <c r="I696" s="4" t="s">
        <v>2276</v>
      </c>
      <c r="J696" s="204">
        <v>1</v>
      </c>
      <c r="K696" s="19" t="s">
        <v>7850</v>
      </c>
      <c r="L696" s="204" t="s">
        <v>2276</v>
      </c>
      <c r="M696" s="204" t="s">
        <v>2276</v>
      </c>
      <c r="N696" s="204"/>
    </row>
    <row r="697" spans="1:14" ht="29">
      <c r="A697" s="19" t="s">
        <v>7768</v>
      </c>
      <c r="B697" s="204" t="s">
        <v>7843</v>
      </c>
      <c r="C697" s="38" t="s">
        <v>1105</v>
      </c>
      <c r="D697" s="38" t="s">
        <v>1242</v>
      </c>
      <c r="E697" s="168" t="s">
        <v>3209</v>
      </c>
      <c r="F697" s="4" t="s">
        <v>2276</v>
      </c>
      <c r="G697" s="204"/>
      <c r="H697" s="4" t="s">
        <v>2276</v>
      </c>
      <c r="I697" s="4" t="s">
        <v>2276</v>
      </c>
      <c r="J697" s="204">
        <v>0</v>
      </c>
      <c r="K697" s="19" t="s">
        <v>7850</v>
      </c>
      <c r="L697" s="204" t="s">
        <v>2276</v>
      </c>
      <c r="M697" s="204" t="s">
        <v>2276</v>
      </c>
      <c r="N697" s="204"/>
    </row>
    <row r="698" spans="1:14" ht="29">
      <c r="A698" s="19" t="s">
        <v>7769</v>
      </c>
      <c r="B698" s="204" t="s">
        <v>7844</v>
      </c>
      <c r="C698" s="38" t="s">
        <v>1105</v>
      </c>
      <c r="D698" s="38" t="s">
        <v>1242</v>
      </c>
      <c r="E698" s="168" t="s">
        <v>3209</v>
      </c>
      <c r="F698" s="4" t="s">
        <v>2276</v>
      </c>
      <c r="G698" s="204"/>
      <c r="H698" s="4" t="s">
        <v>2276</v>
      </c>
      <c r="I698" s="4" t="s">
        <v>2276</v>
      </c>
      <c r="J698" s="204">
        <v>1</v>
      </c>
      <c r="K698" s="19" t="s">
        <v>7850</v>
      </c>
      <c r="L698" s="204" t="s">
        <v>2276</v>
      </c>
      <c r="M698" s="204" t="s">
        <v>2276</v>
      </c>
      <c r="N698" s="204"/>
    </row>
    <row r="699" spans="1:14" ht="29">
      <c r="A699" s="19" t="s">
        <v>7770</v>
      </c>
      <c r="B699" s="204" t="s">
        <v>7845</v>
      </c>
      <c r="C699" s="38" t="s">
        <v>1105</v>
      </c>
      <c r="D699" s="38" t="s">
        <v>1242</v>
      </c>
      <c r="E699" s="168" t="s">
        <v>3209</v>
      </c>
      <c r="F699" s="4" t="s">
        <v>2276</v>
      </c>
      <c r="G699" s="204"/>
      <c r="H699" s="4" t="s">
        <v>2276</v>
      </c>
      <c r="I699" s="4" t="s">
        <v>2276</v>
      </c>
      <c r="J699" s="204">
        <v>1</v>
      </c>
      <c r="K699" s="19" t="s">
        <v>7850</v>
      </c>
      <c r="L699" s="204" t="s">
        <v>2276</v>
      </c>
      <c r="M699" s="204" t="s">
        <v>2276</v>
      </c>
      <c r="N699" s="204"/>
    </row>
    <row r="700" spans="1:14" ht="29">
      <c r="A700" s="19" t="s">
        <v>7771</v>
      </c>
      <c r="B700" s="204" t="s">
        <v>7846</v>
      </c>
      <c r="C700" s="38" t="s">
        <v>1105</v>
      </c>
      <c r="D700" s="38" t="s">
        <v>1242</v>
      </c>
      <c r="E700" s="168" t="s">
        <v>3209</v>
      </c>
      <c r="F700" s="4" t="s">
        <v>2276</v>
      </c>
      <c r="G700" s="204"/>
      <c r="H700" s="4" t="s">
        <v>2276</v>
      </c>
      <c r="I700" s="4" t="s">
        <v>2276</v>
      </c>
      <c r="J700" s="204">
        <v>1</v>
      </c>
      <c r="K700" s="19" t="s">
        <v>7850</v>
      </c>
      <c r="L700" s="204" t="s">
        <v>2276</v>
      </c>
      <c r="M700" s="204" t="s">
        <v>2276</v>
      </c>
      <c r="N700" s="204"/>
    </row>
    <row r="701" spans="1:14" ht="29">
      <c r="A701" s="19" t="s">
        <v>7772</v>
      </c>
      <c r="B701" s="204" t="s">
        <v>7847</v>
      </c>
      <c r="C701" s="204" t="s">
        <v>1105</v>
      </c>
      <c r="D701" s="204" t="s">
        <v>1242</v>
      </c>
      <c r="E701" s="4" t="s">
        <v>3209</v>
      </c>
      <c r="F701" s="4" t="s">
        <v>2276</v>
      </c>
      <c r="G701" s="204"/>
      <c r="H701" s="4" t="s">
        <v>2276</v>
      </c>
      <c r="I701" s="4" t="s">
        <v>2276</v>
      </c>
      <c r="J701" s="204">
        <v>1</v>
      </c>
      <c r="K701" s="19" t="s">
        <v>7850</v>
      </c>
      <c r="L701" s="204" t="s">
        <v>2276</v>
      </c>
      <c r="M701" s="204" t="s">
        <v>2276</v>
      </c>
      <c r="N701" s="204"/>
    </row>
    <row r="702" spans="1:14" ht="29">
      <c r="A702" s="19" t="s">
        <v>7773</v>
      </c>
      <c r="B702" s="204" t="s">
        <v>7848</v>
      </c>
      <c r="C702" s="204" t="s">
        <v>1105</v>
      </c>
      <c r="D702" s="204" t="s">
        <v>1242</v>
      </c>
      <c r="E702" s="4" t="s">
        <v>3209</v>
      </c>
      <c r="F702" s="4" t="s">
        <v>2276</v>
      </c>
      <c r="G702" s="204"/>
      <c r="H702" s="4" t="s">
        <v>2276</v>
      </c>
      <c r="I702" s="4" t="s">
        <v>2276</v>
      </c>
      <c r="J702" s="204">
        <v>0</v>
      </c>
      <c r="K702" s="19" t="s">
        <v>7850</v>
      </c>
      <c r="L702" s="204" t="s">
        <v>2276</v>
      </c>
      <c r="M702" s="204" t="s">
        <v>2276</v>
      </c>
      <c r="N702" s="204"/>
    </row>
    <row r="703" spans="1:14" ht="29">
      <c r="A703" s="19" t="s">
        <v>7774</v>
      </c>
      <c r="B703" s="204" t="s">
        <v>7849</v>
      </c>
      <c r="C703" s="204" t="s">
        <v>1105</v>
      </c>
      <c r="D703" s="204" t="s">
        <v>1242</v>
      </c>
      <c r="E703" s="4" t="s">
        <v>3209</v>
      </c>
      <c r="F703" s="4" t="s">
        <v>2276</v>
      </c>
      <c r="G703" s="204"/>
      <c r="H703" s="4" t="s">
        <v>2276</v>
      </c>
      <c r="I703" s="4" t="s">
        <v>2276</v>
      </c>
      <c r="J703" s="204">
        <v>2</v>
      </c>
      <c r="K703" s="19" t="s">
        <v>7850</v>
      </c>
      <c r="L703" s="204" t="s">
        <v>2276</v>
      </c>
      <c r="M703" s="204" t="s">
        <v>2276</v>
      </c>
      <c r="N703" s="204"/>
    </row>
    <row r="704" spans="1:14" ht="44.5" customHeight="1">
      <c r="A704" s="204" t="s">
        <v>7873</v>
      </c>
      <c r="B704" s="204" t="s">
        <v>7875</v>
      </c>
      <c r="C704" s="204" t="s">
        <v>24</v>
      </c>
      <c r="D704" s="204" t="s">
        <v>143</v>
      </c>
      <c r="E704" s="4" t="s">
        <v>130</v>
      </c>
      <c r="F704" s="204" t="s">
        <v>74</v>
      </c>
      <c r="G704" s="204"/>
      <c r="H704" s="204">
        <v>1</v>
      </c>
      <c r="I704" s="19" t="s">
        <v>7883</v>
      </c>
      <c r="J704" s="204" t="s">
        <v>2276</v>
      </c>
      <c r="K704" s="204" t="s">
        <v>2276</v>
      </c>
      <c r="L704" s="204" t="s">
        <v>2276</v>
      </c>
      <c r="M704" s="204" t="s">
        <v>2276</v>
      </c>
      <c r="N704" s="204"/>
    </row>
    <row r="705" spans="1:14" ht="44.5" customHeight="1">
      <c r="A705" s="204" t="s">
        <v>7873</v>
      </c>
      <c r="B705" s="204" t="s">
        <v>7876</v>
      </c>
      <c r="C705" s="204" t="s">
        <v>24</v>
      </c>
      <c r="D705" s="204" t="s">
        <v>27</v>
      </c>
      <c r="E705" s="4" t="s">
        <v>130</v>
      </c>
      <c r="F705" s="204" t="s">
        <v>160</v>
      </c>
      <c r="G705" s="204"/>
      <c r="H705" s="204">
        <v>1</v>
      </c>
      <c r="I705" s="19" t="s">
        <v>7883</v>
      </c>
      <c r="J705" s="204" t="s">
        <v>2276</v>
      </c>
      <c r="K705" s="204" t="s">
        <v>2276</v>
      </c>
      <c r="L705" s="204" t="s">
        <v>2276</v>
      </c>
      <c r="M705" s="204" t="s">
        <v>2276</v>
      </c>
      <c r="N705" s="204"/>
    </row>
    <row r="706" spans="1:14" ht="44.5" customHeight="1">
      <c r="A706" s="204" t="s">
        <v>7873</v>
      </c>
      <c r="B706" s="204" t="s">
        <v>7877</v>
      </c>
      <c r="C706" s="204" t="s">
        <v>24</v>
      </c>
      <c r="D706" s="204" t="s">
        <v>143</v>
      </c>
      <c r="E706" s="4" t="s">
        <v>3854</v>
      </c>
      <c r="F706" s="204" t="s">
        <v>74</v>
      </c>
      <c r="G706" s="204"/>
      <c r="H706" s="204">
        <v>1</v>
      </c>
      <c r="I706" s="19" t="s">
        <v>7883</v>
      </c>
      <c r="J706" s="204" t="s">
        <v>2276</v>
      </c>
      <c r="K706" s="204" t="s">
        <v>2276</v>
      </c>
      <c r="L706" s="204" t="s">
        <v>2276</v>
      </c>
      <c r="M706" s="204" t="s">
        <v>2276</v>
      </c>
      <c r="N706" s="204"/>
    </row>
    <row r="707" spans="1:14" ht="44.5" customHeight="1">
      <c r="A707" s="204" t="s">
        <v>7873</v>
      </c>
      <c r="B707" s="204" t="s">
        <v>7878</v>
      </c>
      <c r="C707" s="204" t="s">
        <v>24</v>
      </c>
      <c r="D707" s="204" t="s">
        <v>25</v>
      </c>
      <c r="E707" s="4" t="s">
        <v>3854</v>
      </c>
      <c r="F707" s="204" t="s">
        <v>29</v>
      </c>
      <c r="G707" s="204"/>
      <c r="H707" s="204">
        <v>1</v>
      </c>
      <c r="I707" s="19" t="s">
        <v>7883</v>
      </c>
      <c r="J707" s="204" t="s">
        <v>2276</v>
      </c>
      <c r="K707" s="204" t="s">
        <v>2276</v>
      </c>
      <c r="L707" s="204" t="s">
        <v>2276</v>
      </c>
      <c r="M707" s="204" t="s">
        <v>2276</v>
      </c>
      <c r="N707" s="204"/>
    </row>
    <row r="708" spans="1:14" ht="44.5" customHeight="1">
      <c r="A708" s="204" t="s">
        <v>7873</v>
      </c>
      <c r="B708" s="204" t="s">
        <v>7880</v>
      </c>
      <c r="C708" s="204" t="s">
        <v>24</v>
      </c>
      <c r="D708" s="204" t="s">
        <v>143</v>
      </c>
      <c r="E708" s="4" t="s">
        <v>45</v>
      </c>
      <c r="F708" s="204" t="s">
        <v>74</v>
      </c>
      <c r="G708" s="204"/>
      <c r="H708" s="204">
        <v>1</v>
      </c>
      <c r="I708" s="19" t="s">
        <v>7883</v>
      </c>
      <c r="J708" s="204" t="s">
        <v>2276</v>
      </c>
      <c r="K708" s="204" t="s">
        <v>2276</v>
      </c>
      <c r="L708" s="204" t="s">
        <v>2276</v>
      </c>
      <c r="M708" s="204" t="s">
        <v>2276</v>
      </c>
      <c r="N708" s="204"/>
    </row>
    <row r="709" spans="1:14" ht="44.5" customHeight="1">
      <c r="A709" s="204" t="s">
        <v>7873</v>
      </c>
      <c r="B709" s="204" t="s">
        <v>7881</v>
      </c>
      <c r="C709" s="204" t="s">
        <v>24</v>
      </c>
      <c r="D709" s="204" t="s">
        <v>25</v>
      </c>
      <c r="E709" s="4" t="s">
        <v>45</v>
      </c>
      <c r="F709" s="204" t="s">
        <v>29</v>
      </c>
      <c r="G709" s="204"/>
      <c r="H709" s="204">
        <v>1</v>
      </c>
      <c r="I709" s="19" t="s">
        <v>7883</v>
      </c>
      <c r="J709" s="204" t="s">
        <v>2276</v>
      </c>
      <c r="K709" s="204" t="s">
        <v>2276</v>
      </c>
      <c r="L709" s="204" t="s">
        <v>2276</v>
      </c>
      <c r="M709" s="204" t="s">
        <v>2276</v>
      </c>
      <c r="N709" s="204"/>
    </row>
    <row r="710" spans="1:14" ht="36" customHeight="1">
      <c r="A710" s="11" t="s">
        <v>7895</v>
      </c>
      <c r="B710" s="11" t="s">
        <v>7898</v>
      </c>
      <c r="C710" s="204" t="s">
        <v>24</v>
      </c>
      <c r="D710" s="204" t="s">
        <v>2276</v>
      </c>
      <c r="E710" s="4" t="s">
        <v>137</v>
      </c>
      <c r="F710" s="4" t="s">
        <v>2662</v>
      </c>
      <c r="G710" s="204"/>
      <c r="H710" s="204" t="s">
        <v>2276</v>
      </c>
      <c r="I710" s="204" t="s">
        <v>2276</v>
      </c>
      <c r="J710" s="204">
        <v>0</v>
      </c>
      <c r="K710" s="11" t="s">
        <v>7904</v>
      </c>
      <c r="L710" s="204" t="s">
        <v>2276</v>
      </c>
      <c r="M710" s="204" t="s">
        <v>2276</v>
      </c>
      <c r="N710" s="204"/>
    </row>
    <row r="711" spans="1:14" ht="37" customHeight="1">
      <c r="A711" s="11" t="s">
        <v>7907</v>
      </c>
      <c r="B711" s="11" t="s">
        <v>7918</v>
      </c>
      <c r="C711" s="156" t="s">
        <v>24</v>
      </c>
      <c r="D711" s="156" t="s">
        <v>144</v>
      </c>
      <c r="E711" s="156" t="s">
        <v>137</v>
      </c>
      <c r="F711" s="156" t="s">
        <v>2662</v>
      </c>
      <c r="G711" s="204"/>
      <c r="H711" s="204" t="s">
        <v>2276</v>
      </c>
      <c r="I711" s="204" t="s">
        <v>2276</v>
      </c>
      <c r="J711" s="204">
        <v>2</v>
      </c>
      <c r="K711" s="204" t="s">
        <v>7927</v>
      </c>
      <c r="L711" s="204" t="s">
        <v>2276</v>
      </c>
      <c r="M711" s="204" t="s">
        <v>2276</v>
      </c>
      <c r="N711" s="204"/>
    </row>
    <row r="712" spans="1:14" ht="37" customHeight="1">
      <c r="A712" s="204" t="s">
        <v>7910</v>
      </c>
      <c r="B712" s="204" t="s">
        <v>7919</v>
      </c>
      <c r="C712" s="156" t="s">
        <v>24</v>
      </c>
      <c r="D712" s="156" t="s">
        <v>144</v>
      </c>
      <c r="E712" s="156" t="s">
        <v>137</v>
      </c>
      <c r="F712" s="156" t="s">
        <v>2662</v>
      </c>
      <c r="G712" s="204"/>
      <c r="H712" s="204" t="s">
        <v>2276</v>
      </c>
      <c r="I712" s="204" t="s">
        <v>2276</v>
      </c>
      <c r="J712" s="204">
        <v>2</v>
      </c>
      <c r="K712" s="204" t="s">
        <v>7927</v>
      </c>
      <c r="L712" s="204" t="s">
        <v>2276</v>
      </c>
      <c r="M712" s="204" t="s">
        <v>2276</v>
      </c>
      <c r="N712" s="204"/>
    </row>
    <row r="713" spans="1:14" ht="37" customHeight="1">
      <c r="A713" s="204" t="s">
        <v>7911</v>
      </c>
      <c r="B713" s="204" t="s">
        <v>7920</v>
      </c>
      <c r="C713" s="156" t="s">
        <v>24</v>
      </c>
      <c r="D713" s="156" t="s">
        <v>144</v>
      </c>
      <c r="E713" s="156" t="s">
        <v>137</v>
      </c>
      <c r="F713" s="156" t="s">
        <v>2662</v>
      </c>
      <c r="G713" s="204"/>
      <c r="H713" s="204" t="s">
        <v>2276</v>
      </c>
      <c r="I713" s="204" t="s">
        <v>2276</v>
      </c>
      <c r="J713" s="204">
        <v>2</v>
      </c>
      <c r="K713" s="204" t="s">
        <v>7927</v>
      </c>
      <c r="L713" s="204" t="s">
        <v>2276</v>
      </c>
      <c r="M713" s="204" t="s">
        <v>2276</v>
      </c>
      <c r="N713" s="204"/>
    </row>
    <row r="714" spans="1:14" ht="37" customHeight="1">
      <c r="A714" s="204" t="s">
        <v>7912</v>
      </c>
      <c r="B714" s="204" t="s">
        <v>7921</v>
      </c>
      <c r="C714" s="156" t="s">
        <v>24</v>
      </c>
      <c r="D714" s="156" t="s">
        <v>144</v>
      </c>
      <c r="E714" s="156" t="s">
        <v>137</v>
      </c>
      <c r="F714" s="156" t="s">
        <v>2662</v>
      </c>
      <c r="G714" s="204"/>
      <c r="H714" s="204" t="s">
        <v>2276</v>
      </c>
      <c r="I714" s="204" t="s">
        <v>2276</v>
      </c>
      <c r="J714" s="204">
        <v>2</v>
      </c>
      <c r="K714" s="204" t="s">
        <v>7927</v>
      </c>
      <c r="L714" s="204" t="s">
        <v>2276</v>
      </c>
      <c r="M714" s="204" t="s">
        <v>2276</v>
      </c>
      <c r="N714" s="204"/>
    </row>
    <row r="715" spans="1:14" ht="37" customHeight="1">
      <c r="A715" s="204" t="s">
        <v>7913</v>
      </c>
      <c r="B715" s="204" t="s">
        <v>7922</v>
      </c>
      <c r="C715" s="156" t="s">
        <v>24</v>
      </c>
      <c r="D715" s="156" t="s">
        <v>25</v>
      </c>
      <c r="E715" s="156" t="s">
        <v>2647</v>
      </c>
      <c r="F715" s="156" t="s">
        <v>29</v>
      </c>
      <c r="G715" s="204"/>
      <c r="H715" s="204" t="s">
        <v>2276</v>
      </c>
      <c r="I715" s="204" t="s">
        <v>2276</v>
      </c>
      <c r="J715" s="204">
        <v>2</v>
      </c>
      <c r="K715" s="204" t="s">
        <v>7928</v>
      </c>
      <c r="L715" s="204" t="s">
        <v>2276</v>
      </c>
      <c r="M715" s="204" t="s">
        <v>2276</v>
      </c>
      <c r="N715" s="204"/>
    </row>
    <row r="716" spans="1:14" ht="37" customHeight="1">
      <c r="A716" s="204" t="s">
        <v>7914</v>
      </c>
      <c r="B716" s="204" t="s">
        <v>7923</v>
      </c>
      <c r="C716" s="156" t="s">
        <v>24</v>
      </c>
      <c r="D716" s="156" t="s">
        <v>25</v>
      </c>
      <c r="E716" s="156" t="s">
        <v>2647</v>
      </c>
      <c r="F716" s="156" t="s">
        <v>29</v>
      </c>
      <c r="G716" s="204"/>
      <c r="H716" s="204" t="s">
        <v>2276</v>
      </c>
      <c r="I716" s="204" t="s">
        <v>2276</v>
      </c>
      <c r="J716" s="204">
        <v>2</v>
      </c>
      <c r="K716" s="204" t="s">
        <v>7928</v>
      </c>
      <c r="L716" s="204" t="s">
        <v>2276</v>
      </c>
      <c r="M716" s="204" t="s">
        <v>2276</v>
      </c>
      <c r="N716" s="204"/>
    </row>
    <row r="717" spans="1:14" ht="37" customHeight="1">
      <c r="A717" s="204" t="s">
        <v>7915</v>
      </c>
      <c r="B717" s="204" t="s">
        <v>7924</v>
      </c>
      <c r="C717" s="156" t="s">
        <v>24</v>
      </c>
      <c r="D717" s="156" t="s">
        <v>25</v>
      </c>
      <c r="E717" s="156" t="s">
        <v>2647</v>
      </c>
      <c r="F717" s="156" t="s">
        <v>29</v>
      </c>
      <c r="G717" s="204"/>
      <c r="H717" s="204" t="s">
        <v>2276</v>
      </c>
      <c r="I717" s="204" t="s">
        <v>2276</v>
      </c>
      <c r="J717" s="204">
        <v>2</v>
      </c>
      <c r="K717" s="204" t="s">
        <v>7928</v>
      </c>
      <c r="L717" s="204" t="s">
        <v>2276</v>
      </c>
      <c r="M717" s="204" t="s">
        <v>2276</v>
      </c>
      <c r="N717" s="204"/>
    </row>
    <row r="718" spans="1:14" ht="37" customHeight="1">
      <c r="A718" s="204" t="s">
        <v>7916</v>
      </c>
      <c r="B718" s="204" t="s">
        <v>7925</v>
      </c>
      <c r="C718" s="156" t="s">
        <v>24</v>
      </c>
      <c r="D718" s="204" t="s">
        <v>2276</v>
      </c>
      <c r="E718" s="152" t="s">
        <v>5005</v>
      </c>
      <c r="F718" s="152" t="s">
        <v>2662</v>
      </c>
      <c r="G718" s="204"/>
      <c r="H718" s="204" t="s">
        <v>2276</v>
      </c>
      <c r="I718" s="204" t="s">
        <v>2276</v>
      </c>
      <c r="J718" s="204">
        <v>2</v>
      </c>
      <c r="K718" s="204" t="s">
        <v>7929</v>
      </c>
      <c r="L718" s="204" t="s">
        <v>2276</v>
      </c>
      <c r="M718" s="204" t="s">
        <v>2276</v>
      </c>
      <c r="N718" s="204"/>
    </row>
    <row r="719" spans="1:14" ht="32" customHeight="1">
      <c r="A719" s="4" t="s">
        <v>7940</v>
      </c>
      <c r="B719" s="19" t="s">
        <v>7963</v>
      </c>
      <c r="C719" s="4" t="s">
        <v>1105</v>
      </c>
      <c r="D719" s="4" t="s">
        <v>1105</v>
      </c>
      <c r="E719" s="4" t="s">
        <v>5801</v>
      </c>
      <c r="F719" s="4" t="s">
        <v>2662</v>
      </c>
      <c r="G719" s="4"/>
      <c r="H719" s="204" t="s">
        <v>2276</v>
      </c>
      <c r="I719" s="204" t="s">
        <v>2276</v>
      </c>
      <c r="J719" s="204">
        <v>0</v>
      </c>
      <c r="K719" s="11" t="s">
        <v>5801</v>
      </c>
      <c r="L719" s="204" t="s">
        <v>2276</v>
      </c>
      <c r="M719" s="204" t="s">
        <v>2276</v>
      </c>
      <c r="N719" s="204"/>
    </row>
    <row r="720" spans="1:14" ht="32" customHeight="1">
      <c r="A720" s="4" t="s">
        <v>7940</v>
      </c>
      <c r="B720" s="19" t="s">
        <v>7964</v>
      </c>
      <c r="C720" s="4" t="s">
        <v>1105</v>
      </c>
      <c r="D720" s="4" t="s">
        <v>1105</v>
      </c>
      <c r="E720" s="4" t="s">
        <v>5801</v>
      </c>
      <c r="F720" s="4" t="s">
        <v>2662</v>
      </c>
      <c r="G720" s="4"/>
      <c r="H720" s="204" t="s">
        <v>2276</v>
      </c>
      <c r="I720" s="204" t="s">
        <v>2276</v>
      </c>
      <c r="J720" s="204">
        <v>0</v>
      </c>
      <c r="K720" s="11" t="s">
        <v>5801</v>
      </c>
      <c r="L720" s="204" t="s">
        <v>2276</v>
      </c>
      <c r="M720" s="204" t="s">
        <v>2276</v>
      </c>
      <c r="N720" s="204"/>
    </row>
    <row r="721" spans="1:14" ht="32" customHeight="1">
      <c r="A721" s="4" t="s">
        <v>7940</v>
      </c>
      <c r="B721" s="19" t="s">
        <v>7965</v>
      </c>
      <c r="C721" s="4" t="s">
        <v>1105</v>
      </c>
      <c r="D721" s="4" t="s">
        <v>1105</v>
      </c>
      <c r="E721" s="4" t="s">
        <v>5801</v>
      </c>
      <c r="F721" s="4" t="s">
        <v>2662</v>
      </c>
      <c r="G721" s="4"/>
      <c r="H721" s="204" t="s">
        <v>2276</v>
      </c>
      <c r="I721" s="204" t="s">
        <v>2276</v>
      </c>
      <c r="J721" s="204">
        <v>0</v>
      </c>
      <c r="K721" s="11" t="s">
        <v>5801</v>
      </c>
      <c r="L721" s="204" t="s">
        <v>2276</v>
      </c>
      <c r="M721" s="204" t="s">
        <v>2276</v>
      </c>
      <c r="N721" s="204"/>
    </row>
    <row r="722" spans="1:14" ht="32" customHeight="1">
      <c r="A722" s="4" t="s">
        <v>7940</v>
      </c>
      <c r="B722" s="19" t="s">
        <v>7966</v>
      </c>
      <c r="C722" s="4" t="s">
        <v>1105</v>
      </c>
      <c r="D722" s="4" t="s">
        <v>1105</v>
      </c>
      <c r="E722" s="4" t="s">
        <v>5801</v>
      </c>
      <c r="F722" s="4" t="s">
        <v>2662</v>
      </c>
      <c r="G722" s="4"/>
      <c r="H722" s="204" t="s">
        <v>2276</v>
      </c>
      <c r="I722" s="204" t="s">
        <v>2276</v>
      </c>
      <c r="J722" s="204">
        <v>0</v>
      </c>
      <c r="K722" s="11" t="s">
        <v>5801</v>
      </c>
      <c r="L722" s="204" t="s">
        <v>2276</v>
      </c>
      <c r="M722" s="204" t="s">
        <v>2276</v>
      </c>
      <c r="N722" s="204"/>
    </row>
    <row r="723" spans="1:14" ht="32" customHeight="1">
      <c r="A723" s="4" t="s">
        <v>7940</v>
      </c>
      <c r="B723" s="19" t="s">
        <v>7967</v>
      </c>
      <c r="C723" s="4" t="s">
        <v>1105</v>
      </c>
      <c r="D723" s="4" t="s">
        <v>1105</v>
      </c>
      <c r="E723" s="4" t="s">
        <v>5801</v>
      </c>
      <c r="F723" s="4" t="s">
        <v>2662</v>
      </c>
      <c r="G723" s="4"/>
      <c r="H723" s="204" t="s">
        <v>2276</v>
      </c>
      <c r="I723" s="204" t="s">
        <v>2276</v>
      </c>
      <c r="J723" s="204">
        <v>0</v>
      </c>
      <c r="K723" s="11" t="s">
        <v>5801</v>
      </c>
      <c r="L723" s="204" t="s">
        <v>2276</v>
      </c>
      <c r="M723" s="204" t="s">
        <v>2276</v>
      </c>
      <c r="N723" s="204"/>
    </row>
    <row r="724" spans="1:14" ht="28" customHeight="1">
      <c r="A724" s="204" t="s">
        <v>7976</v>
      </c>
      <c r="B724" s="19" t="s">
        <v>7983</v>
      </c>
      <c r="C724" s="204" t="s">
        <v>1105</v>
      </c>
      <c r="D724" s="204" t="s">
        <v>1105</v>
      </c>
      <c r="E724" s="4" t="s">
        <v>5801</v>
      </c>
      <c r="F724" s="204" t="s">
        <v>55</v>
      </c>
      <c r="G724" s="204"/>
      <c r="H724" s="204" t="s">
        <v>2276</v>
      </c>
      <c r="I724" s="204" t="s">
        <v>2276</v>
      </c>
      <c r="J724" s="204">
        <v>2</v>
      </c>
      <c r="K724" s="11" t="s">
        <v>7987</v>
      </c>
      <c r="L724" s="204" t="s">
        <v>2276</v>
      </c>
      <c r="M724" s="204" t="s">
        <v>2276</v>
      </c>
      <c r="N724" s="204"/>
    </row>
    <row r="725" spans="1:14" ht="25.5" customHeight="1">
      <c r="A725" s="19" t="s">
        <v>7977</v>
      </c>
      <c r="B725" s="19" t="s">
        <v>7980</v>
      </c>
      <c r="C725" s="204" t="s">
        <v>1105</v>
      </c>
      <c r="D725" s="204" t="s">
        <v>1105</v>
      </c>
      <c r="E725" s="4" t="s">
        <v>5801</v>
      </c>
      <c r="F725" s="204" t="s">
        <v>55</v>
      </c>
      <c r="G725" s="204"/>
      <c r="H725" s="204" t="s">
        <v>2276</v>
      </c>
      <c r="I725" s="204" t="s">
        <v>2276</v>
      </c>
      <c r="J725" s="204">
        <v>2</v>
      </c>
      <c r="K725" s="11" t="s">
        <v>7987</v>
      </c>
      <c r="L725" s="204" t="s">
        <v>2276</v>
      </c>
      <c r="M725" s="204" t="s">
        <v>2276</v>
      </c>
      <c r="N725" s="204"/>
    </row>
    <row r="726" spans="1:14" ht="29">
      <c r="A726" s="19" t="s">
        <v>7977</v>
      </c>
      <c r="B726" s="19" t="s">
        <v>7981</v>
      </c>
      <c r="C726" s="204" t="s">
        <v>1105</v>
      </c>
      <c r="D726" s="204" t="s">
        <v>1105</v>
      </c>
      <c r="E726" s="4" t="s">
        <v>5801</v>
      </c>
      <c r="F726" s="204" t="s">
        <v>55</v>
      </c>
      <c r="G726" s="204"/>
      <c r="H726" s="204" t="s">
        <v>2276</v>
      </c>
      <c r="I726" s="204" t="s">
        <v>2276</v>
      </c>
      <c r="J726" s="204">
        <v>0</v>
      </c>
      <c r="K726" s="11" t="s">
        <v>5801</v>
      </c>
      <c r="L726" s="204" t="s">
        <v>2276</v>
      </c>
      <c r="M726" s="204" t="s">
        <v>2276</v>
      </c>
      <c r="N726" s="204"/>
    </row>
    <row r="727" spans="1:14" ht="32.5" customHeight="1">
      <c r="A727" s="19" t="s">
        <v>8013</v>
      </c>
      <c r="B727" s="19" t="s">
        <v>8015</v>
      </c>
      <c r="C727" s="204" t="s">
        <v>1105</v>
      </c>
      <c r="D727" s="204" t="s">
        <v>1105</v>
      </c>
      <c r="E727" s="4" t="s">
        <v>5801</v>
      </c>
      <c r="F727" s="4" t="s">
        <v>2662</v>
      </c>
      <c r="G727" s="204"/>
      <c r="H727" s="204" t="s">
        <v>2276</v>
      </c>
      <c r="I727" s="204" t="s">
        <v>2276</v>
      </c>
      <c r="J727" s="204">
        <v>0</v>
      </c>
      <c r="K727" s="11" t="s">
        <v>5801</v>
      </c>
      <c r="L727" s="204" t="s">
        <v>2276</v>
      </c>
      <c r="M727" s="204" t="s">
        <v>2276</v>
      </c>
      <c r="N727" s="204"/>
    </row>
    <row r="728" spans="1:14" ht="30.5" customHeight="1">
      <c r="A728" s="19" t="s">
        <v>8019</v>
      </c>
      <c r="B728" s="19" t="s">
        <v>8023</v>
      </c>
      <c r="C728" s="204" t="s">
        <v>1105</v>
      </c>
      <c r="D728" s="204" t="s">
        <v>1105</v>
      </c>
      <c r="E728" s="4" t="s">
        <v>137</v>
      </c>
      <c r="F728" s="4" t="s">
        <v>2662</v>
      </c>
      <c r="G728" s="204"/>
      <c r="H728" s="204" t="s">
        <v>2276</v>
      </c>
      <c r="I728" s="204" t="s">
        <v>2276</v>
      </c>
      <c r="J728" s="204">
        <v>0</v>
      </c>
      <c r="K728" s="11" t="s">
        <v>8026</v>
      </c>
      <c r="L728" s="204" t="s">
        <v>2276</v>
      </c>
      <c r="M728" s="204" t="s">
        <v>2276</v>
      </c>
      <c r="N728" s="204"/>
    </row>
    <row r="729" spans="1:14" ht="31" customHeight="1">
      <c r="A729" s="19" t="s">
        <v>8020</v>
      </c>
      <c r="B729" s="19" t="s">
        <v>8024</v>
      </c>
      <c r="C729" s="204" t="s">
        <v>1105</v>
      </c>
      <c r="D729" s="204" t="s">
        <v>1105</v>
      </c>
      <c r="E729" s="4" t="s">
        <v>45</v>
      </c>
      <c r="F729" s="4" t="s">
        <v>2662</v>
      </c>
      <c r="G729" s="204"/>
      <c r="H729" s="204" t="s">
        <v>2276</v>
      </c>
      <c r="I729" s="204" t="s">
        <v>2276</v>
      </c>
      <c r="J729" s="204">
        <v>2</v>
      </c>
      <c r="K729" s="204" t="s">
        <v>8025</v>
      </c>
      <c r="L729" s="204" t="s">
        <v>2276</v>
      </c>
      <c r="M729" s="204" t="s">
        <v>2276</v>
      </c>
      <c r="N729" s="204"/>
    </row>
    <row r="730" spans="1:14" ht="33.5" customHeight="1">
      <c r="A730" s="4" t="s">
        <v>8030</v>
      </c>
      <c r="B730" s="4" t="s">
        <v>8033</v>
      </c>
      <c r="C730" s="4" t="s">
        <v>24</v>
      </c>
      <c r="D730" s="4" t="s">
        <v>1245</v>
      </c>
      <c r="E730" s="4" t="s">
        <v>116</v>
      </c>
      <c r="F730" s="4" t="s">
        <v>2662</v>
      </c>
      <c r="G730" s="204"/>
      <c r="H730" s="204">
        <v>2</v>
      </c>
      <c r="I730" s="204" t="s">
        <v>8035</v>
      </c>
      <c r="J730" s="204" t="s">
        <v>2276</v>
      </c>
      <c r="K730" s="204" t="s">
        <v>2276</v>
      </c>
      <c r="L730" s="204" t="s">
        <v>2276</v>
      </c>
      <c r="M730" s="204" t="s">
        <v>2276</v>
      </c>
      <c r="N730" s="204"/>
    </row>
    <row r="731" spans="1:14" ht="29.5" customHeight="1">
      <c r="A731" s="19" t="s">
        <v>8038</v>
      </c>
      <c r="B731" s="19" t="s">
        <v>8041</v>
      </c>
      <c r="C731" s="204" t="s">
        <v>1105</v>
      </c>
      <c r="D731" s="204" t="s">
        <v>1105</v>
      </c>
      <c r="E731" s="4" t="s">
        <v>3209</v>
      </c>
      <c r="F731" s="204" t="s">
        <v>55</v>
      </c>
      <c r="G731" s="204"/>
      <c r="H731" s="204"/>
      <c r="I731" s="204"/>
      <c r="J731" s="204"/>
      <c r="K731" s="204"/>
      <c r="L731" s="204">
        <v>3</v>
      </c>
      <c r="M731" s="204" t="s">
        <v>8046</v>
      </c>
      <c r="N731" s="204"/>
    </row>
    <row r="732" spans="1:14" ht="100" customHeight="1">
      <c r="A732" s="19" t="s">
        <v>8038</v>
      </c>
      <c r="B732" s="19" t="s">
        <v>8044</v>
      </c>
      <c r="C732" s="204" t="s">
        <v>1105</v>
      </c>
      <c r="D732" s="204" t="s">
        <v>1105</v>
      </c>
      <c r="E732" s="4" t="s">
        <v>3209</v>
      </c>
      <c r="F732" s="204" t="s">
        <v>74</v>
      </c>
      <c r="G732" s="204"/>
      <c r="H732" s="204" t="s">
        <v>2276</v>
      </c>
      <c r="I732" s="204" t="s">
        <v>2276</v>
      </c>
      <c r="J732" s="204" t="s">
        <v>2276</v>
      </c>
      <c r="K732" s="204" t="s">
        <v>2276</v>
      </c>
      <c r="L732" s="204">
        <v>1</v>
      </c>
      <c r="M732" s="4" t="s">
        <v>8047</v>
      </c>
      <c r="N732" s="204"/>
    </row>
    <row r="733" spans="1:14" ht="29.5" customHeight="1">
      <c r="A733" s="19" t="s">
        <v>8040</v>
      </c>
      <c r="B733" s="19" t="s">
        <v>8042</v>
      </c>
      <c r="C733" s="204" t="s">
        <v>1105</v>
      </c>
      <c r="D733" s="204" t="s">
        <v>1105</v>
      </c>
      <c r="E733" s="4" t="s">
        <v>3209</v>
      </c>
      <c r="F733" s="204" t="s">
        <v>55</v>
      </c>
      <c r="G733" s="204"/>
      <c r="H733" s="204" t="s">
        <v>2276</v>
      </c>
      <c r="I733" s="204" t="s">
        <v>2276</v>
      </c>
      <c r="J733" s="204" t="s">
        <v>2276</v>
      </c>
      <c r="K733" s="204" t="s">
        <v>2276</v>
      </c>
      <c r="L733" s="204">
        <v>3</v>
      </c>
      <c r="M733" s="204"/>
      <c r="N733" s="204"/>
    </row>
    <row r="734" spans="1:14" ht="93.5" customHeight="1">
      <c r="A734" s="19" t="s">
        <v>8040</v>
      </c>
      <c r="B734" s="19" t="s">
        <v>8045</v>
      </c>
      <c r="C734" s="204" t="s">
        <v>1105</v>
      </c>
      <c r="D734" s="204" t="s">
        <v>1105</v>
      </c>
      <c r="E734" s="4" t="s">
        <v>3209</v>
      </c>
      <c r="F734" s="204" t="s">
        <v>74</v>
      </c>
      <c r="G734" s="204"/>
      <c r="H734" s="204" t="s">
        <v>2276</v>
      </c>
      <c r="I734" s="204" t="s">
        <v>2276</v>
      </c>
      <c r="J734" s="204" t="s">
        <v>2276</v>
      </c>
      <c r="K734" s="204" t="s">
        <v>2276</v>
      </c>
      <c r="L734" s="204">
        <v>1</v>
      </c>
      <c r="M734" s="4" t="s">
        <v>8047</v>
      </c>
      <c r="N734" s="204"/>
    </row>
    <row r="735" spans="1:14" ht="28.5" customHeight="1">
      <c r="A735" s="19" t="s">
        <v>8038</v>
      </c>
      <c r="B735" s="19" t="s">
        <v>8049</v>
      </c>
      <c r="C735" s="204" t="s">
        <v>24</v>
      </c>
      <c r="D735" s="204" t="s">
        <v>2804</v>
      </c>
      <c r="E735" s="4" t="s">
        <v>2647</v>
      </c>
      <c r="F735" s="4" t="s">
        <v>2662</v>
      </c>
      <c r="G735" s="204"/>
      <c r="H735" s="204">
        <v>2</v>
      </c>
      <c r="I735" s="11" t="s">
        <v>8053</v>
      </c>
      <c r="J735" s="204" t="s">
        <v>2276</v>
      </c>
      <c r="K735" s="204" t="s">
        <v>2276</v>
      </c>
      <c r="L735" s="204" t="s">
        <v>2276</v>
      </c>
      <c r="M735" s="204" t="s">
        <v>2276</v>
      </c>
      <c r="N735" s="204"/>
    </row>
    <row r="736" spans="1:14" ht="28.5" customHeight="1">
      <c r="A736" s="19" t="s">
        <v>8040</v>
      </c>
      <c r="B736" s="19" t="s">
        <v>8050</v>
      </c>
      <c r="C736" s="204" t="s">
        <v>24</v>
      </c>
      <c r="D736" s="204" t="s">
        <v>2804</v>
      </c>
      <c r="E736" s="4" t="s">
        <v>2647</v>
      </c>
      <c r="F736" s="4" t="s">
        <v>2662</v>
      </c>
      <c r="G736" s="204"/>
      <c r="H736" s="204">
        <v>2</v>
      </c>
      <c r="I736" s="11" t="s">
        <v>8053</v>
      </c>
      <c r="J736" s="204" t="s">
        <v>2276</v>
      </c>
      <c r="K736" s="204" t="s">
        <v>2276</v>
      </c>
      <c r="L736" s="204" t="s">
        <v>2276</v>
      </c>
      <c r="M736" s="204" t="s">
        <v>2276</v>
      </c>
      <c r="N736" s="204"/>
    </row>
    <row r="737" spans="1:14" ht="28.5" customHeight="1">
      <c r="A737" s="19" t="s">
        <v>8038</v>
      </c>
      <c r="B737" s="19" t="s">
        <v>8051</v>
      </c>
      <c r="C737" s="204" t="s">
        <v>24</v>
      </c>
      <c r="D737" s="204" t="s">
        <v>2804</v>
      </c>
      <c r="E737" s="4" t="s">
        <v>45</v>
      </c>
      <c r="F737" s="4" t="s">
        <v>2662</v>
      </c>
      <c r="G737" s="204"/>
      <c r="H737" s="204">
        <v>2</v>
      </c>
      <c r="I737" s="11" t="s">
        <v>8053</v>
      </c>
      <c r="J737" s="204" t="s">
        <v>2276</v>
      </c>
      <c r="K737" s="204" t="s">
        <v>2276</v>
      </c>
      <c r="L737" s="204" t="s">
        <v>2276</v>
      </c>
      <c r="M737" s="204" t="s">
        <v>2276</v>
      </c>
      <c r="N737" s="204"/>
    </row>
    <row r="738" spans="1:14" ht="28.5" customHeight="1">
      <c r="A738" s="19" t="s">
        <v>8040</v>
      </c>
      <c r="B738" s="19" t="s">
        <v>8052</v>
      </c>
      <c r="C738" s="204" t="s">
        <v>24</v>
      </c>
      <c r="D738" s="204" t="s">
        <v>2804</v>
      </c>
      <c r="E738" s="4" t="s">
        <v>45</v>
      </c>
      <c r="F738" s="4" t="s">
        <v>2662</v>
      </c>
      <c r="G738" s="204"/>
      <c r="H738" s="204">
        <v>2</v>
      </c>
      <c r="I738" s="11" t="s">
        <v>8053</v>
      </c>
      <c r="J738" s="204" t="s">
        <v>2276</v>
      </c>
      <c r="K738" s="204" t="s">
        <v>2276</v>
      </c>
      <c r="L738" s="204" t="s">
        <v>2276</v>
      </c>
      <c r="M738" s="204" t="s">
        <v>2276</v>
      </c>
      <c r="N738" s="204"/>
    </row>
    <row r="739" spans="1:14" ht="33" customHeight="1">
      <c r="A739" s="19" t="s">
        <v>8104</v>
      </c>
      <c r="B739" s="19" t="s">
        <v>8108</v>
      </c>
      <c r="C739" s="204" t="s">
        <v>24</v>
      </c>
      <c r="D739" s="204" t="s">
        <v>2804</v>
      </c>
      <c r="E739" s="4" t="s">
        <v>45</v>
      </c>
      <c r="F739" s="4" t="s">
        <v>2662</v>
      </c>
      <c r="G739" s="204"/>
      <c r="H739" s="204">
        <v>0</v>
      </c>
      <c r="I739" s="4" t="s">
        <v>8111</v>
      </c>
      <c r="J739" s="204" t="s">
        <v>2276</v>
      </c>
      <c r="K739" s="204" t="s">
        <v>2276</v>
      </c>
      <c r="L739" s="204" t="s">
        <v>2276</v>
      </c>
      <c r="M739" s="204" t="s">
        <v>2276</v>
      </c>
      <c r="N739" s="204"/>
    </row>
    <row r="740" spans="1:14" ht="32" customHeight="1">
      <c r="A740" s="55" t="s">
        <v>8158</v>
      </c>
      <c r="B740" s="55" t="s">
        <v>8160</v>
      </c>
      <c r="C740" s="38" t="s">
        <v>24</v>
      </c>
      <c r="D740" s="38" t="s">
        <v>1245</v>
      </c>
      <c r="E740" s="168" t="s">
        <v>116</v>
      </c>
      <c r="F740" s="168" t="s">
        <v>2662</v>
      </c>
      <c r="G740" s="38"/>
      <c r="H740" s="38">
        <v>2</v>
      </c>
      <c r="I740" s="35" t="s">
        <v>8163</v>
      </c>
      <c r="J740" s="38">
        <v>2</v>
      </c>
      <c r="K740" s="35" t="s">
        <v>8164</v>
      </c>
      <c r="L740" s="38" t="s">
        <v>2276</v>
      </c>
      <c r="M740" s="38" t="s">
        <v>2276</v>
      </c>
      <c r="N740" s="204"/>
    </row>
    <row r="741" spans="1:14" ht="37.5" customHeight="1">
      <c r="A741" s="19" t="s">
        <v>8167</v>
      </c>
      <c r="B741" s="19" t="s">
        <v>8171</v>
      </c>
      <c r="C741" s="4" t="s">
        <v>24</v>
      </c>
      <c r="D741" s="4" t="s">
        <v>1242</v>
      </c>
      <c r="E741" s="4" t="s">
        <v>116</v>
      </c>
      <c r="F741" s="4" t="s">
        <v>2662</v>
      </c>
      <c r="G741" s="4"/>
      <c r="H741" s="204" t="s">
        <v>2276</v>
      </c>
      <c r="I741" s="204" t="s">
        <v>2276</v>
      </c>
      <c r="J741" s="204">
        <v>2</v>
      </c>
      <c r="K741" s="11" t="s">
        <v>8164</v>
      </c>
      <c r="L741" s="204" t="s">
        <v>2276</v>
      </c>
      <c r="M741" s="204" t="s">
        <v>2276</v>
      </c>
      <c r="N741" s="204"/>
    </row>
    <row r="742" spans="1:14" ht="37.5" customHeight="1">
      <c r="A742" s="4" t="s">
        <v>8167</v>
      </c>
      <c r="B742" s="4" t="s">
        <v>8172</v>
      </c>
      <c r="C742" s="4" t="s">
        <v>24</v>
      </c>
      <c r="D742" s="4" t="s">
        <v>1242</v>
      </c>
      <c r="E742" s="4" t="s">
        <v>130</v>
      </c>
      <c r="F742" s="4" t="s">
        <v>28</v>
      </c>
      <c r="G742" s="4"/>
      <c r="H742" s="204" t="s">
        <v>2276</v>
      </c>
      <c r="I742" s="204" t="s">
        <v>2276</v>
      </c>
      <c r="J742" s="204">
        <v>1</v>
      </c>
      <c r="K742" s="11" t="s">
        <v>8188</v>
      </c>
      <c r="L742" s="204" t="s">
        <v>2276</v>
      </c>
      <c r="M742" s="204" t="s">
        <v>2276</v>
      </c>
      <c r="N742" s="204"/>
    </row>
    <row r="743" spans="1:14" ht="33.5" customHeight="1">
      <c r="A743" s="19" t="s">
        <v>8191</v>
      </c>
      <c r="B743" s="19" t="s">
        <v>8194</v>
      </c>
      <c r="C743" s="4" t="s">
        <v>24</v>
      </c>
      <c r="D743" s="204" t="s">
        <v>1242</v>
      </c>
      <c r="E743" s="4" t="s">
        <v>137</v>
      </c>
      <c r="F743" s="4" t="s">
        <v>2662</v>
      </c>
      <c r="G743" s="204"/>
      <c r="H743" s="204" t="s">
        <v>2276</v>
      </c>
      <c r="I743" s="204" t="s">
        <v>2276</v>
      </c>
      <c r="J743" s="204">
        <v>2</v>
      </c>
      <c r="K743" s="204" t="s">
        <v>8198</v>
      </c>
      <c r="L743" s="204" t="s">
        <v>2276</v>
      </c>
      <c r="M743" s="204" t="s">
        <v>2276</v>
      </c>
      <c r="N743" s="204"/>
    </row>
    <row r="744" spans="1:14" ht="38" customHeight="1">
      <c r="A744" s="19" t="s">
        <v>8257</v>
      </c>
      <c r="B744" s="19" t="s">
        <v>8259</v>
      </c>
      <c r="C744" s="4" t="s">
        <v>24</v>
      </c>
      <c r="D744" s="204" t="s">
        <v>1242</v>
      </c>
      <c r="E744" s="4" t="s">
        <v>116</v>
      </c>
      <c r="F744" s="4" t="s">
        <v>2662</v>
      </c>
      <c r="G744" s="204"/>
      <c r="H744" s="204">
        <v>2</v>
      </c>
      <c r="I744" s="11" t="s">
        <v>8269</v>
      </c>
      <c r="J744" s="204">
        <v>2</v>
      </c>
      <c r="K744" s="11" t="s">
        <v>8270</v>
      </c>
      <c r="L744" s="204" t="s">
        <v>2276</v>
      </c>
      <c r="M744" s="204" t="s">
        <v>2276</v>
      </c>
      <c r="N744" s="204"/>
    </row>
    <row r="745" spans="1:14" ht="33" customHeight="1">
      <c r="A745" s="19" t="s">
        <v>8271</v>
      </c>
      <c r="B745" s="19" t="s">
        <v>8275</v>
      </c>
      <c r="C745" s="4" t="s">
        <v>24</v>
      </c>
      <c r="D745" s="204" t="s">
        <v>1105</v>
      </c>
      <c r="E745" s="4" t="s">
        <v>116</v>
      </c>
      <c r="F745" s="204" t="s">
        <v>74</v>
      </c>
      <c r="G745" s="204"/>
      <c r="H745" s="204">
        <v>2</v>
      </c>
      <c r="I745" s="4" t="s">
        <v>8279</v>
      </c>
      <c r="J745" s="204" t="s">
        <v>2276</v>
      </c>
      <c r="K745" s="204" t="s">
        <v>2276</v>
      </c>
      <c r="L745" s="204">
        <v>1</v>
      </c>
      <c r="M745" s="4" t="s">
        <v>8278</v>
      </c>
      <c r="N745" s="204"/>
    </row>
    <row r="746" spans="1:14" ht="35.5" customHeight="1">
      <c r="A746" s="19" t="s">
        <v>8271</v>
      </c>
      <c r="B746" s="19" t="s">
        <v>8276</v>
      </c>
      <c r="C746" s="204" t="s">
        <v>1105</v>
      </c>
      <c r="D746" s="204" t="s">
        <v>1105</v>
      </c>
      <c r="E746" s="4" t="s">
        <v>3209</v>
      </c>
      <c r="F746" s="204" t="s">
        <v>74</v>
      </c>
      <c r="G746" s="204"/>
      <c r="H746" s="204" t="s">
        <v>2276</v>
      </c>
      <c r="I746" s="204" t="s">
        <v>2276</v>
      </c>
      <c r="J746" s="204" t="s">
        <v>2276</v>
      </c>
      <c r="K746" s="204" t="s">
        <v>2276</v>
      </c>
      <c r="L746" s="204">
        <v>3</v>
      </c>
      <c r="M746" s="4" t="s">
        <v>8277</v>
      </c>
      <c r="N746" s="204"/>
    </row>
    <row r="747" spans="1:14" ht="34.5" customHeight="1">
      <c r="A747" s="19" t="s">
        <v>8284</v>
      </c>
      <c r="B747" s="19" t="s">
        <v>8288</v>
      </c>
      <c r="C747" s="4" t="s">
        <v>24</v>
      </c>
      <c r="D747" s="204" t="s">
        <v>1242</v>
      </c>
      <c r="E747" s="4" t="s">
        <v>116</v>
      </c>
      <c r="F747" s="4" t="s">
        <v>2662</v>
      </c>
      <c r="G747" s="204"/>
      <c r="H747" s="204" t="s">
        <v>2276</v>
      </c>
      <c r="I747" s="204" t="s">
        <v>2276</v>
      </c>
      <c r="J747" s="204">
        <v>2</v>
      </c>
      <c r="K747" s="4" t="s">
        <v>8295</v>
      </c>
      <c r="L747" s="204" t="s">
        <v>2276</v>
      </c>
      <c r="M747" s="204" t="s">
        <v>2276</v>
      </c>
      <c r="N747" s="204"/>
    </row>
    <row r="748" spans="1:14" ht="34.5" customHeight="1">
      <c r="A748" s="19" t="s">
        <v>8285</v>
      </c>
      <c r="B748" s="19" t="s">
        <v>8289</v>
      </c>
      <c r="C748" s="4" t="s">
        <v>24</v>
      </c>
      <c r="D748" s="204" t="s">
        <v>1242</v>
      </c>
      <c r="E748" s="4" t="s">
        <v>116</v>
      </c>
      <c r="F748" s="4" t="s">
        <v>2662</v>
      </c>
      <c r="G748" s="204"/>
      <c r="H748" s="204" t="s">
        <v>2276</v>
      </c>
      <c r="I748" s="204" t="s">
        <v>2276</v>
      </c>
      <c r="J748" s="204">
        <v>2</v>
      </c>
      <c r="K748" s="4" t="s">
        <v>8295</v>
      </c>
      <c r="L748" s="204" t="s">
        <v>2276</v>
      </c>
      <c r="M748" s="204" t="s">
        <v>2276</v>
      </c>
      <c r="N748" s="204"/>
    </row>
    <row r="749" spans="1:14" ht="34.5" customHeight="1">
      <c r="A749" s="19" t="s">
        <v>8286</v>
      </c>
      <c r="B749" s="19" t="s">
        <v>8290</v>
      </c>
      <c r="C749" s="4" t="s">
        <v>24</v>
      </c>
      <c r="D749" s="204" t="s">
        <v>1242</v>
      </c>
      <c r="E749" s="4" t="s">
        <v>116</v>
      </c>
      <c r="F749" s="4" t="s">
        <v>2662</v>
      </c>
      <c r="G749" s="204"/>
      <c r="H749" s="204" t="s">
        <v>2276</v>
      </c>
      <c r="I749" s="204" t="s">
        <v>2276</v>
      </c>
      <c r="J749" s="204">
        <v>2</v>
      </c>
      <c r="K749" s="4" t="s">
        <v>8295</v>
      </c>
      <c r="L749" s="204" t="s">
        <v>2276</v>
      </c>
      <c r="M749" s="204" t="s">
        <v>2276</v>
      </c>
      <c r="N749" s="204"/>
    </row>
    <row r="750" spans="1:14" ht="29">
      <c r="A750" s="19" t="s">
        <v>8284</v>
      </c>
      <c r="B750" s="19" t="s">
        <v>8293</v>
      </c>
      <c r="C750" s="4" t="s">
        <v>24</v>
      </c>
      <c r="D750" s="204" t="s">
        <v>1242</v>
      </c>
      <c r="E750" s="4" t="s">
        <v>3209</v>
      </c>
      <c r="F750" s="4" t="s">
        <v>2662</v>
      </c>
      <c r="G750" s="204"/>
      <c r="H750" s="204" t="s">
        <v>2276</v>
      </c>
      <c r="I750" s="204" t="s">
        <v>2276</v>
      </c>
      <c r="J750" s="204">
        <v>2</v>
      </c>
      <c r="K750" s="4" t="s">
        <v>8295</v>
      </c>
      <c r="L750" s="204" t="s">
        <v>2276</v>
      </c>
      <c r="M750" s="204" t="s">
        <v>2276</v>
      </c>
      <c r="N750" s="204"/>
    </row>
    <row r="751" spans="1:14" ht="29">
      <c r="A751" s="19" t="s">
        <v>8285</v>
      </c>
      <c r="B751" s="19" t="s">
        <v>8294</v>
      </c>
      <c r="C751" s="4" t="s">
        <v>24</v>
      </c>
      <c r="D751" s="204" t="s">
        <v>1242</v>
      </c>
      <c r="E751" s="4" t="s">
        <v>3209</v>
      </c>
      <c r="F751" s="4" t="s">
        <v>2662</v>
      </c>
      <c r="G751" s="204"/>
      <c r="H751" s="204" t="s">
        <v>2276</v>
      </c>
      <c r="I751" s="204" t="s">
        <v>2276</v>
      </c>
      <c r="J751" s="204">
        <v>2</v>
      </c>
      <c r="K751" s="4" t="s">
        <v>8295</v>
      </c>
      <c r="L751" s="204" t="s">
        <v>2276</v>
      </c>
      <c r="M751" s="204" t="s">
        <v>2276</v>
      </c>
      <c r="N751" s="204"/>
    </row>
    <row r="752" spans="1:14" ht="29">
      <c r="A752" s="19" t="s">
        <v>8286</v>
      </c>
      <c r="B752" s="19" t="s">
        <v>8291</v>
      </c>
      <c r="C752" s="4" t="s">
        <v>24</v>
      </c>
      <c r="D752" s="204" t="s">
        <v>1242</v>
      </c>
      <c r="E752" s="4" t="s">
        <v>3209</v>
      </c>
      <c r="F752" s="4" t="s">
        <v>2662</v>
      </c>
      <c r="G752" s="204"/>
      <c r="H752" s="204">
        <v>3</v>
      </c>
      <c r="I752" s="11" t="s">
        <v>8296</v>
      </c>
      <c r="J752" s="204">
        <v>2</v>
      </c>
      <c r="K752" s="4" t="s">
        <v>8295</v>
      </c>
      <c r="L752" s="204" t="s">
        <v>2276</v>
      </c>
      <c r="M752" s="204" t="s">
        <v>2276</v>
      </c>
      <c r="N752" s="204"/>
    </row>
    <row r="753" spans="1:14" ht="25.5" customHeight="1">
      <c r="A753" s="19" t="s">
        <v>8299</v>
      </c>
      <c r="B753" s="19" t="s">
        <v>8301</v>
      </c>
      <c r="C753" s="204" t="s">
        <v>1105</v>
      </c>
      <c r="D753" s="204" t="s">
        <v>1105</v>
      </c>
      <c r="E753" s="4" t="s">
        <v>116</v>
      </c>
      <c r="F753" s="4" t="s">
        <v>2662</v>
      </c>
      <c r="G753" s="204"/>
      <c r="H753" s="204">
        <v>1</v>
      </c>
      <c r="I753" s="19" t="s">
        <v>8306</v>
      </c>
      <c r="J753" s="204">
        <v>1</v>
      </c>
      <c r="K753" s="4" t="s">
        <v>8307</v>
      </c>
      <c r="L753" s="204" t="s">
        <v>2276</v>
      </c>
      <c r="M753" s="204" t="s">
        <v>2276</v>
      </c>
      <c r="N753" s="204"/>
    </row>
    <row r="754" spans="1:14" ht="25.5" customHeight="1">
      <c r="A754" s="19" t="s">
        <v>8299</v>
      </c>
      <c r="B754" s="19" t="s">
        <v>8302</v>
      </c>
      <c r="C754" s="204" t="s">
        <v>1105</v>
      </c>
      <c r="D754" s="204" t="s">
        <v>1105</v>
      </c>
      <c r="E754" s="4" t="s">
        <v>2653</v>
      </c>
      <c r="F754" s="4" t="s">
        <v>2662</v>
      </c>
      <c r="G754" s="204"/>
      <c r="H754" s="204"/>
      <c r="I754" s="204"/>
      <c r="J754" s="204">
        <v>0</v>
      </c>
      <c r="K754" s="204" t="s">
        <v>8305</v>
      </c>
      <c r="L754" s="204" t="s">
        <v>2276</v>
      </c>
      <c r="M754" s="204" t="s">
        <v>2276</v>
      </c>
      <c r="N754" s="204"/>
    </row>
    <row r="755" spans="1:14" ht="27" customHeight="1">
      <c r="A755" s="19" t="s">
        <v>8299</v>
      </c>
      <c r="B755" s="19" t="s">
        <v>8303</v>
      </c>
      <c r="C755" s="204" t="s">
        <v>1105</v>
      </c>
      <c r="D755" s="204" t="s">
        <v>1105</v>
      </c>
      <c r="E755" s="4" t="s">
        <v>2649</v>
      </c>
      <c r="F755" s="4" t="s">
        <v>2662</v>
      </c>
      <c r="G755" s="204"/>
      <c r="H755" s="204"/>
      <c r="I755" s="204"/>
      <c r="J755" s="204">
        <v>0</v>
      </c>
      <c r="K755" s="204" t="s">
        <v>8305</v>
      </c>
      <c r="L755" s="204" t="s">
        <v>2276</v>
      </c>
      <c r="M755" s="204" t="s">
        <v>2276</v>
      </c>
      <c r="N755" s="204"/>
    </row>
    <row r="756" spans="1:14" ht="44.5" customHeight="1">
      <c r="A756" s="19" t="s">
        <v>8314</v>
      </c>
      <c r="B756" s="19" t="s">
        <v>8325</v>
      </c>
      <c r="C756" s="4" t="s">
        <v>24</v>
      </c>
      <c r="D756" s="204" t="s">
        <v>1105</v>
      </c>
      <c r="E756" s="4" t="s">
        <v>3854</v>
      </c>
      <c r="F756" s="204" t="s">
        <v>2276</v>
      </c>
      <c r="G756" s="204"/>
      <c r="H756" s="204">
        <v>0</v>
      </c>
      <c r="I756" s="4" t="s">
        <v>8352</v>
      </c>
      <c r="J756" s="204" t="s">
        <v>2276</v>
      </c>
      <c r="K756" s="204" t="s">
        <v>2276</v>
      </c>
      <c r="L756" s="204" t="s">
        <v>2276</v>
      </c>
      <c r="M756" s="204" t="s">
        <v>2276</v>
      </c>
      <c r="N756" s="204"/>
    </row>
    <row r="757" spans="1:14" ht="44.5" customHeight="1">
      <c r="A757" s="19" t="s">
        <v>8315</v>
      </c>
      <c r="B757" s="19" t="s">
        <v>8330</v>
      </c>
      <c r="C757" s="4" t="s">
        <v>24</v>
      </c>
      <c r="D757" s="204" t="s">
        <v>1105</v>
      </c>
      <c r="E757" s="4" t="s">
        <v>3854</v>
      </c>
      <c r="F757" s="204" t="s">
        <v>2276</v>
      </c>
      <c r="G757" s="204"/>
      <c r="H757" s="204">
        <v>0</v>
      </c>
      <c r="I757" s="4" t="s">
        <v>8352</v>
      </c>
      <c r="J757" s="204" t="s">
        <v>2276</v>
      </c>
      <c r="K757" s="204" t="s">
        <v>2276</v>
      </c>
      <c r="L757" s="204" t="s">
        <v>2276</v>
      </c>
      <c r="M757" s="204" t="s">
        <v>2276</v>
      </c>
      <c r="N757" s="204"/>
    </row>
    <row r="758" spans="1:14" ht="44.5" customHeight="1">
      <c r="A758" s="19" t="s">
        <v>8318</v>
      </c>
      <c r="B758" s="19" t="s">
        <v>8336</v>
      </c>
      <c r="C758" s="4" t="s">
        <v>24</v>
      </c>
      <c r="D758" s="204" t="s">
        <v>1105</v>
      </c>
      <c r="E758" s="4" t="s">
        <v>3854</v>
      </c>
      <c r="F758" s="204" t="s">
        <v>2276</v>
      </c>
      <c r="G758" s="204"/>
      <c r="H758" s="204">
        <v>0</v>
      </c>
      <c r="I758" s="4" t="s">
        <v>8352</v>
      </c>
      <c r="J758" s="204" t="s">
        <v>2276</v>
      </c>
      <c r="K758" s="204" t="s">
        <v>2276</v>
      </c>
      <c r="L758" s="204" t="s">
        <v>2276</v>
      </c>
      <c r="M758" s="204" t="s">
        <v>2276</v>
      </c>
      <c r="N758" s="204"/>
    </row>
    <row r="759" spans="1:14" ht="44.5" customHeight="1">
      <c r="A759" s="19" t="s">
        <v>8319</v>
      </c>
      <c r="B759" s="19" t="s">
        <v>8345</v>
      </c>
      <c r="C759" s="4" t="s">
        <v>24</v>
      </c>
      <c r="D759" s="204" t="s">
        <v>1105</v>
      </c>
      <c r="E759" s="4" t="s">
        <v>3854</v>
      </c>
      <c r="F759" s="204" t="s">
        <v>2276</v>
      </c>
      <c r="G759" s="204"/>
      <c r="H759" s="204">
        <v>0</v>
      </c>
      <c r="I759" s="4" t="s">
        <v>8352</v>
      </c>
      <c r="J759" s="204" t="s">
        <v>2276</v>
      </c>
      <c r="K759" s="204" t="s">
        <v>2276</v>
      </c>
      <c r="L759" s="204" t="s">
        <v>2276</v>
      </c>
      <c r="M759" s="204" t="s">
        <v>2276</v>
      </c>
      <c r="N759" s="204"/>
    </row>
    <row r="760" spans="1:14" ht="31.5" customHeight="1">
      <c r="A760" s="19" t="s">
        <v>8577</v>
      </c>
      <c r="B760" s="19" t="s">
        <v>8586</v>
      </c>
      <c r="C760" s="204" t="s">
        <v>1105</v>
      </c>
      <c r="D760" s="204" t="s">
        <v>1105</v>
      </c>
      <c r="E760" s="4" t="s">
        <v>45</v>
      </c>
      <c r="F760" s="4" t="s">
        <v>2662</v>
      </c>
      <c r="G760" s="204"/>
      <c r="H760" s="204">
        <v>1</v>
      </c>
      <c r="I760" s="19" t="s">
        <v>8592</v>
      </c>
      <c r="J760" s="204"/>
      <c r="K760" s="204"/>
      <c r="L760" s="204">
        <v>1</v>
      </c>
      <c r="M760" s="11" t="s">
        <v>8594</v>
      </c>
      <c r="N760" s="204"/>
    </row>
    <row r="761" spans="1:14" ht="31.5" customHeight="1">
      <c r="A761" s="19" t="s">
        <v>8584</v>
      </c>
      <c r="B761" s="19" t="s">
        <v>8588</v>
      </c>
      <c r="C761" s="204" t="s">
        <v>1105</v>
      </c>
      <c r="D761" s="204" t="s">
        <v>1105</v>
      </c>
      <c r="E761" s="4" t="s">
        <v>45</v>
      </c>
      <c r="F761" s="4" t="s">
        <v>2662</v>
      </c>
      <c r="G761" s="204"/>
      <c r="H761" s="204">
        <v>1</v>
      </c>
      <c r="I761" s="19" t="s">
        <v>8592</v>
      </c>
      <c r="J761" s="204"/>
      <c r="K761" s="204"/>
      <c r="L761" s="204">
        <v>1</v>
      </c>
      <c r="M761" s="19" t="s">
        <v>8594</v>
      </c>
      <c r="N761" s="204"/>
    </row>
    <row r="762" spans="1:14" ht="31.5" customHeight="1">
      <c r="A762" s="19" t="s">
        <v>8577</v>
      </c>
      <c r="B762" s="19" t="s">
        <v>8590</v>
      </c>
      <c r="C762" s="204" t="s">
        <v>1105</v>
      </c>
      <c r="D762" s="204" t="s">
        <v>1105</v>
      </c>
      <c r="E762" s="4" t="s">
        <v>3209</v>
      </c>
      <c r="F762" s="4" t="s">
        <v>2662</v>
      </c>
      <c r="G762" s="204"/>
      <c r="H762" s="204" t="s">
        <v>2276</v>
      </c>
      <c r="I762" s="204" t="s">
        <v>2276</v>
      </c>
      <c r="J762" s="204" t="s">
        <v>2276</v>
      </c>
      <c r="K762" s="204" t="s">
        <v>2276</v>
      </c>
      <c r="L762" s="204">
        <v>2</v>
      </c>
      <c r="M762" s="4" t="s">
        <v>8593</v>
      </c>
      <c r="N762" s="204"/>
    </row>
    <row r="763" spans="1:14" ht="31.5" customHeight="1">
      <c r="A763" s="19" t="s">
        <v>8584</v>
      </c>
      <c r="B763" s="19" t="s">
        <v>8591</v>
      </c>
      <c r="C763" s="204" t="s">
        <v>1105</v>
      </c>
      <c r="D763" s="204" t="s">
        <v>1105</v>
      </c>
      <c r="E763" s="4" t="s">
        <v>3209</v>
      </c>
      <c r="F763" s="4" t="s">
        <v>2662</v>
      </c>
      <c r="G763" s="204"/>
      <c r="H763" s="204" t="s">
        <v>2276</v>
      </c>
      <c r="I763" s="204" t="s">
        <v>2276</v>
      </c>
      <c r="J763" s="204" t="s">
        <v>2276</v>
      </c>
      <c r="K763" s="204" t="s">
        <v>2276</v>
      </c>
      <c r="L763" s="204">
        <v>2</v>
      </c>
      <c r="M763" s="4" t="s">
        <v>8593</v>
      </c>
      <c r="N763" s="204"/>
    </row>
    <row r="764" spans="1:14" ht="36" customHeight="1">
      <c r="A764" s="19" t="s">
        <v>8655</v>
      </c>
      <c r="B764" s="19" t="s">
        <v>8659</v>
      </c>
      <c r="C764" s="204" t="s">
        <v>24</v>
      </c>
      <c r="D764" s="204" t="s">
        <v>2659</v>
      </c>
      <c r="E764" s="4" t="s">
        <v>396</v>
      </c>
      <c r="F764" s="204" t="s">
        <v>28</v>
      </c>
      <c r="G764" s="204"/>
      <c r="H764" s="204">
        <v>1</v>
      </c>
      <c r="I764" s="19" t="s">
        <v>8667</v>
      </c>
      <c r="J764" s="204" t="s">
        <v>2276</v>
      </c>
      <c r="K764" s="204" t="s">
        <v>2276</v>
      </c>
      <c r="L764" s="204" t="s">
        <v>2276</v>
      </c>
      <c r="M764" s="204" t="s">
        <v>2276</v>
      </c>
      <c r="N764" s="204"/>
    </row>
    <row r="765" spans="1:14" ht="36" customHeight="1">
      <c r="A765" s="19" t="s">
        <v>8656</v>
      </c>
      <c r="B765" s="19" t="s">
        <v>8660</v>
      </c>
      <c r="C765" s="204" t="s">
        <v>24</v>
      </c>
      <c r="D765" s="204" t="s">
        <v>2659</v>
      </c>
      <c r="E765" s="4" t="s">
        <v>396</v>
      </c>
      <c r="F765" s="204" t="s">
        <v>28</v>
      </c>
      <c r="G765" s="204"/>
      <c r="H765" s="204">
        <v>1</v>
      </c>
      <c r="I765" s="19" t="s">
        <v>8667</v>
      </c>
      <c r="J765" s="204" t="s">
        <v>2276</v>
      </c>
      <c r="K765" s="204" t="s">
        <v>2276</v>
      </c>
      <c r="L765" s="204" t="s">
        <v>2276</v>
      </c>
      <c r="M765" s="204" t="s">
        <v>2276</v>
      </c>
      <c r="N765" s="204"/>
    </row>
    <row r="766" spans="1:14" ht="36" customHeight="1">
      <c r="A766" s="19" t="s">
        <v>8717</v>
      </c>
      <c r="B766" s="19" t="s">
        <v>8718</v>
      </c>
      <c r="C766" s="204" t="s">
        <v>24</v>
      </c>
      <c r="D766" s="204" t="s">
        <v>2659</v>
      </c>
      <c r="E766" s="4" t="s">
        <v>397</v>
      </c>
      <c r="F766" s="204" t="s">
        <v>28</v>
      </c>
      <c r="G766" s="204"/>
      <c r="H766" s="204">
        <v>1</v>
      </c>
      <c r="I766" s="19" t="s">
        <v>8667</v>
      </c>
      <c r="J766" s="204" t="s">
        <v>2276</v>
      </c>
      <c r="K766" s="204" t="s">
        <v>2276</v>
      </c>
      <c r="L766" s="204" t="s">
        <v>2276</v>
      </c>
      <c r="M766" s="204" t="s">
        <v>2276</v>
      </c>
      <c r="N766" s="204"/>
    </row>
    <row r="767" spans="1:14" ht="34.5" customHeight="1">
      <c r="A767" s="19" t="s">
        <v>8748</v>
      </c>
      <c r="B767" s="19" t="s">
        <v>8751</v>
      </c>
      <c r="C767" s="204" t="s">
        <v>1105</v>
      </c>
      <c r="D767" s="204" t="s">
        <v>1105</v>
      </c>
      <c r="E767" s="4" t="s">
        <v>5801</v>
      </c>
      <c r="F767" s="4" t="s">
        <v>2662</v>
      </c>
      <c r="G767" s="204"/>
      <c r="H767" s="204" t="s">
        <v>2276</v>
      </c>
      <c r="I767" s="204" t="s">
        <v>2276</v>
      </c>
      <c r="J767" s="204">
        <v>0</v>
      </c>
      <c r="K767" s="11" t="s">
        <v>8768</v>
      </c>
      <c r="L767" s="204" t="s">
        <v>2276</v>
      </c>
      <c r="M767" s="204" t="s">
        <v>2276</v>
      </c>
      <c r="N767" s="204"/>
    </row>
    <row r="768" spans="1:14" ht="44.5" customHeight="1">
      <c r="A768" s="19" t="s">
        <v>8844</v>
      </c>
      <c r="B768" s="19" t="s">
        <v>8846</v>
      </c>
      <c r="C768" s="204" t="s">
        <v>24</v>
      </c>
      <c r="D768" s="204" t="s">
        <v>27</v>
      </c>
      <c r="E768" s="4" t="s">
        <v>130</v>
      </c>
      <c r="F768" s="204" t="s">
        <v>74</v>
      </c>
      <c r="G768" s="204"/>
      <c r="H768" s="204">
        <v>0</v>
      </c>
      <c r="I768" s="19" t="s">
        <v>8851</v>
      </c>
      <c r="J768" s="204" t="s">
        <v>2276</v>
      </c>
      <c r="K768" s="204" t="s">
        <v>2276</v>
      </c>
      <c r="L768" s="204" t="s">
        <v>2276</v>
      </c>
      <c r="M768" s="204" t="s">
        <v>2276</v>
      </c>
      <c r="N768" s="204"/>
    </row>
    <row r="769" spans="1:14" ht="44.5" customHeight="1">
      <c r="A769" s="19" t="s">
        <v>8844</v>
      </c>
      <c r="B769" s="19" t="s">
        <v>8848</v>
      </c>
      <c r="C769" s="204" t="s">
        <v>1105</v>
      </c>
      <c r="D769" s="204" t="s">
        <v>1105</v>
      </c>
      <c r="E769" s="4" t="s">
        <v>84</v>
      </c>
      <c r="F769" s="204" t="s">
        <v>28</v>
      </c>
      <c r="G769" s="204"/>
      <c r="H769" s="204" t="s">
        <v>2276</v>
      </c>
      <c r="I769" s="204" t="s">
        <v>2276</v>
      </c>
      <c r="J769" s="204">
        <v>3</v>
      </c>
      <c r="K769" s="4" t="s">
        <v>8850</v>
      </c>
      <c r="L769" s="4">
        <v>3</v>
      </c>
      <c r="M769" s="4" t="s">
        <v>8850</v>
      </c>
      <c r="N769" s="204"/>
    </row>
    <row r="770" spans="1:14" ht="44.5" customHeight="1">
      <c r="A770" s="19" t="s">
        <v>8844</v>
      </c>
      <c r="B770" s="19" t="s">
        <v>8849</v>
      </c>
      <c r="C770" s="204" t="s">
        <v>1105</v>
      </c>
      <c r="D770" s="204" t="s">
        <v>1105</v>
      </c>
      <c r="E770" s="4" t="s">
        <v>2649</v>
      </c>
      <c r="F770" s="204" t="s">
        <v>2663</v>
      </c>
      <c r="G770" s="204"/>
      <c r="H770" s="204" t="s">
        <v>2276</v>
      </c>
      <c r="I770" s="204" t="s">
        <v>2276</v>
      </c>
      <c r="J770" s="204">
        <v>3</v>
      </c>
      <c r="K770" s="4" t="s">
        <v>8850</v>
      </c>
      <c r="L770" s="4">
        <v>3</v>
      </c>
      <c r="M770" s="4" t="s">
        <v>8850</v>
      </c>
      <c r="N770" s="204"/>
    </row>
    <row r="771" spans="1:14" ht="41" customHeight="1">
      <c r="A771" s="19" t="s">
        <v>8877</v>
      </c>
      <c r="B771" s="19" t="s">
        <v>8880</v>
      </c>
      <c r="C771" s="4" t="s">
        <v>1105</v>
      </c>
      <c r="D771" s="4" t="s">
        <v>1105</v>
      </c>
      <c r="E771" s="4" t="s">
        <v>3209</v>
      </c>
      <c r="F771" s="4" t="s">
        <v>74</v>
      </c>
      <c r="G771" s="4"/>
      <c r="H771" s="4" t="s">
        <v>2276</v>
      </c>
      <c r="I771" s="4" t="s">
        <v>2276</v>
      </c>
      <c r="J771" s="4">
        <v>1</v>
      </c>
      <c r="K771" s="19" t="s">
        <v>8891</v>
      </c>
      <c r="L771" s="4">
        <v>3</v>
      </c>
      <c r="M771" s="19" t="s">
        <v>8892</v>
      </c>
      <c r="N771" s="4"/>
    </row>
    <row r="772" spans="1:14" ht="28.5" customHeight="1">
      <c r="A772" s="19" t="s">
        <v>8894</v>
      </c>
      <c r="B772" s="19" t="s">
        <v>8897</v>
      </c>
      <c r="C772" s="4" t="s">
        <v>24</v>
      </c>
      <c r="D772" s="4" t="s">
        <v>1105</v>
      </c>
      <c r="E772" s="4" t="s">
        <v>130</v>
      </c>
      <c r="F772" s="4" t="s">
        <v>160</v>
      </c>
      <c r="G772" s="4"/>
      <c r="H772" s="4">
        <v>1</v>
      </c>
      <c r="I772" s="19" t="s">
        <v>8918</v>
      </c>
      <c r="J772" s="4" t="s">
        <v>2276</v>
      </c>
      <c r="K772" s="4" t="s">
        <v>2276</v>
      </c>
      <c r="L772" s="4" t="s">
        <v>2276</v>
      </c>
      <c r="M772" s="4" t="s">
        <v>2276</v>
      </c>
      <c r="N772" s="4"/>
    </row>
    <row r="773" spans="1:14" ht="28.5" customHeight="1">
      <c r="A773" s="19" t="s">
        <v>8894</v>
      </c>
      <c r="B773" s="19" t="s">
        <v>8898</v>
      </c>
      <c r="C773" s="4" t="s">
        <v>24</v>
      </c>
      <c r="D773" s="4" t="s">
        <v>1105</v>
      </c>
      <c r="E773" s="4" t="s">
        <v>45</v>
      </c>
      <c r="F773" s="4" t="s">
        <v>29</v>
      </c>
      <c r="G773" s="4"/>
      <c r="H773" s="4">
        <v>1</v>
      </c>
      <c r="I773" s="19" t="s">
        <v>8918</v>
      </c>
      <c r="J773" s="4" t="s">
        <v>2276</v>
      </c>
      <c r="K773" s="4" t="s">
        <v>2276</v>
      </c>
      <c r="L773" s="4" t="s">
        <v>2276</v>
      </c>
      <c r="M773" s="4" t="s">
        <v>2276</v>
      </c>
      <c r="N773" s="4"/>
    </row>
    <row r="774" spans="1:14" ht="28.5" customHeight="1">
      <c r="A774" s="19" t="s">
        <v>8894</v>
      </c>
      <c r="B774" s="19" t="s">
        <v>8899</v>
      </c>
      <c r="C774" s="4" t="s">
        <v>1105</v>
      </c>
      <c r="D774" s="4" t="s">
        <v>1105</v>
      </c>
      <c r="E774" s="4" t="s">
        <v>3855</v>
      </c>
      <c r="F774" s="4" t="s">
        <v>2276</v>
      </c>
      <c r="G774" s="4"/>
      <c r="H774" s="4" t="s">
        <v>2276</v>
      </c>
      <c r="I774" s="4" t="s">
        <v>2276</v>
      </c>
      <c r="J774" s="4" t="s">
        <v>2276</v>
      </c>
      <c r="K774" s="4" t="s">
        <v>2276</v>
      </c>
      <c r="L774" s="4">
        <v>1</v>
      </c>
      <c r="M774" s="19" t="s">
        <v>8920</v>
      </c>
      <c r="N774" s="4"/>
    </row>
    <row r="775" spans="1:14" ht="28.5" customHeight="1">
      <c r="A775" s="19" t="s">
        <v>8894</v>
      </c>
      <c r="B775" s="19" t="s">
        <v>8900</v>
      </c>
      <c r="C775" s="4" t="s">
        <v>1105</v>
      </c>
      <c r="D775" s="4" t="s">
        <v>1105</v>
      </c>
      <c r="E775" s="4" t="s">
        <v>2647</v>
      </c>
      <c r="F775" s="4" t="s">
        <v>29</v>
      </c>
      <c r="G775" s="4"/>
      <c r="H775" s="4" t="s">
        <v>2276</v>
      </c>
      <c r="I775" s="4" t="s">
        <v>2276</v>
      </c>
      <c r="J775" s="4" t="s">
        <v>2276</v>
      </c>
      <c r="K775" s="4" t="s">
        <v>2276</v>
      </c>
      <c r="L775" s="4">
        <v>3</v>
      </c>
      <c r="M775" s="4" t="s">
        <v>8919</v>
      </c>
      <c r="N775" s="4"/>
    </row>
    <row r="776" spans="1:14" ht="28.5" customHeight="1">
      <c r="A776" s="19" t="s">
        <v>8894</v>
      </c>
      <c r="B776" s="19" t="s">
        <v>8901</v>
      </c>
      <c r="C776" s="4" t="s">
        <v>1105</v>
      </c>
      <c r="D776" s="4" t="s">
        <v>1105</v>
      </c>
      <c r="E776" s="4" t="s">
        <v>84</v>
      </c>
      <c r="F776" s="4" t="s">
        <v>28</v>
      </c>
      <c r="G776" s="4"/>
      <c r="H776" s="4" t="s">
        <v>2276</v>
      </c>
      <c r="I776" s="4" t="s">
        <v>2276</v>
      </c>
      <c r="J776" s="4" t="s">
        <v>2276</v>
      </c>
      <c r="K776" s="4" t="s">
        <v>2276</v>
      </c>
      <c r="L776" s="4">
        <v>3</v>
      </c>
      <c r="M776" s="4" t="s">
        <v>8919</v>
      </c>
      <c r="N776" s="4"/>
    </row>
    <row r="777" spans="1:14" ht="47.5" customHeight="1">
      <c r="A777" s="19" t="s">
        <v>8896</v>
      </c>
      <c r="B777" s="19" t="s">
        <v>8909</v>
      </c>
      <c r="C777" s="4" t="s">
        <v>24</v>
      </c>
      <c r="D777" s="4" t="s">
        <v>1105</v>
      </c>
      <c r="E777" s="4" t="s">
        <v>130</v>
      </c>
      <c r="F777" s="4" t="s">
        <v>160</v>
      </c>
      <c r="G777" s="4"/>
      <c r="H777" s="4">
        <v>1</v>
      </c>
      <c r="I777" s="19" t="s">
        <v>8918</v>
      </c>
      <c r="J777" s="4" t="s">
        <v>2276</v>
      </c>
      <c r="K777" s="4" t="s">
        <v>2276</v>
      </c>
      <c r="L777" s="4" t="s">
        <v>2276</v>
      </c>
      <c r="M777" s="4" t="s">
        <v>2276</v>
      </c>
      <c r="N777" s="4"/>
    </row>
    <row r="778" spans="1:14" ht="47.5" customHeight="1">
      <c r="A778" s="19" t="s">
        <v>8896</v>
      </c>
      <c r="B778" s="19" t="s">
        <v>8910</v>
      </c>
      <c r="C778" s="4" t="s">
        <v>24</v>
      </c>
      <c r="D778" s="4" t="s">
        <v>1105</v>
      </c>
      <c r="E778" s="4" t="s">
        <v>45</v>
      </c>
      <c r="F778" s="4" t="s">
        <v>29</v>
      </c>
      <c r="G778" s="4"/>
      <c r="H778" s="4">
        <v>1</v>
      </c>
      <c r="I778" s="19" t="s">
        <v>8918</v>
      </c>
      <c r="J778" s="4" t="s">
        <v>2276</v>
      </c>
      <c r="K778" s="4" t="s">
        <v>2276</v>
      </c>
      <c r="L778" s="4" t="s">
        <v>2276</v>
      </c>
      <c r="M778" s="4" t="s">
        <v>2276</v>
      </c>
      <c r="N778" s="4"/>
    </row>
    <row r="779" spans="1:14" ht="47.5" customHeight="1">
      <c r="A779" s="19" t="s">
        <v>8896</v>
      </c>
      <c r="B779" s="19" t="s">
        <v>8911</v>
      </c>
      <c r="C779" s="4" t="s">
        <v>1105</v>
      </c>
      <c r="D779" s="4" t="s">
        <v>1105</v>
      </c>
      <c r="E779" s="4" t="s">
        <v>3855</v>
      </c>
      <c r="F779" s="4" t="s">
        <v>2276</v>
      </c>
      <c r="G779" s="4"/>
      <c r="H779" s="4" t="s">
        <v>2276</v>
      </c>
      <c r="I779" s="4" t="s">
        <v>2276</v>
      </c>
      <c r="J779" s="4" t="s">
        <v>2276</v>
      </c>
      <c r="K779" s="4" t="s">
        <v>2276</v>
      </c>
      <c r="L779" s="4">
        <v>1</v>
      </c>
      <c r="M779" s="19" t="s">
        <v>8920</v>
      </c>
      <c r="N779" s="4"/>
    </row>
    <row r="780" spans="1:14" ht="47.5" customHeight="1">
      <c r="A780" s="19" t="s">
        <v>8896</v>
      </c>
      <c r="B780" s="19" t="s">
        <v>8912</v>
      </c>
      <c r="C780" s="4" t="s">
        <v>1105</v>
      </c>
      <c r="D780" s="4" t="s">
        <v>1105</v>
      </c>
      <c r="E780" s="4" t="s">
        <v>2647</v>
      </c>
      <c r="F780" s="4" t="s">
        <v>29</v>
      </c>
      <c r="G780" s="4"/>
      <c r="H780" s="4" t="s">
        <v>2276</v>
      </c>
      <c r="I780" s="4" t="s">
        <v>2276</v>
      </c>
      <c r="J780" s="4" t="s">
        <v>2276</v>
      </c>
      <c r="K780" s="4" t="s">
        <v>2276</v>
      </c>
      <c r="L780" s="4">
        <v>3</v>
      </c>
      <c r="M780" s="4" t="s">
        <v>8919</v>
      </c>
      <c r="N780" s="4"/>
    </row>
    <row r="781" spans="1:14" ht="47.5" customHeight="1">
      <c r="A781" s="19" t="s">
        <v>8896</v>
      </c>
      <c r="B781" s="19" t="s">
        <v>8913</v>
      </c>
      <c r="C781" s="4" t="s">
        <v>1105</v>
      </c>
      <c r="D781" s="4" t="s">
        <v>1105</v>
      </c>
      <c r="E781" s="4" t="s">
        <v>84</v>
      </c>
      <c r="F781" s="4" t="s">
        <v>28</v>
      </c>
      <c r="G781" s="4"/>
      <c r="H781" s="4" t="s">
        <v>2276</v>
      </c>
      <c r="I781" s="4" t="s">
        <v>2276</v>
      </c>
      <c r="J781" s="4" t="s">
        <v>2276</v>
      </c>
      <c r="K781" s="4" t="s">
        <v>2276</v>
      </c>
      <c r="L781" s="4">
        <v>3</v>
      </c>
      <c r="M781" s="4" t="s">
        <v>8919</v>
      </c>
      <c r="N781" s="4"/>
    </row>
    <row r="782" spans="1:14" ht="35.5" customHeight="1">
      <c r="A782" s="19" t="s">
        <v>8922</v>
      </c>
      <c r="B782" s="19" t="s">
        <v>8924</v>
      </c>
      <c r="C782" s="204" t="s">
        <v>24</v>
      </c>
      <c r="D782" s="4" t="s">
        <v>143</v>
      </c>
      <c r="E782" s="4" t="s">
        <v>84</v>
      </c>
      <c r="F782" s="204" t="s">
        <v>74</v>
      </c>
      <c r="G782" s="204"/>
      <c r="H782" s="204">
        <v>0</v>
      </c>
      <c r="I782" s="19" t="s">
        <v>8932</v>
      </c>
      <c r="J782" s="4" t="s">
        <v>2276</v>
      </c>
      <c r="K782" s="4" t="s">
        <v>2276</v>
      </c>
      <c r="L782" s="4" t="s">
        <v>2276</v>
      </c>
      <c r="M782" s="4" t="s">
        <v>2276</v>
      </c>
      <c r="N782" s="204"/>
    </row>
    <row r="783" spans="1:14" ht="35.5" customHeight="1">
      <c r="A783" s="19" t="s">
        <v>8922</v>
      </c>
      <c r="B783" s="19" t="s">
        <v>8925</v>
      </c>
      <c r="C783" s="204" t="s">
        <v>24</v>
      </c>
      <c r="D783" s="4" t="s">
        <v>1105</v>
      </c>
      <c r="E783" s="4" t="s">
        <v>116</v>
      </c>
      <c r="F783" s="204" t="s">
        <v>74</v>
      </c>
      <c r="G783" s="204"/>
      <c r="H783" s="204">
        <v>0</v>
      </c>
      <c r="I783" s="19" t="s">
        <v>8932</v>
      </c>
      <c r="J783" s="4" t="s">
        <v>2276</v>
      </c>
      <c r="K783" s="4" t="s">
        <v>2276</v>
      </c>
      <c r="L783" s="4" t="s">
        <v>2276</v>
      </c>
      <c r="M783" s="4" t="s">
        <v>2276</v>
      </c>
      <c r="N783" s="204"/>
    </row>
    <row r="784" spans="1:14" ht="35.5" customHeight="1">
      <c r="A784" s="19" t="s">
        <v>8922</v>
      </c>
      <c r="B784" s="19" t="s">
        <v>8926</v>
      </c>
      <c r="C784" s="204" t="s">
        <v>1105</v>
      </c>
      <c r="D784" s="204" t="s">
        <v>1105</v>
      </c>
      <c r="E784" s="4" t="s">
        <v>863</v>
      </c>
      <c r="F784" s="204" t="s">
        <v>74</v>
      </c>
      <c r="G784" s="204"/>
      <c r="H784" s="4" t="s">
        <v>2276</v>
      </c>
      <c r="I784" s="4" t="s">
        <v>2276</v>
      </c>
      <c r="J784" s="204">
        <v>0</v>
      </c>
      <c r="K784" s="19" t="s">
        <v>8933</v>
      </c>
      <c r="L784" s="4" t="s">
        <v>2276</v>
      </c>
      <c r="M784" s="4" t="s">
        <v>2276</v>
      </c>
      <c r="N784" s="204"/>
    </row>
    <row r="785" spans="1:14" ht="36.5" customHeight="1">
      <c r="A785" s="19" t="s">
        <v>8922</v>
      </c>
      <c r="B785" s="19" t="s">
        <v>8927</v>
      </c>
      <c r="C785" s="204" t="s">
        <v>1105</v>
      </c>
      <c r="D785" s="204" t="s">
        <v>1105</v>
      </c>
      <c r="E785" s="4" t="s">
        <v>3209</v>
      </c>
      <c r="F785" s="204" t="s">
        <v>74</v>
      </c>
      <c r="G785" s="204"/>
      <c r="H785" s="4" t="s">
        <v>2276</v>
      </c>
      <c r="I785" s="4" t="s">
        <v>2276</v>
      </c>
      <c r="J785" s="204">
        <v>1</v>
      </c>
      <c r="K785" s="19" t="s">
        <v>8934</v>
      </c>
      <c r="L785" s="204">
        <v>1</v>
      </c>
      <c r="M785" s="151" t="s">
        <v>8938</v>
      </c>
      <c r="N785" s="204"/>
    </row>
    <row r="786" spans="1:14" ht="44" customHeight="1">
      <c r="A786" s="19" t="s">
        <v>8941</v>
      </c>
      <c r="B786" s="19" t="s">
        <v>8945</v>
      </c>
      <c r="C786" s="204" t="s">
        <v>24</v>
      </c>
      <c r="D786" s="204" t="s">
        <v>1105</v>
      </c>
      <c r="E786" s="4" t="s">
        <v>397</v>
      </c>
      <c r="F786" s="4" t="s">
        <v>2662</v>
      </c>
      <c r="G786" s="204"/>
      <c r="H786" s="204">
        <v>1</v>
      </c>
      <c r="I786" s="19" t="s">
        <v>8959</v>
      </c>
      <c r="J786" s="204">
        <v>1</v>
      </c>
      <c r="K786" s="19" t="s">
        <v>8959</v>
      </c>
      <c r="L786" s="4" t="s">
        <v>2276</v>
      </c>
      <c r="M786" s="4" t="s">
        <v>2276</v>
      </c>
      <c r="N786" s="204"/>
    </row>
    <row r="787" spans="1:14" ht="44" customHeight="1">
      <c r="A787" s="19" t="s">
        <v>8941</v>
      </c>
      <c r="B787" s="19" t="s">
        <v>8946</v>
      </c>
      <c r="C787" s="204" t="s">
        <v>24</v>
      </c>
      <c r="D787" s="204" t="s">
        <v>1105</v>
      </c>
      <c r="E787" s="4" t="s">
        <v>45</v>
      </c>
      <c r="F787" s="4" t="s">
        <v>2662</v>
      </c>
      <c r="G787" s="204"/>
      <c r="H787" s="204">
        <v>1</v>
      </c>
      <c r="I787" s="19" t="s">
        <v>8959</v>
      </c>
      <c r="J787" s="204">
        <v>1</v>
      </c>
      <c r="K787" s="19" t="s">
        <v>8959</v>
      </c>
      <c r="L787" s="4" t="s">
        <v>2276</v>
      </c>
      <c r="M787" s="4" t="s">
        <v>2276</v>
      </c>
      <c r="N787" s="204"/>
    </row>
    <row r="788" spans="1:14" ht="44" customHeight="1">
      <c r="A788" s="19" t="s">
        <v>8941</v>
      </c>
      <c r="B788" s="19" t="s">
        <v>8947</v>
      </c>
      <c r="C788" s="204" t="s">
        <v>1105</v>
      </c>
      <c r="D788" s="204" t="s">
        <v>1105</v>
      </c>
      <c r="E788" s="4" t="s">
        <v>3209</v>
      </c>
      <c r="F788" s="204" t="s">
        <v>2276</v>
      </c>
      <c r="G788" s="204"/>
      <c r="H788" s="4" t="s">
        <v>2276</v>
      </c>
      <c r="I788" s="4" t="s">
        <v>2276</v>
      </c>
      <c r="J788" s="204">
        <v>1</v>
      </c>
      <c r="K788" s="19" t="s">
        <v>8960</v>
      </c>
      <c r="L788" s="4" t="s">
        <v>2276</v>
      </c>
      <c r="M788" s="4" t="s">
        <v>2276</v>
      </c>
      <c r="N788" s="204"/>
    </row>
    <row r="789" spans="1:14" ht="42.5" customHeight="1">
      <c r="A789" s="19" t="s">
        <v>8976</v>
      </c>
      <c r="B789" s="19" t="s">
        <v>8979</v>
      </c>
      <c r="C789" s="204" t="s">
        <v>1105</v>
      </c>
      <c r="D789" s="204" t="s">
        <v>1105</v>
      </c>
      <c r="E789" s="4" t="s">
        <v>45</v>
      </c>
      <c r="F789" s="204" t="s">
        <v>55</v>
      </c>
      <c r="G789" s="204"/>
      <c r="H789" s="4" t="s">
        <v>2276</v>
      </c>
      <c r="I789" s="4" t="s">
        <v>2276</v>
      </c>
      <c r="J789" s="204">
        <v>2</v>
      </c>
      <c r="K789" s="19" t="s">
        <v>8981</v>
      </c>
      <c r="L789" s="4" t="s">
        <v>2276</v>
      </c>
      <c r="M789" s="4" t="s">
        <v>2276</v>
      </c>
      <c r="N789" s="204"/>
    </row>
    <row r="790" spans="1:14" ht="42.5" customHeight="1">
      <c r="A790" s="19" t="s">
        <v>8976</v>
      </c>
      <c r="B790" s="19" t="s">
        <v>8980</v>
      </c>
      <c r="C790" s="204" t="s">
        <v>1105</v>
      </c>
      <c r="D790" s="204" t="s">
        <v>1105</v>
      </c>
      <c r="E790" s="4" t="s">
        <v>5801</v>
      </c>
      <c r="F790" s="204" t="s">
        <v>55</v>
      </c>
      <c r="G790" s="204"/>
      <c r="H790" s="4" t="s">
        <v>2276</v>
      </c>
      <c r="I790" s="4" t="s">
        <v>2276</v>
      </c>
      <c r="J790" s="178">
        <v>0</v>
      </c>
      <c r="K790" s="19" t="s">
        <v>8982</v>
      </c>
      <c r="L790" s="4" t="s">
        <v>2276</v>
      </c>
      <c r="M790" s="4" t="s">
        <v>2276</v>
      </c>
      <c r="N790" s="204"/>
    </row>
    <row r="791" spans="1:14" ht="39" customHeight="1">
      <c r="A791" s="19" t="s">
        <v>8984</v>
      </c>
      <c r="B791" s="19" t="s">
        <v>8989</v>
      </c>
      <c r="C791" s="204" t="s">
        <v>24</v>
      </c>
      <c r="D791" s="204" t="s">
        <v>1245</v>
      </c>
      <c r="E791" s="4" t="s">
        <v>116</v>
      </c>
      <c r="F791" s="4" t="s">
        <v>2662</v>
      </c>
      <c r="G791" s="204"/>
      <c r="H791" s="204">
        <v>2</v>
      </c>
      <c r="I791" s="204" t="s">
        <v>8991</v>
      </c>
      <c r="J791" s="204">
        <v>2</v>
      </c>
      <c r="K791" s="19" t="s">
        <v>8990</v>
      </c>
      <c r="L791" s="4" t="s">
        <v>2276</v>
      </c>
      <c r="M791" s="4" t="s">
        <v>2276</v>
      </c>
      <c r="N791" s="204"/>
    </row>
    <row r="792" spans="1:14" ht="44.5" customHeight="1">
      <c r="A792" s="204" t="s">
        <v>9120</v>
      </c>
      <c r="B792" s="204" t="s">
        <v>9123</v>
      </c>
      <c r="C792" s="204" t="s">
        <v>1105</v>
      </c>
      <c r="D792" s="204" t="s">
        <v>1105</v>
      </c>
      <c r="E792" s="4" t="s">
        <v>2649</v>
      </c>
      <c r="F792" s="204" t="s">
        <v>2663</v>
      </c>
      <c r="G792" s="204"/>
      <c r="H792" s="4" t="s">
        <v>2276</v>
      </c>
      <c r="I792" s="4" t="s">
        <v>2276</v>
      </c>
      <c r="J792" s="204">
        <v>2</v>
      </c>
      <c r="K792" s="19" t="s">
        <v>9131</v>
      </c>
      <c r="L792" s="4" t="s">
        <v>2276</v>
      </c>
      <c r="M792" s="4" t="s">
        <v>2276</v>
      </c>
      <c r="N792" s="204"/>
    </row>
    <row r="793" spans="1:14" ht="50" customHeight="1">
      <c r="A793" s="204" t="s">
        <v>9121</v>
      </c>
      <c r="B793" s="204" t="s">
        <v>9126</v>
      </c>
      <c r="C793" s="204" t="s">
        <v>1105</v>
      </c>
      <c r="D793" s="204" t="s">
        <v>1105</v>
      </c>
      <c r="E793" s="4" t="s">
        <v>2649</v>
      </c>
      <c r="F793" s="204" t="s">
        <v>2663</v>
      </c>
      <c r="G793" s="204"/>
      <c r="H793" s="4" t="s">
        <v>2276</v>
      </c>
      <c r="I793" s="4" t="s">
        <v>2276</v>
      </c>
      <c r="J793" s="204">
        <v>0</v>
      </c>
      <c r="K793" s="19" t="s">
        <v>9132</v>
      </c>
      <c r="L793" s="4" t="s">
        <v>2276</v>
      </c>
      <c r="M793" s="4" t="s">
        <v>2276</v>
      </c>
      <c r="N793" s="204"/>
    </row>
    <row r="794" spans="1:14" ht="51" customHeight="1">
      <c r="A794" s="204" t="s">
        <v>9120</v>
      </c>
      <c r="B794" s="204" t="s">
        <v>9124</v>
      </c>
      <c r="C794" s="204" t="s">
        <v>1105</v>
      </c>
      <c r="D794" s="204" t="s">
        <v>1105</v>
      </c>
      <c r="E794" s="4" t="s">
        <v>5801</v>
      </c>
      <c r="F794" s="204" t="s">
        <v>2663</v>
      </c>
      <c r="G794" s="204"/>
      <c r="H794" s="4" t="s">
        <v>2276</v>
      </c>
      <c r="I794" s="4" t="s">
        <v>2276</v>
      </c>
      <c r="J794" s="204">
        <v>0</v>
      </c>
      <c r="K794" s="19" t="s">
        <v>9133</v>
      </c>
      <c r="L794" s="4" t="s">
        <v>2276</v>
      </c>
      <c r="M794" s="4" t="s">
        <v>2276</v>
      </c>
      <c r="N794" s="204"/>
    </row>
    <row r="795" spans="1:14" ht="39" customHeight="1">
      <c r="A795" s="11" t="s">
        <v>9135</v>
      </c>
      <c r="B795" s="11" t="s">
        <v>9137</v>
      </c>
      <c r="C795" s="204" t="s">
        <v>1105</v>
      </c>
      <c r="D795" s="204" t="s">
        <v>1105</v>
      </c>
      <c r="E795" s="4" t="s">
        <v>2649</v>
      </c>
      <c r="F795" s="204" t="s">
        <v>2663</v>
      </c>
      <c r="G795" s="204"/>
      <c r="H795" s="4" t="s">
        <v>2276</v>
      </c>
      <c r="I795" s="4" t="s">
        <v>2276</v>
      </c>
      <c r="J795" s="204">
        <v>3</v>
      </c>
      <c r="K795" s="19" t="s">
        <v>9146</v>
      </c>
      <c r="L795" s="4" t="s">
        <v>2276</v>
      </c>
      <c r="M795" s="4" t="s">
        <v>2276</v>
      </c>
      <c r="N795" s="204"/>
    </row>
    <row r="796" spans="1:14" ht="42.5" customHeight="1">
      <c r="A796" s="11" t="s">
        <v>9170</v>
      </c>
      <c r="B796" s="11" t="s">
        <v>9210</v>
      </c>
      <c r="C796" s="204" t="s">
        <v>1105</v>
      </c>
      <c r="D796" s="204" t="s">
        <v>2276</v>
      </c>
      <c r="E796" s="4" t="s">
        <v>3209</v>
      </c>
      <c r="F796" s="4" t="s">
        <v>2662</v>
      </c>
      <c r="G796" s="204"/>
      <c r="H796" s="4" t="s">
        <v>2276</v>
      </c>
      <c r="I796" s="4" t="s">
        <v>2276</v>
      </c>
      <c r="J796" s="4" t="s">
        <v>2276</v>
      </c>
      <c r="K796" s="4" t="s">
        <v>2276</v>
      </c>
      <c r="L796" s="204">
        <v>3</v>
      </c>
      <c r="M796" s="19" t="s">
        <v>9251</v>
      </c>
      <c r="N796" s="204"/>
    </row>
    <row r="797" spans="1:14" ht="47" customHeight="1">
      <c r="A797" s="11" t="s">
        <v>9195</v>
      </c>
      <c r="B797" s="11" t="s">
        <v>9225</v>
      </c>
      <c r="C797" s="204" t="s">
        <v>1105</v>
      </c>
      <c r="D797" s="204" t="s">
        <v>2276</v>
      </c>
      <c r="E797" s="4" t="s">
        <v>3209</v>
      </c>
      <c r="F797" s="4" t="s">
        <v>2662</v>
      </c>
      <c r="G797" s="204"/>
      <c r="H797" s="4" t="s">
        <v>2276</v>
      </c>
      <c r="I797" s="4" t="s">
        <v>2276</v>
      </c>
      <c r="J797" s="204">
        <v>2</v>
      </c>
      <c r="K797" s="4" t="s">
        <v>9255</v>
      </c>
      <c r="L797" s="204">
        <v>3</v>
      </c>
      <c r="M797" s="19" t="s">
        <v>9251</v>
      </c>
      <c r="N797" s="204"/>
    </row>
    <row r="798" spans="1:14" ht="49" customHeight="1">
      <c r="A798" s="11" t="s">
        <v>9195</v>
      </c>
      <c r="B798" s="11" t="s">
        <v>9243</v>
      </c>
      <c r="C798" s="204" t="s">
        <v>1105</v>
      </c>
      <c r="D798" s="204" t="s">
        <v>2276</v>
      </c>
      <c r="E798" s="4" t="s">
        <v>2653</v>
      </c>
      <c r="F798" s="204" t="s">
        <v>74</v>
      </c>
      <c r="G798" s="204"/>
      <c r="H798" s="4" t="s">
        <v>2276</v>
      </c>
      <c r="I798" s="4" t="s">
        <v>2276</v>
      </c>
      <c r="J798" s="204">
        <v>0</v>
      </c>
      <c r="K798" s="19" t="s">
        <v>9252</v>
      </c>
      <c r="L798" s="204">
        <v>0</v>
      </c>
      <c r="M798" s="19" t="s">
        <v>9253</v>
      </c>
      <c r="N798" s="204"/>
    </row>
    <row r="799" spans="1:14" ht="44.5" customHeight="1">
      <c r="A799" s="11" t="s">
        <v>9194</v>
      </c>
      <c r="B799" s="11" t="s">
        <v>9224</v>
      </c>
      <c r="C799" s="204" t="s">
        <v>1105</v>
      </c>
      <c r="D799" s="204" t="s">
        <v>2276</v>
      </c>
      <c r="E799" s="4" t="s">
        <v>2653</v>
      </c>
      <c r="F799" s="204" t="s">
        <v>74</v>
      </c>
      <c r="G799" s="204"/>
      <c r="H799" s="4" t="s">
        <v>2276</v>
      </c>
      <c r="I799" s="4" t="s">
        <v>2276</v>
      </c>
      <c r="J799" s="204">
        <v>0</v>
      </c>
      <c r="K799" s="19" t="s">
        <v>9252</v>
      </c>
      <c r="L799" s="204">
        <v>0</v>
      </c>
      <c r="M799" s="19" t="s">
        <v>9253</v>
      </c>
      <c r="N799" s="204"/>
    </row>
    <row r="800" spans="1:14" s="203" customFormat="1" ht="44.5" customHeight="1">
      <c r="A800" s="11" t="s">
        <v>9194</v>
      </c>
      <c r="B800" s="11" t="s">
        <v>9250</v>
      </c>
      <c r="C800" s="204" t="s">
        <v>1105</v>
      </c>
      <c r="D800" s="204" t="s">
        <v>2276</v>
      </c>
      <c r="E800" s="4" t="s">
        <v>3209</v>
      </c>
      <c r="F800" s="4" t="s">
        <v>2662</v>
      </c>
      <c r="G800" s="204"/>
      <c r="H800" s="4" t="s">
        <v>2276</v>
      </c>
      <c r="I800" s="4" t="s">
        <v>2276</v>
      </c>
      <c r="J800" s="204">
        <v>2</v>
      </c>
      <c r="K800" s="4" t="s">
        <v>9255</v>
      </c>
      <c r="L800" s="4" t="s">
        <v>2276</v>
      </c>
      <c r="M800" s="4" t="s">
        <v>2276</v>
      </c>
      <c r="N800" s="204"/>
    </row>
    <row r="801" spans="1:14" ht="37" customHeight="1">
      <c r="A801" s="11" t="s">
        <v>9174</v>
      </c>
      <c r="B801" s="11" t="s">
        <v>9214</v>
      </c>
      <c r="C801" s="204" t="s">
        <v>1105</v>
      </c>
      <c r="D801" s="204" t="s">
        <v>2276</v>
      </c>
      <c r="E801" s="4" t="s">
        <v>2649</v>
      </c>
      <c r="F801" s="204" t="s">
        <v>2663</v>
      </c>
      <c r="G801" s="204"/>
      <c r="H801" s="4" t="s">
        <v>2276</v>
      </c>
      <c r="I801" s="4" t="s">
        <v>2276</v>
      </c>
      <c r="J801" s="204">
        <v>0</v>
      </c>
      <c r="K801" s="19" t="s">
        <v>9254</v>
      </c>
      <c r="L801" s="4" t="s">
        <v>2276</v>
      </c>
      <c r="M801" s="4" t="s">
        <v>2276</v>
      </c>
      <c r="N801" s="204"/>
    </row>
    <row r="802" spans="1:14" ht="37" customHeight="1">
      <c r="A802" s="11" t="s">
        <v>9175</v>
      </c>
      <c r="B802" s="11" t="s">
        <v>9215</v>
      </c>
      <c r="C802" s="204" t="s">
        <v>1105</v>
      </c>
      <c r="D802" s="204" t="s">
        <v>2276</v>
      </c>
      <c r="E802" s="4" t="s">
        <v>2649</v>
      </c>
      <c r="F802" s="204" t="s">
        <v>2663</v>
      </c>
      <c r="G802" s="204"/>
      <c r="H802" s="4" t="s">
        <v>2276</v>
      </c>
      <c r="I802" s="4" t="s">
        <v>2276</v>
      </c>
      <c r="J802" s="204">
        <v>0</v>
      </c>
      <c r="K802" s="19" t="s">
        <v>9254</v>
      </c>
      <c r="L802" s="4" t="s">
        <v>2276</v>
      </c>
      <c r="M802" s="4" t="s">
        <v>2276</v>
      </c>
      <c r="N802" s="204"/>
    </row>
    <row r="803" spans="1:14" ht="37" customHeight="1">
      <c r="A803" s="11" t="s">
        <v>9199</v>
      </c>
      <c r="B803" s="11" t="s">
        <v>9229</v>
      </c>
      <c r="C803" s="204" t="s">
        <v>1105</v>
      </c>
      <c r="D803" s="204" t="s">
        <v>2276</v>
      </c>
      <c r="E803" s="4" t="s">
        <v>2649</v>
      </c>
      <c r="F803" s="204" t="s">
        <v>2663</v>
      </c>
      <c r="G803" s="204"/>
      <c r="H803" s="4" t="s">
        <v>2276</v>
      </c>
      <c r="I803" s="4" t="s">
        <v>2276</v>
      </c>
      <c r="J803" s="204">
        <v>0</v>
      </c>
      <c r="K803" s="19" t="s">
        <v>9254</v>
      </c>
      <c r="L803" s="4" t="s">
        <v>2276</v>
      </c>
      <c r="M803" s="4" t="s">
        <v>2276</v>
      </c>
      <c r="N803" s="204"/>
    </row>
    <row r="804" spans="1:14" ht="37" customHeight="1">
      <c r="A804" s="11" t="s">
        <v>9200</v>
      </c>
      <c r="B804" s="11" t="s">
        <v>9230</v>
      </c>
      <c r="C804" s="204" t="s">
        <v>1105</v>
      </c>
      <c r="D804" s="204" t="s">
        <v>2276</v>
      </c>
      <c r="E804" s="4" t="s">
        <v>2649</v>
      </c>
      <c r="F804" s="204" t="s">
        <v>2663</v>
      </c>
      <c r="G804" s="204"/>
      <c r="H804" s="4" t="s">
        <v>2276</v>
      </c>
      <c r="I804" s="4" t="s">
        <v>2276</v>
      </c>
      <c r="J804" s="204">
        <v>0</v>
      </c>
      <c r="K804" s="19" t="s">
        <v>9254</v>
      </c>
      <c r="L804" s="4" t="s">
        <v>2276</v>
      </c>
      <c r="M804" s="4" t="s">
        <v>2276</v>
      </c>
      <c r="N804" s="204"/>
    </row>
    <row r="805" spans="1:14" ht="42.5" customHeight="1">
      <c r="A805" s="11" t="s">
        <v>9265</v>
      </c>
      <c r="B805" s="11" t="s">
        <v>9269</v>
      </c>
      <c r="C805" s="204" t="s">
        <v>1105</v>
      </c>
      <c r="D805" s="204" t="s">
        <v>2276</v>
      </c>
      <c r="E805" s="4" t="s">
        <v>2649</v>
      </c>
      <c r="F805" s="204" t="s">
        <v>2663</v>
      </c>
      <c r="G805" s="204">
        <v>1976</v>
      </c>
      <c r="H805" s="4" t="s">
        <v>2276</v>
      </c>
      <c r="I805" s="4" t="s">
        <v>2276</v>
      </c>
      <c r="J805" s="204">
        <v>1</v>
      </c>
      <c r="K805" s="19" t="s">
        <v>9272</v>
      </c>
      <c r="L805" s="4" t="s">
        <v>2276</v>
      </c>
      <c r="M805" s="4" t="s">
        <v>2276</v>
      </c>
      <c r="N805" s="204"/>
    </row>
    <row r="806" spans="1:14" ht="44.5" customHeight="1">
      <c r="A806" s="11" t="s">
        <v>9265</v>
      </c>
      <c r="B806" s="11" t="s">
        <v>9271</v>
      </c>
      <c r="C806" s="204" t="s">
        <v>1105</v>
      </c>
      <c r="D806" s="204" t="s">
        <v>2276</v>
      </c>
      <c r="E806" s="4" t="s">
        <v>2649</v>
      </c>
      <c r="F806" s="204" t="s">
        <v>2663</v>
      </c>
      <c r="G806" s="204">
        <v>1984</v>
      </c>
      <c r="H806" s="4">
        <v>3</v>
      </c>
      <c r="I806" s="19" t="s">
        <v>9273</v>
      </c>
      <c r="J806" s="204">
        <v>3</v>
      </c>
      <c r="K806" s="19" t="s">
        <v>9274</v>
      </c>
      <c r="L806" s="4" t="s">
        <v>2276</v>
      </c>
      <c r="M806" s="4" t="s">
        <v>2276</v>
      </c>
      <c r="N806" s="204"/>
    </row>
    <row r="807" spans="1:14" ht="42" customHeight="1">
      <c r="A807" s="11" t="s">
        <v>9279</v>
      </c>
      <c r="B807" s="11" t="s">
        <v>9280</v>
      </c>
      <c r="C807" s="204" t="s">
        <v>1105</v>
      </c>
      <c r="D807" s="204" t="s">
        <v>2276</v>
      </c>
      <c r="E807" s="4" t="s">
        <v>2649</v>
      </c>
      <c r="F807" s="204" t="s">
        <v>2663</v>
      </c>
      <c r="G807" s="204"/>
      <c r="H807" s="4" t="s">
        <v>2276</v>
      </c>
      <c r="I807" s="4" t="s">
        <v>2276</v>
      </c>
      <c r="J807" s="204">
        <v>0</v>
      </c>
      <c r="K807" s="19" t="s">
        <v>9254</v>
      </c>
      <c r="L807" s="4" t="s">
        <v>2276</v>
      </c>
      <c r="M807" s="4" t="s">
        <v>2276</v>
      </c>
      <c r="N807" s="204"/>
    </row>
    <row r="808" spans="1:14" ht="39" customHeight="1">
      <c r="A808" s="11" t="s">
        <v>9288</v>
      </c>
      <c r="B808" s="11" t="s">
        <v>9291</v>
      </c>
      <c r="C808" s="204" t="s">
        <v>1105</v>
      </c>
      <c r="D808" s="204" t="s">
        <v>2276</v>
      </c>
      <c r="E808" s="4" t="s">
        <v>5801</v>
      </c>
      <c r="F808" s="204" t="s">
        <v>160</v>
      </c>
      <c r="G808" s="204"/>
      <c r="H808" s="4" t="s">
        <v>2276</v>
      </c>
      <c r="I808" s="4" t="s">
        <v>2276</v>
      </c>
      <c r="J808" s="204">
        <v>0</v>
      </c>
      <c r="K808" s="19" t="s">
        <v>9290</v>
      </c>
      <c r="L808" s="4" t="s">
        <v>2276</v>
      </c>
      <c r="M808" s="4" t="s">
        <v>2276</v>
      </c>
      <c r="N808" s="204"/>
    </row>
    <row r="809" spans="1:14" ht="51" customHeight="1">
      <c r="A809" s="11" t="s">
        <v>9293</v>
      </c>
      <c r="B809" s="11" t="s">
        <v>9297</v>
      </c>
      <c r="C809" s="204" t="s">
        <v>1105</v>
      </c>
      <c r="D809" s="204" t="s">
        <v>2276</v>
      </c>
      <c r="E809" s="204" t="s">
        <v>1105</v>
      </c>
      <c r="F809" s="204" t="s">
        <v>74</v>
      </c>
      <c r="G809" s="204"/>
      <c r="H809" s="4" t="s">
        <v>2276</v>
      </c>
      <c r="I809" s="4" t="s">
        <v>2276</v>
      </c>
      <c r="J809" s="204">
        <v>1</v>
      </c>
      <c r="K809" s="19" t="s">
        <v>9299</v>
      </c>
      <c r="L809" s="4" t="s">
        <v>2276</v>
      </c>
      <c r="M809" s="4" t="s">
        <v>2276</v>
      </c>
      <c r="N809" s="204"/>
    </row>
    <row r="810" spans="1:14" ht="57.5" customHeight="1">
      <c r="A810" s="204" t="s">
        <v>9302</v>
      </c>
      <c r="B810" s="204" t="s">
        <v>9304</v>
      </c>
      <c r="C810" s="204" t="s">
        <v>24</v>
      </c>
      <c r="D810" s="204" t="s">
        <v>1242</v>
      </c>
      <c r="E810" s="204" t="s">
        <v>2649</v>
      </c>
      <c r="F810" s="204" t="s">
        <v>74</v>
      </c>
      <c r="G810" s="204"/>
      <c r="H810" s="4" t="s">
        <v>2276</v>
      </c>
      <c r="I810" s="4" t="s">
        <v>2276</v>
      </c>
      <c r="J810" s="4">
        <v>3</v>
      </c>
      <c r="K810" s="19" t="s">
        <v>9310</v>
      </c>
      <c r="L810" s="4" t="s">
        <v>2276</v>
      </c>
      <c r="M810" s="4" t="s">
        <v>2276</v>
      </c>
      <c r="N810" s="204"/>
    </row>
    <row r="811" spans="1:14" ht="57.5" customHeight="1">
      <c r="A811" s="204" t="s">
        <v>9302</v>
      </c>
      <c r="B811" s="204" t="s">
        <v>9306</v>
      </c>
      <c r="C811" s="204" t="s">
        <v>24</v>
      </c>
      <c r="D811" s="204" t="s">
        <v>1242</v>
      </c>
      <c r="E811" s="204" t="s">
        <v>3209</v>
      </c>
      <c r="F811" s="204" t="s">
        <v>74</v>
      </c>
      <c r="G811" s="204"/>
      <c r="H811" s="4" t="s">
        <v>2276</v>
      </c>
      <c r="I811" s="4" t="s">
        <v>2276</v>
      </c>
      <c r="J811" s="4">
        <v>3</v>
      </c>
      <c r="K811" s="19" t="s">
        <v>9310</v>
      </c>
      <c r="L811" s="4" t="s">
        <v>2276</v>
      </c>
      <c r="M811" s="4" t="s">
        <v>2276</v>
      </c>
      <c r="N811" s="204"/>
    </row>
    <row r="812" spans="1:14" ht="57.5" customHeight="1">
      <c r="A812" s="204" t="s">
        <v>9303</v>
      </c>
      <c r="B812" s="204" t="s">
        <v>9305</v>
      </c>
      <c r="C812" s="204" t="s">
        <v>24</v>
      </c>
      <c r="D812" s="204" t="s">
        <v>1242</v>
      </c>
      <c r="E812" s="204" t="s">
        <v>2649</v>
      </c>
      <c r="F812" s="204" t="s">
        <v>74</v>
      </c>
      <c r="G812" s="204"/>
      <c r="H812" s="4" t="s">
        <v>2276</v>
      </c>
      <c r="I812" s="4" t="s">
        <v>2276</v>
      </c>
      <c r="J812" s="4">
        <v>3</v>
      </c>
      <c r="K812" s="19" t="s">
        <v>9310</v>
      </c>
      <c r="L812" s="4" t="s">
        <v>2276</v>
      </c>
      <c r="M812" s="4" t="s">
        <v>2276</v>
      </c>
      <c r="N812" s="204"/>
    </row>
    <row r="813" spans="1:14" ht="57.5" customHeight="1">
      <c r="A813" s="204" t="s">
        <v>9303</v>
      </c>
      <c r="B813" s="204" t="s">
        <v>9307</v>
      </c>
      <c r="C813" s="204" t="s">
        <v>24</v>
      </c>
      <c r="D813" s="204" t="s">
        <v>1242</v>
      </c>
      <c r="E813" s="204" t="s">
        <v>3209</v>
      </c>
      <c r="F813" s="204" t="s">
        <v>74</v>
      </c>
      <c r="G813" s="204"/>
      <c r="H813" s="4" t="s">
        <v>2276</v>
      </c>
      <c r="I813" s="4" t="s">
        <v>2276</v>
      </c>
      <c r="J813" s="4">
        <v>3</v>
      </c>
      <c r="K813" s="19" t="s">
        <v>9310</v>
      </c>
      <c r="L813" s="4" t="s">
        <v>2276</v>
      </c>
      <c r="M813" s="4" t="s">
        <v>2276</v>
      </c>
      <c r="N813" s="204"/>
    </row>
    <row r="814" spans="1:14" ht="42.5" customHeight="1">
      <c r="A814" s="204" t="s">
        <v>9302</v>
      </c>
      <c r="B814" s="204" t="s">
        <v>9311</v>
      </c>
      <c r="C814" s="204" t="s">
        <v>1105</v>
      </c>
      <c r="D814" s="204" t="s">
        <v>1105</v>
      </c>
      <c r="E814" s="204" t="s">
        <v>2653</v>
      </c>
      <c r="F814" s="204" t="s">
        <v>74</v>
      </c>
      <c r="G814" s="204"/>
      <c r="H814" s="204"/>
      <c r="I814" s="204"/>
      <c r="J814" s="204">
        <v>1</v>
      </c>
      <c r="K814" s="19" t="s">
        <v>9313</v>
      </c>
      <c r="L814" s="4" t="s">
        <v>2276</v>
      </c>
      <c r="M814" s="4" t="s">
        <v>2276</v>
      </c>
      <c r="N814" s="204"/>
    </row>
    <row r="815" spans="1:14" ht="42.5" customHeight="1">
      <c r="A815" s="204" t="s">
        <v>9303</v>
      </c>
      <c r="B815" s="204" t="s">
        <v>9312</v>
      </c>
      <c r="C815" s="204" t="s">
        <v>1105</v>
      </c>
      <c r="D815" s="204" t="s">
        <v>1105</v>
      </c>
      <c r="E815" s="204" t="s">
        <v>2653</v>
      </c>
      <c r="F815" s="204" t="s">
        <v>74</v>
      </c>
      <c r="G815" s="204"/>
      <c r="H815" s="204"/>
      <c r="I815" s="204"/>
      <c r="J815" s="204">
        <v>1</v>
      </c>
      <c r="K815" s="19" t="s">
        <v>9313</v>
      </c>
      <c r="L815" s="4" t="s">
        <v>2276</v>
      </c>
      <c r="M815" s="4" t="s">
        <v>2276</v>
      </c>
      <c r="N815" s="204"/>
    </row>
    <row r="816" spans="1:14" ht="53" customHeight="1">
      <c r="A816" s="11" t="s">
        <v>9314</v>
      </c>
      <c r="B816" s="11" t="s">
        <v>9316</v>
      </c>
      <c r="C816" s="204" t="s">
        <v>24</v>
      </c>
      <c r="D816" s="204" t="s">
        <v>1242</v>
      </c>
      <c r="E816" s="204" t="s">
        <v>3209</v>
      </c>
      <c r="F816" s="204" t="s">
        <v>74</v>
      </c>
      <c r="G816" s="204"/>
      <c r="H816" s="204"/>
      <c r="I816" s="204"/>
      <c r="J816" s="204">
        <v>2</v>
      </c>
      <c r="K816" s="4" t="s">
        <v>9318</v>
      </c>
      <c r="L816" s="4" t="s">
        <v>2276</v>
      </c>
      <c r="M816" s="4" t="s">
        <v>2276</v>
      </c>
      <c r="N816" s="204"/>
    </row>
    <row r="817" spans="1:14" ht="31" customHeight="1">
      <c r="A817" s="11" t="s">
        <v>9322</v>
      </c>
      <c r="B817" s="11" t="s">
        <v>9324</v>
      </c>
      <c r="C817" s="204" t="s">
        <v>24</v>
      </c>
      <c r="D817" s="204" t="s">
        <v>1242</v>
      </c>
      <c r="E817" s="4" t="s">
        <v>2649</v>
      </c>
      <c r="F817" s="4" t="s">
        <v>2662</v>
      </c>
      <c r="G817" s="204"/>
      <c r="H817" s="4" t="s">
        <v>2276</v>
      </c>
      <c r="I817" s="4" t="s">
        <v>2276</v>
      </c>
      <c r="J817" s="187">
        <v>2</v>
      </c>
      <c r="K817" s="4" t="s">
        <v>9336</v>
      </c>
      <c r="L817" s="4" t="s">
        <v>2276</v>
      </c>
      <c r="M817" s="4" t="s">
        <v>2276</v>
      </c>
      <c r="N817" s="204"/>
    </row>
    <row r="818" spans="1:14" ht="31" customHeight="1">
      <c r="A818" s="11" t="s">
        <v>9322</v>
      </c>
      <c r="B818" s="11" t="s">
        <v>9325</v>
      </c>
      <c r="C818" s="204" t="s">
        <v>24</v>
      </c>
      <c r="D818" s="204" t="s">
        <v>1242</v>
      </c>
      <c r="E818" s="4" t="s">
        <v>137</v>
      </c>
      <c r="F818" s="4" t="s">
        <v>2662</v>
      </c>
      <c r="G818" s="204"/>
      <c r="H818" s="4" t="s">
        <v>2276</v>
      </c>
      <c r="I818" s="4" t="s">
        <v>2276</v>
      </c>
      <c r="J818" s="187">
        <v>3</v>
      </c>
      <c r="K818" s="4" t="s">
        <v>9337</v>
      </c>
      <c r="L818" s="4" t="s">
        <v>2276</v>
      </c>
      <c r="M818" s="4" t="s">
        <v>2276</v>
      </c>
      <c r="N818" s="204"/>
    </row>
    <row r="819" spans="1:14" ht="31" customHeight="1">
      <c r="A819" s="11" t="s">
        <v>9322</v>
      </c>
      <c r="B819" s="11" t="s">
        <v>9326</v>
      </c>
      <c r="C819" s="204" t="s">
        <v>24</v>
      </c>
      <c r="D819" s="204" t="s">
        <v>1242</v>
      </c>
      <c r="E819" s="4" t="s">
        <v>116</v>
      </c>
      <c r="F819" s="4" t="s">
        <v>2662</v>
      </c>
      <c r="G819" s="204"/>
      <c r="H819" s="4" t="s">
        <v>2276</v>
      </c>
      <c r="I819" s="4" t="s">
        <v>2276</v>
      </c>
      <c r="J819" s="187">
        <v>2</v>
      </c>
      <c r="K819" s="4" t="s">
        <v>9339</v>
      </c>
      <c r="L819" s="4" t="s">
        <v>2276</v>
      </c>
      <c r="M819" s="4" t="s">
        <v>2276</v>
      </c>
      <c r="N819" s="204"/>
    </row>
    <row r="820" spans="1:14" ht="31" customHeight="1">
      <c r="A820" s="11" t="s">
        <v>9322</v>
      </c>
      <c r="B820" s="11" t="s">
        <v>9327</v>
      </c>
      <c r="C820" s="204" t="s">
        <v>24</v>
      </c>
      <c r="D820" s="204" t="s">
        <v>1242</v>
      </c>
      <c r="E820" s="4" t="s">
        <v>2653</v>
      </c>
      <c r="F820" s="4" t="s">
        <v>2662</v>
      </c>
      <c r="G820" s="204"/>
      <c r="H820" s="204">
        <v>3</v>
      </c>
      <c r="I820" s="204" t="s">
        <v>9335</v>
      </c>
      <c r="J820" s="187">
        <v>1</v>
      </c>
      <c r="K820" s="4" t="s">
        <v>9338</v>
      </c>
      <c r="L820" s="4" t="s">
        <v>2276</v>
      </c>
      <c r="M820" s="4" t="s">
        <v>2276</v>
      </c>
      <c r="N820" s="204"/>
    </row>
    <row r="821" spans="1:14" ht="38" customHeight="1">
      <c r="A821" s="11" t="s">
        <v>9345</v>
      </c>
      <c r="B821" s="11" t="s">
        <v>9358</v>
      </c>
      <c r="C821" s="204" t="s">
        <v>24</v>
      </c>
      <c r="D821" s="204" t="s">
        <v>1242</v>
      </c>
      <c r="E821" s="4" t="s">
        <v>2653</v>
      </c>
      <c r="F821" s="4" t="s">
        <v>2662</v>
      </c>
      <c r="G821" s="38"/>
      <c r="H821" s="168" t="s">
        <v>2276</v>
      </c>
      <c r="I821" s="4" t="s">
        <v>2276</v>
      </c>
      <c r="J821" s="4">
        <v>2</v>
      </c>
      <c r="K821" s="4" t="s">
        <v>9369</v>
      </c>
      <c r="L821" s="4" t="s">
        <v>2276</v>
      </c>
      <c r="M821" s="4" t="s">
        <v>2276</v>
      </c>
      <c r="N821" s="204"/>
    </row>
    <row r="822" spans="1:14" ht="38" customHeight="1">
      <c r="A822" s="11" t="s">
        <v>9346</v>
      </c>
      <c r="B822" s="11" t="s">
        <v>9359</v>
      </c>
      <c r="C822" s="204" t="s">
        <v>24</v>
      </c>
      <c r="D822" s="204" t="s">
        <v>1242</v>
      </c>
      <c r="E822" s="4" t="s">
        <v>2653</v>
      </c>
      <c r="F822" s="4" t="s">
        <v>2662</v>
      </c>
      <c r="G822" s="204"/>
      <c r="H822" s="168" t="s">
        <v>2276</v>
      </c>
      <c r="I822" s="168" t="s">
        <v>2276</v>
      </c>
      <c r="J822" s="204">
        <v>1</v>
      </c>
      <c r="K822" s="4" t="s">
        <v>9338</v>
      </c>
      <c r="L822" s="4" t="s">
        <v>2276</v>
      </c>
      <c r="M822" s="4" t="s">
        <v>2276</v>
      </c>
      <c r="N822" s="204"/>
    </row>
    <row r="823" spans="1:14" ht="38" customHeight="1">
      <c r="A823" s="11" t="s">
        <v>9347</v>
      </c>
      <c r="B823" s="11" t="s">
        <v>9360</v>
      </c>
      <c r="C823" s="204" t="s">
        <v>24</v>
      </c>
      <c r="D823" s="204" t="s">
        <v>1242</v>
      </c>
      <c r="E823" s="4" t="s">
        <v>2653</v>
      </c>
      <c r="F823" s="4" t="s">
        <v>2662</v>
      </c>
      <c r="G823" s="204"/>
      <c r="H823" s="168" t="s">
        <v>2276</v>
      </c>
      <c r="I823" s="168" t="s">
        <v>2276</v>
      </c>
      <c r="J823" s="204">
        <v>1</v>
      </c>
      <c r="K823" s="4" t="s">
        <v>9338</v>
      </c>
      <c r="L823" s="4" t="s">
        <v>2276</v>
      </c>
      <c r="M823" s="4" t="s">
        <v>2276</v>
      </c>
      <c r="N823" s="204"/>
    </row>
    <row r="824" spans="1:14" ht="38" customHeight="1">
      <c r="A824" s="11" t="s">
        <v>9348</v>
      </c>
      <c r="B824" s="11" t="s">
        <v>9361</v>
      </c>
      <c r="C824" s="204" t="s">
        <v>24</v>
      </c>
      <c r="D824" s="204" t="s">
        <v>1242</v>
      </c>
      <c r="E824" s="4" t="s">
        <v>2653</v>
      </c>
      <c r="F824" s="4" t="s">
        <v>2662</v>
      </c>
      <c r="G824" s="204"/>
      <c r="H824" s="168" t="s">
        <v>2276</v>
      </c>
      <c r="I824" s="168" t="s">
        <v>2276</v>
      </c>
      <c r="J824" s="4">
        <v>1</v>
      </c>
      <c r="K824" s="4" t="s">
        <v>9338</v>
      </c>
      <c r="L824" s="4" t="s">
        <v>2276</v>
      </c>
      <c r="M824" s="4" t="s">
        <v>2276</v>
      </c>
      <c r="N824" s="204"/>
    </row>
    <row r="825" spans="1:14" ht="38" customHeight="1">
      <c r="A825" s="11" t="s">
        <v>9349</v>
      </c>
      <c r="B825" s="11" t="s">
        <v>9362</v>
      </c>
      <c r="C825" s="204" t="s">
        <v>24</v>
      </c>
      <c r="D825" s="204" t="s">
        <v>1242</v>
      </c>
      <c r="E825" s="4" t="s">
        <v>2653</v>
      </c>
      <c r="F825" s="4" t="s">
        <v>2662</v>
      </c>
      <c r="G825" s="204"/>
      <c r="H825" s="168" t="s">
        <v>2276</v>
      </c>
      <c r="I825" s="168" t="s">
        <v>2276</v>
      </c>
      <c r="J825" s="204">
        <v>1</v>
      </c>
      <c r="K825" s="4" t="s">
        <v>9338</v>
      </c>
      <c r="L825" s="4" t="s">
        <v>2276</v>
      </c>
      <c r="M825" s="4" t="s">
        <v>2276</v>
      </c>
      <c r="N825" s="204"/>
    </row>
    <row r="826" spans="1:14" ht="38" customHeight="1">
      <c r="A826" s="11" t="s">
        <v>9350</v>
      </c>
      <c r="B826" s="11" t="s">
        <v>9363</v>
      </c>
      <c r="C826" s="204" t="s">
        <v>24</v>
      </c>
      <c r="D826" s="204" t="s">
        <v>1242</v>
      </c>
      <c r="E826" s="4" t="s">
        <v>2653</v>
      </c>
      <c r="F826" s="4" t="s">
        <v>2662</v>
      </c>
      <c r="G826" s="204"/>
      <c r="H826" s="168" t="s">
        <v>2276</v>
      </c>
      <c r="I826" s="168" t="s">
        <v>2276</v>
      </c>
      <c r="J826" s="204">
        <v>1</v>
      </c>
      <c r="K826" s="4" t="s">
        <v>9338</v>
      </c>
      <c r="L826" s="4" t="s">
        <v>2276</v>
      </c>
      <c r="M826" s="4" t="s">
        <v>2276</v>
      </c>
      <c r="N826" s="204"/>
    </row>
    <row r="827" spans="1:14" ht="38" customHeight="1">
      <c r="A827" s="11" t="s">
        <v>9351</v>
      </c>
      <c r="B827" s="11" t="s">
        <v>9364</v>
      </c>
      <c r="C827" s="204" t="s">
        <v>24</v>
      </c>
      <c r="D827" s="204" t="s">
        <v>1242</v>
      </c>
      <c r="E827" s="4" t="s">
        <v>2653</v>
      </c>
      <c r="F827" s="4" t="s">
        <v>2662</v>
      </c>
      <c r="G827" s="204"/>
      <c r="H827" s="168" t="s">
        <v>2276</v>
      </c>
      <c r="I827" s="168" t="s">
        <v>2276</v>
      </c>
      <c r="J827" s="204">
        <v>1</v>
      </c>
      <c r="K827" s="4" t="s">
        <v>9338</v>
      </c>
      <c r="L827" s="4" t="s">
        <v>2276</v>
      </c>
      <c r="M827" s="4" t="s">
        <v>2276</v>
      </c>
      <c r="N827" s="204"/>
    </row>
    <row r="828" spans="1:14" ht="38" customHeight="1">
      <c r="A828" s="11" t="s">
        <v>9352</v>
      </c>
      <c r="B828" s="11" t="s">
        <v>9365</v>
      </c>
      <c r="C828" s="204" t="s">
        <v>24</v>
      </c>
      <c r="D828" s="204" t="s">
        <v>1242</v>
      </c>
      <c r="E828" s="4" t="s">
        <v>2653</v>
      </c>
      <c r="F828" s="4" t="s">
        <v>2662</v>
      </c>
      <c r="G828" s="204"/>
      <c r="H828" s="168" t="s">
        <v>2276</v>
      </c>
      <c r="I828" s="168" t="s">
        <v>2276</v>
      </c>
      <c r="J828" s="204">
        <v>1</v>
      </c>
      <c r="K828" s="4" t="s">
        <v>9338</v>
      </c>
      <c r="L828" s="4" t="s">
        <v>2276</v>
      </c>
      <c r="M828" s="4" t="s">
        <v>2276</v>
      </c>
      <c r="N828" s="204"/>
    </row>
    <row r="829" spans="1:14" ht="38" customHeight="1">
      <c r="A829" s="11" t="s">
        <v>9353</v>
      </c>
      <c r="B829" s="11" t="s">
        <v>9366</v>
      </c>
      <c r="C829" s="204" t="s">
        <v>24</v>
      </c>
      <c r="D829" s="204" t="s">
        <v>1242</v>
      </c>
      <c r="E829" s="4" t="s">
        <v>2653</v>
      </c>
      <c r="F829" s="4" t="s">
        <v>2662</v>
      </c>
      <c r="G829" s="204"/>
      <c r="H829" s="168" t="s">
        <v>2276</v>
      </c>
      <c r="I829" s="168" t="s">
        <v>2276</v>
      </c>
      <c r="J829" s="204">
        <v>1</v>
      </c>
      <c r="K829" s="4" t="s">
        <v>9338</v>
      </c>
      <c r="L829" s="4" t="s">
        <v>2276</v>
      </c>
      <c r="M829" s="4" t="s">
        <v>2276</v>
      </c>
      <c r="N829" s="204"/>
    </row>
    <row r="830" spans="1:14" ht="38" customHeight="1">
      <c r="A830" s="11" t="s">
        <v>9354</v>
      </c>
      <c r="B830" s="11" t="s">
        <v>9367</v>
      </c>
      <c r="C830" s="204" t="s">
        <v>24</v>
      </c>
      <c r="D830" s="204" t="s">
        <v>1242</v>
      </c>
      <c r="E830" s="4" t="s">
        <v>2653</v>
      </c>
      <c r="F830" s="4" t="s">
        <v>2662</v>
      </c>
      <c r="G830" s="204"/>
      <c r="H830" s="168" t="s">
        <v>2276</v>
      </c>
      <c r="I830" s="168" t="s">
        <v>2276</v>
      </c>
      <c r="J830" s="204">
        <v>1</v>
      </c>
      <c r="K830" s="4" t="s">
        <v>9338</v>
      </c>
      <c r="L830" s="4" t="s">
        <v>2276</v>
      </c>
      <c r="M830" s="4" t="s">
        <v>2276</v>
      </c>
      <c r="N830" s="204"/>
    </row>
    <row r="831" spans="1:14" ht="38" customHeight="1">
      <c r="A831" s="11" t="s">
        <v>9355</v>
      </c>
      <c r="B831" s="11" t="s">
        <v>9368</v>
      </c>
      <c r="C831" s="204" t="s">
        <v>24</v>
      </c>
      <c r="D831" s="204" t="s">
        <v>1242</v>
      </c>
      <c r="E831" s="4" t="s">
        <v>2653</v>
      </c>
      <c r="F831" s="4" t="s">
        <v>2662</v>
      </c>
      <c r="G831" s="204"/>
      <c r="H831" s="4" t="s">
        <v>2276</v>
      </c>
      <c r="I831" s="4" t="s">
        <v>2276</v>
      </c>
      <c r="J831" s="204">
        <v>1</v>
      </c>
      <c r="K831" s="4" t="s">
        <v>9338</v>
      </c>
      <c r="L831" s="4" t="s">
        <v>2276</v>
      </c>
      <c r="M831" s="4" t="s">
        <v>2276</v>
      </c>
      <c r="N831" s="204"/>
    </row>
    <row r="832" spans="1:14" ht="38" customHeight="1">
      <c r="A832" s="11" t="s">
        <v>9371</v>
      </c>
      <c r="B832" s="11" t="s">
        <v>9373</v>
      </c>
      <c r="C832" s="204" t="s">
        <v>1105</v>
      </c>
      <c r="D832" s="204" t="s">
        <v>1105</v>
      </c>
      <c r="E832" s="4" t="s">
        <v>863</v>
      </c>
      <c r="F832" s="204" t="s">
        <v>74</v>
      </c>
      <c r="G832" s="204"/>
      <c r="H832" s="4" t="s">
        <v>2276</v>
      </c>
      <c r="I832" s="4" t="s">
        <v>2276</v>
      </c>
      <c r="J832" s="204">
        <v>0</v>
      </c>
      <c r="K832" s="19" t="s">
        <v>9379</v>
      </c>
      <c r="L832" s="4" t="s">
        <v>2276</v>
      </c>
      <c r="M832" s="4" t="s">
        <v>2276</v>
      </c>
      <c r="N832" s="204"/>
    </row>
    <row r="833" spans="1:14" ht="48.5" customHeight="1">
      <c r="A833" s="11" t="s">
        <v>9382</v>
      </c>
      <c r="B833" s="11" t="s">
        <v>9383</v>
      </c>
      <c r="C833" s="204" t="s">
        <v>1105</v>
      </c>
      <c r="D833" s="204" t="s">
        <v>1105</v>
      </c>
      <c r="E833" s="4" t="s">
        <v>3209</v>
      </c>
      <c r="F833" s="204" t="s">
        <v>74</v>
      </c>
      <c r="G833" s="204"/>
      <c r="H833" s="4" t="s">
        <v>2276</v>
      </c>
      <c r="I833" s="4" t="s">
        <v>2276</v>
      </c>
      <c r="J833" s="4" t="s">
        <v>2276</v>
      </c>
      <c r="K833" s="4" t="s">
        <v>2276</v>
      </c>
      <c r="L833" s="204">
        <v>1</v>
      </c>
      <c r="M833" s="19" t="s">
        <v>9387</v>
      </c>
      <c r="N833" s="204"/>
    </row>
    <row r="834" spans="1:14" ht="56" customHeight="1">
      <c r="A834" s="11" t="s">
        <v>9405</v>
      </c>
      <c r="B834" s="11" t="s">
        <v>9407</v>
      </c>
      <c r="C834" s="204" t="s">
        <v>1105</v>
      </c>
      <c r="D834" s="204" t="s">
        <v>1105</v>
      </c>
      <c r="E834" s="4" t="s">
        <v>3209</v>
      </c>
      <c r="F834" s="204" t="s">
        <v>74</v>
      </c>
      <c r="G834" s="204"/>
      <c r="H834" s="4" t="s">
        <v>2276</v>
      </c>
      <c r="I834" s="4" t="s">
        <v>2276</v>
      </c>
      <c r="J834" s="204">
        <v>1</v>
      </c>
      <c r="K834" s="19" t="s">
        <v>9419</v>
      </c>
      <c r="L834" s="204">
        <v>1</v>
      </c>
      <c r="M834" s="19" t="s">
        <v>9419</v>
      </c>
      <c r="N834" s="204"/>
    </row>
    <row r="835" spans="1:14" ht="50" customHeight="1">
      <c r="A835" s="26" t="s">
        <v>9405</v>
      </c>
      <c r="B835" s="26" t="s">
        <v>9408</v>
      </c>
      <c r="C835" s="204" t="s">
        <v>24</v>
      </c>
      <c r="D835" s="204" t="s">
        <v>1105</v>
      </c>
      <c r="E835" s="4" t="s">
        <v>84</v>
      </c>
      <c r="F835" s="4" t="s">
        <v>28</v>
      </c>
      <c r="G835" s="204"/>
      <c r="H835" s="4" t="s">
        <v>2276</v>
      </c>
      <c r="I835" s="4" t="s">
        <v>2276</v>
      </c>
      <c r="J835" s="4" t="s">
        <v>2276</v>
      </c>
      <c r="K835" s="4" t="s">
        <v>2276</v>
      </c>
      <c r="L835" s="204">
        <v>0</v>
      </c>
      <c r="M835" s="204" t="s">
        <v>9422</v>
      </c>
      <c r="N835" s="204"/>
    </row>
    <row r="836" spans="1:14" ht="57.5" customHeight="1">
      <c r="A836" s="26" t="s">
        <v>9405</v>
      </c>
      <c r="B836" s="26" t="s">
        <v>9409</v>
      </c>
      <c r="C836" s="204" t="s">
        <v>24</v>
      </c>
      <c r="D836" s="204" t="s">
        <v>1105</v>
      </c>
      <c r="E836" s="4" t="s">
        <v>2649</v>
      </c>
      <c r="F836" s="4" t="s">
        <v>2663</v>
      </c>
      <c r="G836" s="204"/>
      <c r="H836" s="4" t="s">
        <v>2276</v>
      </c>
      <c r="I836" s="4" t="s">
        <v>2276</v>
      </c>
      <c r="J836" s="4" t="s">
        <v>2276</v>
      </c>
      <c r="K836" s="4" t="s">
        <v>2276</v>
      </c>
      <c r="L836" s="204">
        <v>0</v>
      </c>
      <c r="M836" s="204" t="s">
        <v>9422</v>
      </c>
      <c r="N836" s="204"/>
    </row>
    <row r="837" spans="1:14" ht="51" customHeight="1">
      <c r="A837" s="26" t="s">
        <v>9405</v>
      </c>
      <c r="B837" s="26" t="s">
        <v>9410</v>
      </c>
      <c r="C837" s="204" t="s">
        <v>24</v>
      </c>
      <c r="D837" s="204" t="s">
        <v>1105</v>
      </c>
      <c r="E837" s="4" t="s">
        <v>396</v>
      </c>
      <c r="F837" s="4" t="s">
        <v>74</v>
      </c>
      <c r="G837" s="204"/>
      <c r="H837" s="4" t="s">
        <v>2276</v>
      </c>
      <c r="I837" s="4" t="s">
        <v>2276</v>
      </c>
      <c r="J837" s="4" t="s">
        <v>2276</v>
      </c>
      <c r="K837" s="4" t="s">
        <v>2276</v>
      </c>
      <c r="L837" s="204">
        <v>2</v>
      </c>
      <c r="M837" s="11" t="s">
        <v>9423</v>
      </c>
      <c r="N837" s="204"/>
    </row>
    <row r="838" spans="1:14" ht="50" customHeight="1">
      <c r="A838" s="26" t="s">
        <v>9405</v>
      </c>
      <c r="B838" s="26" t="s">
        <v>9411</v>
      </c>
      <c r="C838" s="4" t="s">
        <v>24</v>
      </c>
      <c r="D838" s="4" t="s">
        <v>1105</v>
      </c>
      <c r="E838" s="4" t="s">
        <v>396</v>
      </c>
      <c r="F838" s="4" t="s">
        <v>28</v>
      </c>
      <c r="G838" s="4"/>
      <c r="H838" s="4" t="s">
        <v>2276</v>
      </c>
      <c r="I838" s="4" t="s">
        <v>2276</v>
      </c>
      <c r="J838" s="4" t="s">
        <v>2276</v>
      </c>
      <c r="K838" s="4" t="s">
        <v>2276</v>
      </c>
      <c r="L838" s="4">
        <v>2</v>
      </c>
      <c r="M838" s="19" t="s">
        <v>9424</v>
      </c>
      <c r="N838" s="4"/>
    </row>
    <row r="839" spans="1:14" ht="91.5" customHeight="1">
      <c r="A839" s="11" t="s">
        <v>9426</v>
      </c>
      <c r="B839" s="11" t="s">
        <v>9438</v>
      </c>
      <c r="C839" s="4" t="s">
        <v>24</v>
      </c>
      <c r="D839" s="4" t="s">
        <v>1105</v>
      </c>
      <c r="E839" s="4" t="s">
        <v>2650</v>
      </c>
      <c r="F839" s="204" t="s">
        <v>2663</v>
      </c>
      <c r="G839" s="204"/>
      <c r="H839" s="204">
        <v>2</v>
      </c>
      <c r="I839" s="4" t="s">
        <v>9454</v>
      </c>
      <c r="J839" s="204">
        <v>2</v>
      </c>
      <c r="K839" s="4" t="s">
        <v>9454</v>
      </c>
      <c r="L839" s="4" t="s">
        <v>2276</v>
      </c>
      <c r="M839" s="4" t="s">
        <v>2276</v>
      </c>
      <c r="N839" s="204"/>
    </row>
    <row r="840" spans="1:14" ht="91.5" customHeight="1">
      <c r="A840" s="11" t="s">
        <v>9432</v>
      </c>
      <c r="B840" s="11" t="s">
        <v>9439</v>
      </c>
      <c r="C840" s="4" t="s">
        <v>24</v>
      </c>
      <c r="D840" s="4" t="s">
        <v>1105</v>
      </c>
      <c r="E840" s="4" t="s">
        <v>2650</v>
      </c>
      <c r="F840" s="204" t="s">
        <v>2663</v>
      </c>
      <c r="G840" s="204"/>
      <c r="H840" s="204">
        <v>2</v>
      </c>
      <c r="I840" s="4" t="s">
        <v>9454</v>
      </c>
      <c r="J840" s="204">
        <v>2</v>
      </c>
      <c r="K840" s="4" t="s">
        <v>9454</v>
      </c>
      <c r="L840" s="4" t="s">
        <v>2276</v>
      </c>
      <c r="M840" s="4" t="s">
        <v>2276</v>
      </c>
      <c r="N840" s="204"/>
    </row>
    <row r="841" spans="1:14" ht="91.5" customHeight="1">
      <c r="A841" s="11" t="s">
        <v>9433</v>
      </c>
      <c r="B841" s="11" t="s">
        <v>9440</v>
      </c>
      <c r="C841" s="4" t="s">
        <v>24</v>
      </c>
      <c r="D841" s="4" t="s">
        <v>1105</v>
      </c>
      <c r="E841" s="4" t="s">
        <v>2650</v>
      </c>
      <c r="F841" s="204" t="s">
        <v>2663</v>
      </c>
      <c r="G841" s="204"/>
      <c r="H841" s="204">
        <v>2</v>
      </c>
      <c r="I841" s="4" t="s">
        <v>9454</v>
      </c>
      <c r="J841" s="204">
        <v>2</v>
      </c>
      <c r="K841" s="4" t="s">
        <v>9454</v>
      </c>
      <c r="L841" s="4" t="s">
        <v>2276</v>
      </c>
      <c r="M841" s="4" t="s">
        <v>2276</v>
      </c>
      <c r="N841" s="204"/>
    </row>
    <row r="842" spans="1:14" ht="91.5" customHeight="1">
      <c r="A842" s="11" t="s">
        <v>9434</v>
      </c>
      <c r="B842" s="11" t="s">
        <v>9441</v>
      </c>
      <c r="C842" s="4" t="s">
        <v>24</v>
      </c>
      <c r="D842" s="4" t="s">
        <v>1105</v>
      </c>
      <c r="E842" s="4" t="s">
        <v>2650</v>
      </c>
      <c r="F842" s="204" t="s">
        <v>2663</v>
      </c>
      <c r="G842" s="204"/>
      <c r="H842" s="204">
        <v>2</v>
      </c>
      <c r="I842" s="4" t="s">
        <v>9454</v>
      </c>
      <c r="J842" s="204">
        <v>2</v>
      </c>
      <c r="K842" s="4" t="s">
        <v>9454</v>
      </c>
      <c r="L842" s="4" t="s">
        <v>2276</v>
      </c>
      <c r="M842" s="4" t="s">
        <v>2276</v>
      </c>
      <c r="N842" s="204"/>
    </row>
    <row r="843" spans="1:14" ht="91.5" customHeight="1">
      <c r="A843" s="11" t="s">
        <v>9431</v>
      </c>
      <c r="B843" s="11" t="s">
        <v>9442</v>
      </c>
      <c r="C843" s="4" t="s">
        <v>24</v>
      </c>
      <c r="D843" s="4" t="s">
        <v>1105</v>
      </c>
      <c r="E843" s="4" t="s">
        <v>2650</v>
      </c>
      <c r="F843" s="204" t="s">
        <v>2663</v>
      </c>
      <c r="G843" s="204"/>
      <c r="H843" s="204">
        <v>2</v>
      </c>
      <c r="I843" s="4" t="s">
        <v>9454</v>
      </c>
      <c r="J843" s="204">
        <v>2</v>
      </c>
      <c r="K843" s="4" t="s">
        <v>9454</v>
      </c>
      <c r="L843" s="4" t="s">
        <v>2276</v>
      </c>
      <c r="M843" s="4" t="s">
        <v>2276</v>
      </c>
      <c r="N843" s="204"/>
    </row>
    <row r="844" spans="1:14" ht="91.5" customHeight="1">
      <c r="A844" s="11" t="s">
        <v>9426</v>
      </c>
      <c r="B844" s="11" t="s">
        <v>9443</v>
      </c>
      <c r="C844" s="4" t="s">
        <v>24</v>
      </c>
      <c r="D844" s="4" t="s">
        <v>1105</v>
      </c>
      <c r="E844" s="4" t="s">
        <v>2651</v>
      </c>
      <c r="F844" s="204" t="s">
        <v>2663</v>
      </c>
      <c r="G844" s="204"/>
      <c r="H844" s="204">
        <v>2</v>
      </c>
      <c r="I844" s="4" t="s">
        <v>9454</v>
      </c>
      <c r="J844" s="204">
        <v>2</v>
      </c>
      <c r="K844" s="4" t="s">
        <v>9454</v>
      </c>
      <c r="L844" s="4" t="s">
        <v>2276</v>
      </c>
      <c r="M844" s="4" t="s">
        <v>2276</v>
      </c>
      <c r="N844" s="204"/>
    </row>
    <row r="845" spans="1:14" ht="91.5" customHeight="1">
      <c r="A845" s="11" t="s">
        <v>9432</v>
      </c>
      <c r="B845" s="11" t="s">
        <v>9444</v>
      </c>
      <c r="C845" s="4" t="s">
        <v>24</v>
      </c>
      <c r="D845" s="4" t="s">
        <v>1105</v>
      </c>
      <c r="E845" s="4" t="s">
        <v>2651</v>
      </c>
      <c r="F845" s="204" t="s">
        <v>2663</v>
      </c>
      <c r="G845" s="204"/>
      <c r="H845" s="204">
        <v>2</v>
      </c>
      <c r="I845" s="4" t="s">
        <v>9454</v>
      </c>
      <c r="J845" s="204">
        <v>2</v>
      </c>
      <c r="K845" s="4" t="s">
        <v>9454</v>
      </c>
      <c r="L845" s="4" t="s">
        <v>2276</v>
      </c>
      <c r="M845" s="4" t="s">
        <v>2276</v>
      </c>
      <c r="N845" s="204"/>
    </row>
    <row r="846" spans="1:14" ht="91.5" customHeight="1">
      <c r="A846" s="11" t="s">
        <v>9433</v>
      </c>
      <c r="B846" s="11" t="s">
        <v>9445</v>
      </c>
      <c r="C846" s="4" t="s">
        <v>24</v>
      </c>
      <c r="D846" s="4" t="s">
        <v>1105</v>
      </c>
      <c r="E846" s="4" t="s">
        <v>2651</v>
      </c>
      <c r="F846" s="204" t="s">
        <v>2663</v>
      </c>
      <c r="G846" s="204"/>
      <c r="H846" s="204">
        <v>2</v>
      </c>
      <c r="I846" s="4" t="s">
        <v>9454</v>
      </c>
      <c r="J846" s="204">
        <v>2</v>
      </c>
      <c r="K846" s="4" t="s">
        <v>9454</v>
      </c>
      <c r="L846" s="4" t="s">
        <v>2276</v>
      </c>
      <c r="M846" s="4" t="s">
        <v>2276</v>
      </c>
      <c r="N846" s="204"/>
    </row>
    <row r="847" spans="1:14" ht="91.5" customHeight="1">
      <c r="A847" s="11" t="s">
        <v>9434</v>
      </c>
      <c r="B847" s="11" t="s">
        <v>9446</v>
      </c>
      <c r="C847" s="4" t="s">
        <v>24</v>
      </c>
      <c r="D847" s="4" t="s">
        <v>1105</v>
      </c>
      <c r="E847" s="4" t="s">
        <v>2651</v>
      </c>
      <c r="F847" s="204" t="s">
        <v>2663</v>
      </c>
      <c r="G847" s="204"/>
      <c r="H847" s="204">
        <v>2</v>
      </c>
      <c r="I847" s="4" t="s">
        <v>9454</v>
      </c>
      <c r="J847" s="204">
        <v>2</v>
      </c>
      <c r="K847" s="4" t="s">
        <v>9454</v>
      </c>
      <c r="L847" s="4" t="s">
        <v>2276</v>
      </c>
      <c r="M847" s="4" t="s">
        <v>2276</v>
      </c>
      <c r="N847" s="204"/>
    </row>
    <row r="848" spans="1:14" ht="91.5" customHeight="1">
      <c r="A848" s="11" t="s">
        <v>9431</v>
      </c>
      <c r="B848" s="11" t="s">
        <v>9447</v>
      </c>
      <c r="C848" s="4" t="s">
        <v>24</v>
      </c>
      <c r="D848" s="4" t="s">
        <v>1105</v>
      </c>
      <c r="E848" s="4" t="s">
        <v>2651</v>
      </c>
      <c r="F848" s="204" t="s">
        <v>2663</v>
      </c>
      <c r="G848" s="204"/>
      <c r="H848" s="204">
        <v>2</v>
      </c>
      <c r="I848" s="4" t="s">
        <v>9454</v>
      </c>
      <c r="J848" s="204">
        <v>2</v>
      </c>
      <c r="K848" s="4" t="s">
        <v>9454</v>
      </c>
      <c r="L848" s="4" t="s">
        <v>2276</v>
      </c>
      <c r="M848" s="4" t="s">
        <v>2276</v>
      </c>
      <c r="N848" s="204"/>
    </row>
    <row r="849" spans="1:14" ht="91.5" customHeight="1">
      <c r="A849" s="11" t="s">
        <v>9426</v>
      </c>
      <c r="B849" s="11" t="s">
        <v>9448</v>
      </c>
      <c r="C849" s="4" t="s">
        <v>24</v>
      </c>
      <c r="D849" s="204" t="s">
        <v>3480</v>
      </c>
      <c r="E849" s="4" t="s">
        <v>116</v>
      </c>
      <c r="F849" s="204" t="s">
        <v>2276</v>
      </c>
      <c r="G849" s="204"/>
      <c r="H849" s="204">
        <v>2</v>
      </c>
      <c r="I849" s="4" t="s">
        <v>9454</v>
      </c>
      <c r="J849" s="204">
        <v>2</v>
      </c>
      <c r="K849" s="4" t="s">
        <v>9454</v>
      </c>
      <c r="L849" s="4" t="s">
        <v>2276</v>
      </c>
      <c r="M849" s="4" t="s">
        <v>2276</v>
      </c>
      <c r="N849" s="204"/>
    </row>
    <row r="850" spans="1:14" ht="91.5" customHeight="1">
      <c r="A850" s="11" t="s">
        <v>9432</v>
      </c>
      <c r="B850" s="11" t="s">
        <v>9449</v>
      </c>
      <c r="C850" s="4" t="s">
        <v>24</v>
      </c>
      <c r="D850" s="204" t="s">
        <v>3480</v>
      </c>
      <c r="E850" s="4" t="s">
        <v>116</v>
      </c>
      <c r="F850" s="204" t="s">
        <v>2276</v>
      </c>
      <c r="G850" s="204"/>
      <c r="H850" s="204">
        <v>2</v>
      </c>
      <c r="I850" s="4" t="s">
        <v>9454</v>
      </c>
      <c r="J850" s="204">
        <v>2</v>
      </c>
      <c r="K850" s="4" t="s">
        <v>9454</v>
      </c>
      <c r="L850" s="4" t="s">
        <v>2276</v>
      </c>
      <c r="M850" s="4" t="s">
        <v>2276</v>
      </c>
      <c r="N850" s="204"/>
    </row>
    <row r="851" spans="1:14" ht="91.5" customHeight="1">
      <c r="A851" s="11" t="s">
        <v>9433</v>
      </c>
      <c r="B851" s="11" t="s">
        <v>9450</v>
      </c>
      <c r="C851" s="4" t="s">
        <v>24</v>
      </c>
      <c r="D851" s="204" t="s">
        <v>3480</v>
      </c>
      <c r="E851" s="4" t="s">
        <v>116</v>
      </c>
      <c r="F851" s="204" t="s">
        <v>2276</v>
      </c>
      <c r="G851" s="204"/>
      <c r="H851" s="204">
        <v>2</v>
      </c>
      <c r="I851" s="4" t="s">
        <v>9454</v>
      </c>
      <c r="J851" s="204">
        <v>2</v>
      </c>
      <c r="K851" s="4" t="s">
        <v>9454</v>
      </c>
      <c r="L851" s="4" t="s">
        <v>2276</v>
      </c>
      <c r="M851" s="4" t="s">
        <v>2276</v>
      </c>
      <c r="N851" s="204"/>
    </row>
    <row r="852" spans="1:14" ht="91.5" customHeight="1">
      <c r="A852" s="11" t="s">
        <v>9434</v>
      </c>
      <c r="B852" s="11" t="s">
        <v>9451</v>
      </c>
      <c r="C852" s="4" t="s">
        <v>24</v>
      </c>
      <c r="D852" s="204" t="s">
        <v>3480</v>
      </c>
      <c r="E852" s="4" t="s">
        <v>116</v>
      </c>
      <c r="F852" s="204" t="s">
        <v>2276</v>
      </c>
      <c r="G852" s="204"/>
      <c r="H852" s="204">
        <v>2</v>
      </c>
      <c r="I852" s="4" t="s">
        <v>9454</v>
      </c>
      <c r="J852" s="204">
        <v>2</v>
      </c>
      <c r="K852" s="4" t="s">
        <v>9454</v>
      </c>
      <c r="L852" s="4" t="s">
        <v>2276</v>
      </c>
      <c r="M852" s="4" t="s">
        <v>2276</v>
      </c>
      <c r="N852" s="204"/>
    </row>
    <row r="853" spans="1:14" ht="91.5" customHeight="1">
      <c r="A853" s="11" t="s">
        <v>9431</v>
      </c>
      <c r="B853" s="11" t="s">
        <v>9452</v>
      </c>
      <c r="C853" s="4" t="s">
        <v>24</v>
      </c>
      <c r="D853" s="204" t="s">
        <v>3480</v>
      </c>
      <c r="E853" s="4" t="s">
        <v>116</v>
      </c>
      <c r="F853" s="204" t="s">
        <v>2276</v>
      </c>
      <c r="G853" s="204"/>
      <c r="H853" s="204">
        <v>2</v>
      </c>
      <c r="I853" s="4" t="s">
        <v>9454</v>
      </c>
      <c r="J853" s="204">
        <v>2</v>
      </c>
      <c r="K853" s="4" t="s">
        <v>9454</v>
      </c>
      <c r="L853" s="4" t="s">
        <v>2276</v>
      </c>
      <c r="M853" s="4" t="s">
        <v>2276</v>
      </c>
      <c r="N853" s="204"/>
    </row>
    <row r="854" spans="1:14" ht="91.5" customHeight="1">
      <c r="A854" s="11" t="s">
        <v>9426</v>
      </c>
      <c r="B854" s="11" t="s">
        <v>9455</v>
      </c>
      <c r="C854" s="4" t="s">
        <v>24</v>
      </c>
      <c r="D854" s="204" t="s">
        <v>1245</v>
      </c>
      <c r="E854" s="4" t="s">
        <v>116</v>
      </c>
      <c r="F854" s="204" t="s">
        <v>2276</v>
      </c>
      <c r="G854" s="204"/>
      <c r="H854" s="204">
        <v>2</v>
      </c>
      <c r="I854" s="4" t="s">
        <v>9454</v>
      </c>
      <c r="J854" s="204">
        <v>2</v>
      </c>
      <c r="K854" s="4" t="s">
        <v>9454</v>
      </c>
      <c r="L854" s="4" t="s">
        <v>2276</v>
      </c>
      <c r="M854" s="4" t="s">
        <v>2276</v>
      </c>
      <c r="N854" s="204"/>
    </row>
    <row r="855" spans="1:14" ht="91.5" customHeight="1">
      <c r="A855" s="11" t="s">
        <v>9432</v>
      </c>
      <c r="B855" s="11" t="s">
        <v>9456</v>
      </c>
      <c r="C855" s="4" t="s">
        <v>24</v>
      </c>
      <c r="D855" s="204" t="s">
        <v>1245</v>
      </c>
      <c r="E855" s="4" t="s">
        <v>116</v>
      </c>
      <c r="F855" s="204" t="s">
        <v>2276</v>
      </c>
      <c r="G855" s="204"/>
      <c r="H855" s="204">
        <v>2</v>
      </c>
      <c r="I855" s="4" t="s">
        <v>9454</v>
      </c>
      <c r="J855" s="204">
        <v>2</v>
      </c>
      <c r="K855" s="4" t="s">
        <v>9454</v>
      </c>
      <c r="L855" s="4" t="s">
        <v>2276</v>
      </c>
      <c r="M855" s="4" t="s">
        <v>2276</v>
      </c>
      <c r="N855" s="204"/>
    </row>
    <row r="856" spans="1:14" ht="91.5" customHeight="1">
      <c r="A856" s="11" t="s">
        <v>9433</v>
      </c>
      <c r="B856" s="11" t="s">
        <v>9457</v>
      </c>
      <c r="C856" s="4" t="s">
        <v>24</v>
      </c>
      <c r="D856" s="204" t="s">
        <v>1245</v>
      </c>
      <c r="E856" s="4" t="s">
        <v>116</v>
      </c>
      <c r="F856" s="204" t="s">
        <v>2276</v>
      </c>
      <c r="G856" s="204"/>
      <c r="H856" s="204">
        <v>2</v>
      </c>
      <c r="I856" s="4" t="s">
        <v>9454</v>
      </c>
      <c r="J856" s="204">
        <v>2</v>
      </c>
      <c r="K856" s="4" t="s">
        <v>9454</v>
      </c>
      <c r="L856" s="4" t="s">
        <v>2276</v>
      </c>
      <c r="M856" s="4" t="s">
        <v>2276</v>
      </c>
      <c r="N856" s="204"/>
    </row>
    <row r="857" spans="1:14" ht="91.5" customHeight="1">
      <c r="A857" s="11" t="s">
        <v>9434</v>
      </c>
      <c r="B857" s="11" t="s">
        <v>9458</v>
      </c>
      <c r="C857" s="4" t="s">
        <v>24</v>
      </c>
      <c r="D857" s="204" t="s">
        <v>1245</v>
      </c>
      <c r="E857" s="4" t="s">
        <v>116</v>
      </c>
      <c r="F857" s="204" t="s">
        <v>2276</v>
      </c>
      <c r="G857" s="204"/>
      <c r="H857" s="204">
        <v>2</v>
      </c>
      <c r="I857" s="4" t="s">
        <v>9454</v>
      </c>
      <c r="J857" s="204">
        <v>2</v>
      </c>
      <c r="K857" s="4" t="s">
        <v>9454</v>
      </c>
      <c r="L857" s="4" t="s">
        <v>2276</v>
      </c>
      <c r="M857" s="4" t="s">
        <v>2276</v>
      </c>
      <c r="N857" s="204"/>
    </row>
    <row r="858" spans="1:14" ht="93.5" customHeight="1">
      <c r="A858" s="11" t="s">
        <v>9431</v>
      </c>
      <c r="B858" s="11" t="s">
        <v>9459</v>
      </c>
      <c r="C858" s="4" t="s">
        <v>24</v>
      </c>
      <c r="D858" s="204" t="s">
        <v>1245</v>
      </c>
      <c r="E858" s="4" t="s">
        <v>116</v>
      </c>
      <c r="F858" s="204" t="s">
        <v>2276</v>
      </c>
      <c r="G858" s="204"/>
      <c r="H858" s="204">
        <v>2</v>
      </c>
      <c r="I858" s="4" t="s">
        <v>9454</v>
      </c>
      <c r="J858" s="204">
        <v>2</v>
      </c>
      <c r="K858" s="4" t="s">
        <v>9454</v>
      </c>
      <c r="L858" s="4" t="s">
        <v>2276</v>
      </c>
      <c r="M858" s="4" t="s">
        <v>2276</v>
      </c>
      <c r="N858" s="204"/>
    </row>
    <row r="859" spans="1:14" ht="93.5" customHeight="1">
      <c r="A859" s="11" t="s">
        <v>9426</v>
      </c>
      <c r="B859" s="11" t="s">
        <v>9460</v>
      </c>
      <c r="C859" s="4" t="s">
        <v>24</v>
      </c>
      <c r="D859" s="204" t="s">
        <v>27</v>
      </c>
      <c r="E859" s="4" t="s">
        <v>130</v>
      </c>
      <c r="F859" s="204" t="s">
        <v>160</v>
      </c>
      <c r="G859" s="204"/>
      <c r="H859" s="204">
        <v>2</v>
      </c>
      <c r="I859" s="4" t="s">
        <v>9454</v>
      </c>
      <c r="J859" s="204">
        <v>2</v>
      </c>
      <c r="K859" s="4" t="s">
        <v>9454</v>
      </c>
      <c r="L859" s="4" t="s">
        <v>2276</v>
      </c>
      <c r="M859" s="4" t="s">
        <v>2276</v>
      </c>
      <c r="N859" s="204"/>
    </row>
    <row r="860" spans="1:14" ht="93.5" customHeight="1">
      <c r="A860" s="11" t="s">
        <v>9432</v>
      </c>
      <c r="B860" s="11" t="s">
        <v>9461</v>
      </c>
      <c r="C860" s="4" t="s">
        <v>24</v>
      </c>
      <c r="D860" s="204" t="s">
        <v>27</v>
      </c>
      <c r="E860" s="4" t="s">
        <v>130</v>
      </c>
      <c r="F860" s="204" t="s">
        <v>160</v>
      </c>
      <c r="G860" s="204"/>
      <c r="H860" s="204">
        <v>2</v>
      </c>
      <c r="I860" s="4" t="s">
        <v>9454</v>
      </c>
      <c r="J860" s="204">
        <v>2</v>
      </c>
      <c r="K860" s="4" t="s">
        <v>9454</v>
      </c>
      <c r="L860" s="4" t="s">
        <v>2276</v>
      </c>
      <c r="M860" s="4" t="s">
        <v>2276</v>
      </c>
      <c r="N860" s="204"/>
    </row>
    <row r="861" spans="1:14" ht="93.5" customHeight="1">
      <c r="A861" s="11" t="s">
        <v>9433</v>
      </c>
      <c r="B861" s="11" t="s">
        <v>9462</v>
      </c>
      <c r="C861" s="4" t="s">
        <v>24</v>
      </c>
      <c r="D861" s="204" t="s">
        <v>27</v>
      </c>
      <c r="E861" s="4" t="s">
        <v>130</v>
      </c>
      <c r="F861" s="204" t="s">
        <v>160</v>
      </c>
      <c r="G861" s="204"/>
      <c r="H861" s="204">
        <v>2</v>
      </c>
      <c r="I861" s="4" t="s">
        <v>9454</v>
      </c>
      <c r="J861" s="204">
        <v>2</v>
      </c>
      <c r="K861" s="4" t="s">
        <v>9454</v>
      </c>
      <c r="L861" s="4" t="s">
        <v>2276</v>
      </c>
      <c r="M861" s="4" t="s">
        <v>2276</v>
      </c>
      <c r="N861" s="204"/>
    </row>
    <row r="862" spans="1:14" ht="93.5" customHeight="1">
      <c r="A862" s="11" t="s">
        <v>9434</v>
      </c>
      <c r="B862" s="11" t="s">
        <v>9463</v>
      </c>
      <c r="C862" s="4" t="s">
        <v>24</v>
      </c>
      <c r="D862" s="204" t="s">
        <v>27</v>
      </c>
      <c r="E862" s="4" t="s">
        <v>130</v>
      </c>
      <c r="F862" s="204" t="s">
        <v>160</v>
      </c>
      <c r="G862" s="204"/>
      <c r="H862" s="204">
        <v>2</v>
      </c>
      <c r="I862" s="4" t="s">
        <v>9454</v>
      </c>
      <c r="J862" s="204">
        <v>2</v>
      </c>
      <c r="K862" s="4" t="s">
        <v>9454</v>
      </c>
      <c r="L862" s="4" t="s">
        <v>2276</v>
      </c>
      <c r="M862" s="4" t="s">
        <v>2276</v>
      </c>
      <c r="N862" s="204"/>
    </row>
    <row r="863" spans="1:14" ht="93.5" customHeight="1">
      <c r="A863" s="11" t="s">
        <v>9431</v>
      </c>
      <c r="B863" s="11" t="s">
        <v>9464</v>
      </c>
      <c r="C863" s="4" t="s">
        <v>24</v>
      </c>
      <c r="D863" s="204" t="s">
        <v>27</v>
      </c>
      <c r="E863" s="4" t="s">
        <v>130</v>
      </c>
      <c r="F863" s="204" t="s">
        <v>160</v>
      </c>
      <c r="G863" s="204"/>
      <c r="H863" s="204">
        <v>2</v>
      </c>
      <c r="I863" s="4" t="s">
        <v>9454</v>
      </c>
      <c r="J863" s="204">
        <v>2</v>
      </c>
      <c r="K863" s="4" t="s">
        <v>9454</v>
      </c>
      <c r="L863" s="4" t="s">
        <v>2276</v>
      </c>
      <c r="M863" s="4" t="s">
        <v>2276</v>
      </c>
      <c r="N863" s="204"/>
    </row>
    <row r="864" spans="1:14" ht="67" customHeight="1">
      <c r="A864" s="11" t="s">
        <v>9487</v>
      </c>
      <c r="B864" s="11" t="s">
        <v>9489</v>
      </c>
      <c r="C864" s="204" t="s">
        <v>24</v>
      </c>
      <c r="D864" s="204" t="s">
        <v>1242</v>
      </c>
      <c r="E864" s="204" t="s">
        <v>2649</v>
      </c>
      <c r="F864" s="6" t="s">
        <v>55</v>
      </c>
      <c r="G864" s="204"/>
      <c r="H864" s="4" t="s">
        <v>2276</v>
      </c>
      <c r="I864" s="4" t="s">
        <v>2276</v>
      </c>
      <c r="J864" s="204">
        <v>1</v>
      </c>
      <c r="K864" s="4" t="s">
        <v>9490</v>
      </c>
      <c r="L864" s="4" t="s">
        <v>2276</v>
      </c>
      <c r="M864" s="4" t="s">
        <v>2276</v>
      </c>
      <c r="N864" s="204"/>
    </row>
    <row r="865" spans="1:14" ht="54.5" customHeight="1">
      <c r="A865" s="11" t="s">
        <v>9517</v>
      </c>
      <c r="B865" s="11" t="s">
        <v>9520</v>
      </c>
      <c r="C865" s="204" t="s">
        <v>24</v>
      </c>
      <c r="D865" s="204" t="s">
        <v>61</v>
      </c>
      <c r="E865" s="204" t="s">
        <v>2649</v>
      </c>
      <c r="F865" s="4" t="s">
        <v>2663</v>
      </c>
      <c r="G865" s="4"/>
      <c r="H865" s="4">
        <v>1</v>
      </c>
      <c r="I865" s="4" t="s">
        <v>9530</v>
      </c>
      <c r="J865" s="4">
        <v>1</v>
      </c>
      <c r="K865" s="4" t="s">
        <v>9529</v>
      </c>
      <c r="L865" s="4" t="s">
        <v>2276</v>
      </c>
      <c r="M865" s="4" t="s">
        <v>2276</v>
      </c>
      <c r="N865" s="4"/>
    </row>
    <row r="866" spans="1:14" ht="53" customHeight="1">
      <c r="A866" s="11" t="s">
        <v>9532</v>
      </c>
      <c r="B866" s="11" t="s">
        <v>9534</v>
      </c>
      <c r="C866" s="204" t="s">
        <v>1105</v>
      </c>
      <c r="D866" s="204" t="s">
        <v>1105</v>
      </c>
      <c r="E866" s="204" t="s">
        <v>84</v>
      </c>
      <c r="F866" s="204" t="s">
        <v>74</v>
      </c>
      <c r="G866" s="204"/>
      <c r="H866" s="4" t="s">
        <v>2276</v>
      </c>
      <c r="I866" s="4" t="s">
        <v>2276</v>
      </c>
      <c r="J866" s="204">
        <v>0</v>
      </c>
      <c r="K866" s="4" t="s">
        <v>9547</v>
      </c>
      <c r="L866" s="4" t="s">
        <v>2276</v>
      </c>
      <c r="M866" s="4" t="s">
        <v>2276</v>
      </c>
      <c r="N866" s="204"/>
    </row>
    <row r="867" spans="1:14" ht="68" customHeight="1">
      <c r="A867" s="11" t="s">
        <v>9532</v>
      </c>
      <c r="B867" s="11" t="s">
        <v>9535</v>
      </c>
      <c r="C867" s="204" t="s">
        <v>1105</v>
      </c>
      <c r="D867" s="204" t="s">
        <v>1105</v>
      </c>
      <c r="E867" s="204" t="s">
        <v>2649</v>
      </c>
      <c r="F867" s="204" t="s">
        <v>74</v>
      </c>
      <c r="G867" s="204"/>
      <c r="H867" s="4" t="s">
        <v>2276</v>
      </c>
      <c r="I867" s="4" t="s">
        <v>2276</v>
      </c>
      <c r="J867" s="204">
        <v>0</v>
      </c>
      <c r="K867" s="4" t="s">
        <v>9546</v>
      </c>
      <c r="L867" s="4" t="s">
        <v>2276</v>
      </c>
      <c r="M867" s="4" t="s">
        <v>2276</v>
      </c>
      <c r="N867" s="204"/>
    </row>
    <row r="868" spans="1:14" ht="66" customHeight="1">
      <c r="A868" s="11" t="s">
        <v>9549</v>
      </c>
      <c r="B868" s="11" t="s">
        <v>9559</v>
      </c>
      <c r="C868" s="204" t="s">
        <v>1105</v>
      </c>
      <c r="D868" s="204" t="s">
        <v>1105</v>
      </c>
      <c r="E868" s="4" t="s">
        <v>130</v>
      </c>
      <c r="F868" s="204" t="s">
        <v>160</v>
      </c>
      <c r="G868" s="204"/>
      <c r="H868" s="4" t="s">
        <v>2276</v>
      </c>
      <c r="I868" s="4" t="s">
        <v>2276</v>
      </c>
      <c r="J868" s="204">
        <v>0</v>
      </c>
      <c r="K868" s="4" t="s">
        <v>9593</v>
      </c>
      <c r="L868" s="4" t="s">
        <v>2276</v>
      </c>
      <c r="M868" s="4" t="s">
        <v>2276</v>
      </c>
      <c r="N868" s="204"/>
    </row>
    <row r="869" spans="1:14" ht="66" customHeight="1">
      <c r="A869" s="11" t="s">
        <v>9553</v>
      </c>
      <c r="B869" s="11" t="s">
        <v>9560</v>
      </c>
      <c r="C869" s="204" t="s">
        <v>1105</v>
      </c>
      <c r="D869" s="204" t="s">
        <v>1105</v>
      </c>
      <c r="E869" s="4" t="s">
        <v>130</v>
      </c>
      <c r="F869" s="204" t="s">
        <v>160</v>
      </c>
      <c r="G869" s="204"/>
      <c r="H869" s="4" t="s">
        <v>2276</v>
      </c>
      <c r="I869" s="4" t="s">
        <v>2276</v>
      </c>
      <c r="J869" s="204">
        <v>0</v>
      </c>
      <c r="K869" s="4" t="s">
        <v>9593</v>
      </c>
      <c r="L869" s="4" t="s">
        <v>2276</v>
      </c>
      <c r="M869" s="4" t="s">
        <v>2276</v>
      </c>
      <c r="N869" s="204"/>
    </row>
    <row r="870" spans="1:14" ht="66" customHeight="1">
      <c r="A870" s="11" t="s">
        <v>9554</v>
      </c>
      <c r="B870" s="11" t="s">
        <v>9561</v>
      </c>
      <c r="C870" s="204" t="s">
        <v>1105</v>
      </c>
      <c r="D870" s="204" t="s">
        <v>1105</v>
      </c>
      <c r="E870" s="4" t="s">
        <v>130</v>
      </c>
      <c r="F870" s="204" t="s">
        <v>160</v>
      </c>
      <c r="G870" s="204"/>
      <c r="H870" s="4" t="s">
        <v>2276</v>
      </c>
      <c r="I870" s="4" t="s">
        <v>2276</v>
      </c>
      <c r="J870" s="204">
        <v>0</v>
      </c>
      <c r="K870" s="4" t="s">
        <v>9593</v>
      </c>
      <c r="L870" s="4" t="s">
        <v>2276</v>
      </c>
      <c r="M870" s="4" t="s">
        <v>2276</v>
      </c>
      <c r="N870" s="204"/>
    </row>
    <row r="871" spans="1:14" ht="66" customHeight="1">
      <c r="A871" s="11" t="s">
        <v>9555</v>
      </c>
      <c r="B871" s="11" t="s">
        <v>9562</v>
      </c>
      <c r="C871" s="204" t="s">
        <v>1105</v>
      </c>
      <c r="D871" s="204" t="s">
        <v>1105</v>
      </c>
      <c r="E871" s="4" t="s">
        <v>130</v>
      </c>
      <c r="F871" s="204" t="s">
        <v>160</v>
      </c>
      <c r="G871" s="204"/>
      <c r="H871" s="4" t="s">
        <v>2276</v>
      </c>
      <c r="I871" s="4" t="s">
        <v>2276</v>
      </c>
      <c r="J871" s="204">
        <v>0</v>
      </c>
      <c r="K871" s="4" t="s">
        <v>9593</v>
      </c>
      <c r="L871" s="4" t="s">
        <v>2276</v>
      </c>
      <c r="M871" s="4" t="s">
        <v>2276</v>
      </c>
      <c r="N871" s="204"/>
    </row>
    <row r="872" spans="1:14" ht="66" customHeight="1">
      <c r="A872" s="11" t="s">
        <v>9556</v>
      </c>
      <c r="B872" s="11" t="s">
        <v>9563</v>
      </c>
      <c r="C872" s="204" t="s">
        <v>1105</v>
      </c>
      <c r="D872" s="204" t="s">
        <v>1105</v>
      </c>
      <c r="E872" s="4" t="s">
        <v>130</v>
      </c>
      <c r="F872" s="204" t="s">
        <v>160</v>
      </c>
      <c r="G872" s="204"/>
      <c r="H872" s="4" t="s">
        <v>2276</v>
      </c>
      <c r="I872" s="4" t="s">
        <v>2276</v>
      </c>
      <c r="J872" s="204">
        <v>0</v>
      </c>
      <c r="K872" s="4" t="s">
        <v>9593</v>
      </c>
      <c r="L872" s="4" t="s">
        <v>2276</v>
      </c>
      <c r="M872" s="4" t="s">
        <v>2276</v>
      </c>
      <c r="N872" s="204"/>
    </row>
    <row r="873" spans="1:14" ht="49" customHeight="1">
      <c r="A873" s="11" t="s">
        <v>9557</v>
      </c>
      <c r="B873" s="11" t="s">
        <v>9564</v>
      </c>
      <c r="C873" s="204" t="s">
        <v>1105</v>
      </c>
      <c r="D873" s="204" t="s">
        <v>1105</v>
      </c>
      <c r="E873" s="204" t="s">
        <v>863</v>
      </c>
      <c r="F873" s="204" t="s">
        <v>74</v>
      </c>
      <c r="G873" s="204"/>
      <c r="H873" s="4" t="s">
        <v>2276</v>
      </c>
      <c r="I873" s="4" t="s">
        <v>2276</v>
      </c>
      <c r="J873" s="204">
        <v>0</v>
      </c>
      <c r="K873" s="204" t="s">
        <v>9572</v>
      </c>
      <c r="L873" s="4" t="s">
        <v>2276</v>
      </c>
      <c r="M873" s="4" t="s">
        <v>2276</v>
      </c>
      <c r="N873" s="204"/>
    </row>
    <row r="874" spans="1:14" ht="46.5" customHeight="1">
      <c r="A874" s="11" t="s">
        <v>9599</v>
      </c>
      <c r="B874" s="11" t="s">
        <v>9601</v>
      </c>
      <c r="C874" s="204" t="s">
        <v>24</v>
      </c>
      <c r="D874" s="204" t="s">
        <v>2276</v>
      </c>
      <c r="E874" s="4" t="s">
        <v>130</v>
      </c>
      <c r="F874" s="204" t="s">
        <v>74</v>
      </c>
      <c r="G874" s="204"/>
      <c r="H874" s="204">
        <v>0</v>
      </c>
      <c r="I874" s="19" t="s">
        <v>9602</v>
      </c>
      <c r="J874" s="4" t="s">
        <v>2276</v>
      </c>
      <c r="K874" s="4" t="s">
        <v>2276</v>
      </c>
      <c r="L874" s="4" t="s">
        <v>2276</v>
      </c>
      <c r="M874" s="4" t="s">
        <v>2276</v>
      </c>
      <c r="N874" s="204"/>
    </row>
    <row r="875" spans="1:14" ht="57" customHeight="1">
      <c r="A875" s="11" t="s">
        <v>9621</v>
      </c>
      <c r="B875" s="11" t="s">
        <v>9622</v>
      </c>
      <c r="C875" s="204" t="s">
        <v>24</v>
      </c>
      <c r="D875" s="204" t="s">
        <v>2276</v>
      </c>
      <c r="E875" s="4" t="s">
        <v>396</v>
      </c>
      <c r="F875" s="204" t="s">
        <v>74</v>
      </c>
      <c r="G875" s="204"/>
      <c r="H875" s="204">
        <v>0</v>
      </c>
      <c r="I875" s="19" t="s">
        <v>9623</v>
      </c>
      <c r="J875" s="204">
        <v>0</v>
      </c>
      <c r="K875" s="19" t="s">
        <v>9623</v>
      </c>
      <c r="L875" s="204">
        <v>0</v>
      </c>
      <c r="M875" s="19" t="s">
        <v>9623</v>
      </c>
      <c r="N875" s="204"/>
    </row>
    <row r="876" spans="1:14" ht="51" customHeight="1">
      <c r="A876" s="11" t="s">
        <v>9659</v>
      </c>
      <c r="B876" s="11" t="s">
        <v>9664</v>
      </c>
      <c r="C876" s="204" t="s">
        <v>24</v>
      </c>
      <c r="D876" s="204" t="s">
        <v>2276</v>
      </c>
      <c r="E876" s="4" t="s">
        <v>2649</v>
      </c>
      <c r="F876" s="204" t="s">
        <v>74</v>
      </c>
      <c r="G876" s="204"/>
      <c r="H876" s="4" t="s">
        <v>2276</v>
      </c>
      <c r="I876" s="4" t="s">
        <v>2276</v>
      </c>
      <c r="J876" s="204">
        <v>0</v>
      </c>
      <c r="K876" s="19" t="s">
        <v>9670</v>
      </c>
      <c r="L876" s="4" t="s">
        <v>2276</v>
      </c>
      <c r="M876" s="4" t="s">
        <v>2276</v>
      </c>
      <c r="N876" s="204"/>
    </row>
    <row r="877" spans="1:14" ht="51" customHeight="1">
      <c r="A877" s="11" t="s">
        <v>9731</v>
      </c>
      <c r="B877" s="11" t="s">
        <v>9733</v>
      </c>
      <c r="C877" s="204" t="s">
        <v>1105</v>
      </c>
      <c r="D877" s="204" t="s">
        <v>1105</v>
      </c>
      <c r="E877" s="4" t="s">
        <v>863</v>
      </c>
      <c r="F877" s="204" t="s">
        <v>74</v>
      </c>
      <c r="G877" s="204"/>
      <c r="H877" s="4" t="s">
        <v>2276</v>
      </c>
      <c r="I877" s="4" t="s">
        <v>2276</v>
      </c>
      <c r="J877" s="204">
        <v>0</v>
      </c>
      <c r="K877" s="204" t="s">
        <v>9736</v>
      </c>
      <c r="L877" s="4" t="s">
        <v>2276</v>
      </c>
      <c r="M877" s="4" t="s">
        <v>2276</v>
      </c>
      <c r="N877" s="204"/>
    </row>
    <row r="878" spans="1:14" ht="42.5" customHeight="1">
      <c r="A878" s="19" t="s">
        <v>9854</v>
      </c>
      <c r="B878" s="19" t="s">
        <v>9857</v>
      </c>
      <c r="C878" s="4" t="s">
        <v>24</v>
      </c>
      <c r="D878" s="4" t="s">
        <v>1242</v>
      </c>
      <c r="E878" s="4" t="s">
        <v>116</v>
      </c>
      <c r="F878" s="4" t="s">
        <v>2662</v>
      </c>
      <c r="G878" s="204"/>
      <c r="H878" s="204">
        <v>1</v>
      </c>
      <c r="I878" s="19" t="s">
        <v>9867</v>
      </c>
      <c r="J878" s="204">
        <v>2</v>
      </c>
      <c r="K878" s="19" t="s">
        <v>8164</v>
      </c>
      <c r="L878" s="4" t="s">
        <v>2276</v>
      </c>
      <c r="M878" s="4" t="s">
        <v>2276</v>
      </c>
      <c r="N878" s="204"/>
    </row>
    <row r="879" spans="1:14" ht="42.5" customHeight="1">
      <c r="A879" s="19" t="s">
        <v>9854</v>
      </c>
      <c r="B879" s="19" t="s">
        <v>9858</v>
      </c>
      <c r="C879" s="4" t="s">
        <v>24</v>
      </c>
      <c r="D879" s="4" t="s">
        <v>1245</v>
      </c>
      <c r="E879" s="4" t="s">
        <v>116</v>
      </c>
      <c r="F879" s="4" t="s">
        <v>2662</v>
      </c>
      <c r="G879" s="204"/>
      <c r="H879" s="204">
        <v>1</v>
      </c>
      <c r="I879" s="19" t="s">
        <v>9867</v>
      </c>
      <c r="J879" s="204">
        <v>2</v>
      </c>
      <c r="K879" s="19" t="s">
        <v>8164</v>
      </c>
      <c r="L879" s="4" t="s">
        <v>2276</v>
      </c>
      <c r="M879" s="4" t="s">
        <v>2276</v>
      </c>
      <c r="N879" s="204"/>
    </row>
    <row r="880" spans="1:14" ht="42.5" customHeight="1">
      <c r="A880" s="19" t="s">
        <v>9854</v>
      </c>
      <c r="B880" s="19" t="s">
        <v>9859</v>
      </c>
      <c r="C880" s="204" t="s">
        <v>24</v>
      </c>
      <c r="D880" s="204" t="s">
        <v>4162</v>
      </c>
      <c r="E880" s="204" t="s">
        <v>863</v>
      </c>
      <c r="F880" s="4" t="s">
        <v>2662</v>
      </c>
      <c r="G880" s="204"/>
      <c r="H880" s="204">
        <v>0</v>
      </c>
      <c r="I880" s="19" t="s">
        <v>9868</v>
      </c>
      <c r="J880" s="4" t="s">
        <v>2276</v>
      </c>
      <c r="K880" s="4" t="s">
        <v>2276</v>
      </c>
      <c r="L880" s="4" t="s">
        <v>2276</v>
      </c>
      <c r="M880" s="4" t="s">
        <v>2276</v>
      </c>
      <c r="N880" s="204"/>
    </row>
    <row r="881" spans="1:14" ht="51.5" customHeight="1">
      <c r="A881" s="19" t="s">
        <v>9854</v>
      </c>
      <c r="B881" s="19" t="s">
        <v>9860</v>
      </c>
      <c r="C881" s="204" t="s">
        <v>2458</v>
      </c>
      <c r="D881" s="204" t="s">
        <v>1105</v>
      </c>
      <c r="E881" s="4" t="s">
        <v>396</v>
      </c>
      <c r="F881" s="204" t="s">
        <v>28</v>
      </c>
      <c r="G881" s="204"/>
      <c r="H881" s="4" t="s">
        <v>2276</v>
      </c>
      <c r="I881" s="4" t="s">
        <v>2276</v>
      </c>
      <c r="J881" s="204">
        <v>1</v>
      </c>
      <c r="K881" s="19" t="s">
        <v>9869</v>
      </c>
      <c r="L881" s="204">
        <v>2</v>
      </c>
      <c r="M881" s="19" t="s">
        <v>9870</v>
      </c>
      <c r="N881" s="204"/>
    </row>
    <row r="882" spans="1:14" ht="38" customHeight="1">
      <c r="A882" s="19" t="s">
        <v>9882</v>
      </c>
      <c r="B882" s="19" t="s">
        <v>9885</v>
      </c>
      <c r="C882" s="204" t="s">
        <v>1105</v>
      </c>
      <c r="D882" s="204" t="s">
        <v>1105</v>
      </c>
      <c r="E882" s="4" t="s">
        <v>2649</v>
      </c>
      <c r="F882" s="204" t="s">
        <v>2663</v>
      </c>
      <c r="G882" s="204"/>
      <c r="H882" s="4" t="s">
        <v>2276</v>
      </c>
      <c r="I882" s="4" t="s">
        <v>2276</v>
      </c>
      <c r="J882" s="204">
        <v>0</v>
      </c>
      <c r="K882" s="19" t="s">
        <v>9887</v>
      </c>
      <c r="L882" s="4" t="s">
        <v>2276</v>
      </c>
      <c r="M882" s="4" t="s">
        <v>2276</v>
      </c>
      <c r="N882" s="204"/>
    </row>
    <row r="883" spans="1:14" ht="30" customHeight="1"/>
  </sheetData>
  <autoFilter ref="A1:A703" xr:uid="{D51B2D5E-D687-4BEF-AD8D-C0C0A4AF7AEF}"/>
  <phoneticPr fontId="6" type="noConversion"/>
  <dataValidations xWindow="72" yWindow="863" count="9">
    <dataValidation allowBlank="1" showInputMessage="1" showErrorMessage="1" prompt="The same as Case study ID in Record Info" sqref="B57:B62 A1:A202 B227:B228 A225:A231 B238:B239 B251:B255 B268:B279 A234:A286 A302:A304 F307:G308 G309:G311 B307:C308 B315:B322 A307:A322 B333:B334 B337:B348 B355:B357 A511:A514 A417:A465 B373:B376 B383:B384 A331:A399 G581 A542:A586 D711:D717 C711:C718 E711:F718 B747:B752 B756:B759 B768:B771 B777:B785 B789:B790 B792:B794 B796:B804 B807:B820 A704:A820 A832:A838 A864:A867 B878:B881 A874: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1:B583 B704:B718 B724:B746 B753:B755 B760:B767 B772:B776 B786:B788 B791 B795 B805:B806 B832:B838 B865:B867 B874:B877 B882:B1048576" xr:uid="{6A6EF5BA-79F7-4B26-8190-9E5956E67713}"/>
    <dataValidation type="whole" allowBlank="1" showInputMessage="1" showErrorMessage="1" prompt="Blank if refers to all study years" sqref="G55:G88 G106:G246 G1:G43 G251:G304 G312:G500 G505:G580 G582: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37:B703 B584:B586 B501:B510 B719:B723 B864"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87:B636 A515:A541 B498:B500 A466:B496 A587:A703 A497:A507 A821:B831 A839:B863 A868:B873"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1:G502 G504" xr:uid="{2CCE6A99-02B7-46C3-9C1F-DBE23BEB1FEE}">
      <formula1>1900</formula1>
      <formula2>2020</formula2>
    </dataValidation>
    <dataValidation allowBlank="1" showInputMessage="1" showErrorMessage="1" prompt="The same as Case study ID in Record Info_x000a_" sqref="A508:A510 A400 A403"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2" yWindow="863" count="16">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D554 D551:D552 C551:C559 C561:D563 C565:D565 C567:D567 C569:D569 C571:D571 C573:D576 C578:D579 C503:D503 C587:C710 D728:D729 C719:C759 C764:C766 C768 D792:D795 E809 D814:D815 D832:D834 C772:C863 C865:C881 C883:C1048576</xm:sqref>
        </x14:dataValidation>
        <x14:dataValidation type="list" allowBlank="1" showInputMessage="1" showErrorMessage="1" xr:uid="{AAF9C4C1-09FE-4569-A9E5-AD024FF08D29}">
          <x14:formula1>
            <xm:f>'IGNORE Lookups'!$G$3:$G$10</xm:f>
          </x14:formula1>
          <xm:sqref>F1:F53 F56:F301 F305:F306 F309:F312 F323:F324 F415:F500 H554:I554 F392 F396 F394 F398:F404 F408 F410:F412 F389 F331:F376 D555:D556 H637:I703 G503 F551:F710 F719:F1048576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L551:L553 H551:H553 K555:M555 K556 I558 I560:I581 K582:K586 H555:H636 J503 J521 K704:K709 M556:M730 I710:I729 K730 I741:I743 K732:K739 I732:I734 M735:M744 K745:K746 M747:M759 K756:K759 I746:I751 I762:I763 I767 K762:K766 I769:I771 M764:M768 K768 K772:K783 I774:I776 M772:M773 I784:I785 M777:M778 I779:I781 M782:M784 M786:M795 I788:I790 K796 M800:M832 I792:I805 I807:I813 I817:I819 K833 I821:I838 K835:K838 I864 M839:M874 I866:I873 K874 I876:J876 I877 J551:J875 M876:M880 K880 J877:J1048576 H704:H1048576 I881:I882 L556:L1048576 M882</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C581:C586 C864</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D553 D557:D560 C560 C564:D564 C566:D566 C568:D568 C570:D570 C572:D572 C577:D577 C580:D580 D544:D547 D504:D507 D522 D526 D581:D710 D718:D727 C760:C763 C767 C769:C771 D730:D791 D796:D813 D816:D831 D835:D1048576 C882</xm:sqref>
        </x14:dataValidation>
        <x14:dataValidation type="list" allowBlank="1" showInputMessage="1" showErrorMessage="1" xr:uid="{9FD56368-611F-424A-BF9F-CC9F55131B81}">
          <x14:formula1>
            <xm:f>'IGNORE Lookups'!$C$23:$C$45</xm:f>
          </x14:formula1>
          <xm:sqref>E415:E500 E1:E376 E378 E380 E382 E384 E386 E410:E412 E388:E408 E503 E551:E710 E719:E808 E810:E1048576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E508:F508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 E501:E502 L501:M503 M504:M505 F504:F505 F509:F510 H501:I510 H515 H519 H517 H521:H523 H525:H527 H529 H531 H533:H534 H536 H538 H540:H541 H543:H548 H550 J546:J547 J541:J542 J534:J539 J526:J532 J522:J524 J515:J520 J504:J510 L508:L510 L516 L518 L520:L521 L524:L525 L528 L530 L532:L533 L537 L535 L539:L540 L542:L543 L549:L550</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E509:E550 C506 C515:C543 E504:E507 C548:D550 L554 C504 D527:D543 J511:J514 F511:F550 H549 C501:C502 D516:D521 D523:D525 J525 F506:F507 H511:H514 H518 H516 H520 H524 H528 H530 H532 H535 H537 H539 H542 J548:J550 J543:J545 J540 J533 L506:L507 L511:L515 L517 L519 L522:L523 L526:L527 L529 L531 L536 L534 L538 L541 L544:L548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C545 C547</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C505 C507</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D501:D502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L504:L505 F501:F503 J501:J502 K504</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C508:C514 D508:D515</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E509:E510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877"/>
  <sheetViews>
    <sheetView zoomScale="55" zoomScaleNormal="55" workbookViewId="0">
      <pane ySplit="1" topLeftCell="A872" activePane="bottomLeft" state="frozen"/>
      <selection pane="bottomLeft" activeCell="J877" sqref="J877"/>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52.5"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ht="52.5" customHeight="1">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52.5" customHeight="1">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ht="52.5" customHeight="1">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52.5" customHeight="1">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ht="52.5" customHeight="1">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52.5" customHeight="1">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ht="52.5" customHeight="1">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52.5" customHeight="1">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2" t="s">
        <v>5370</v>
      </c>
      <c r="B556" s="152" t="s">
        <v>5374</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5576</v>
      </c>
    </row>
    <row r="574" spans="1:23" ht="32" customHeight="1">
      <c r="A574" s="35" t="s">
        <v>5548</v>
      </c>
      <c r="B574" s="35" t="s">
        <v>5558</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3" customFormat="1" ht="41.5" customHeight="1">
      <c r="A636" s="204" t="s">
        <v>6639</v>
      </c>
      <c r="B636" s="204" t="s">
        <v>6646</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6656</v>
      </c>
    </row>
    <row r="637" spans="1:23" s="203" customFormat="1" ht="41.5" customHeight="1">
      <c r="A637" s="204" t="s">
        <v>6639</v>
      </c>
      <c r="B637" s="204" t="s">
        <v>6647</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6656</v>
      </c>
    </row>
    <row r="638" spans="1:23" s="203" customFormat="1" ht="41.5" customHeight="1">
      <c r="A638" s="204" t="s">
        <v>6640</v>
      </c>
      <c r="B638" s="204" t="s">
        <v>6648</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6656</v>
      </c>
    </row>
    <row r="639" spans="1:23" s="203" customFormat="1" ht="41.5" customHeight="1">
      <c r="A639" s="204" t="s">
        <v>6640</v>
      </c>
      <c r="B639" s="204" t="s">
        <v>6649</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6656</v>
      </c>
    </row>
    <row r="640" spans="1:23" s="203" customFormat="1" ht="41.5" customHeight="1">
      <c r="A640" s="204" t="s">
        <v>6641</v>
      </c>
      <c r="B640" s="204" t="s">
        <v>6650</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6656</v>
      </c>
    </row>
    <row r="641" spans="1:23" s="203" customFormat="1" ht="41.5" customHeight="1">
      <c r="A641" s="204" t="s">
        <v>6641</v>
      </c>
      <c r="B641" s="204" t="s">
        <v>6651</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6656</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6786</v>
      </c>
    </row>
    <row r="644" spans="1:23" ht="50.5" customHeight="1">
      <c r="A644" s="4" t="s">
        <v>6168</v>
      </c>
      <c r="B644" s="4" t="s">
        <v>6224</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6786</v>
      </c>
    </row>
    <row r="645" spans="1:23" ht="49" customHeight="1">
      <c r="A645" s="4" t="s">
        <v>6168</v>
      </c>
      <c r="B645" s="4" t="s">
        <v>6225</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6787</v>
      </c>
    </row>
    <row r="646" spans="1:23" s="203" customFormat="1" ht="49" customHeight="1">
      <c r="A646" s="4" t="s">
        <v>6169</v>
      </c>
      <c r="B646" s="4" t="s">
        <v>6229</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6786</v>
      </c>
    </row>
    <row r="647" spans="1:23" s="203" customFormat="1" ht="49" customHeight="1">
      <c r="A647" s="4" t="s">
        <v>6169</v>
      </c>
      <c r="B647" s="4" t="s">
        <v>6715</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6786</v>
      </c>
    </row>
    <row r="648" spans="1:23" s="203" customFormat="1" ht="49" customHeight="1">
      <c r="A648" s="4" t="s">
        <v>6169</v>
      </c>
      <c r="B648" s="4" t="s">
        <v>6716</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6787</v>
      </c>
    </row>
    <row r="649" spans="1:23" s="203" customFormat="1" ht="49" customHeight="1">
      <c r="A649" s="4" t="s">
        <v>6170</v>
      </c>
      <c r="B649" s="4" t="s">
        <v>6230</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6786</v>
      </c>
    </row>
    <row r="650" spans="1:23" s="203" customFormat="1" ht="49" customHeight="1">
      <c r="A650" s="4" t="s">
        <v>6170</v>
      </c>
      <c r="B650" s="4" t="s">
        <v>6721</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6786</v>
      </c>
    </row>
    <row r="651" spans="1:23" s="203" customFormat="1" ht="49" customHeight="1">
      <c r="A651" s="4" t="s">
        <v>6170</v>
      </c>
      <c r="B651" s="4" t="s">
        <v>6722</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6787</v>
      </c>
    </row>
    <row r="652" spans="1:23" s="203" customFormat="1" ht="49" customHeight="1">
      <c r="A652" s="4" t="s">
        <v>6171</v>
      </c>
      <c r="B652" s="4" t="s">
        <v>6231</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6786</v>
      </c>
    </row>
    <row r="653" spans="1:23" s="203" customFormat="1" ht="49" customHeight="1">
      <c r="A653" s="4" t="s">
        <v>6171</v>
      </c>
      <c r="B653" s="4" t="s">
        <v>6727</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6786</v>
      </c>
    </row>
    <row r="654" spans="1:23" s="203" customFormat="1" ht="49" customHeight="1">
      <c r="A654" s="4" t="s">
        <v>6171</v>
      </c>
      <c r="B654" s="4" t="s">
        <v>6728</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6787</v>
      </c>
    </row>
    <row r="655" spans="1:23" s="203" customFormat="1" ht="49" customHeight="1">
      <c r="A655" s="4" t="s">
        <v>6172</v>
      </c>
      <c r="B655" s="4" t="s">
        <v>6232</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6786</v>
      </c>
    </row>
    <row r="656" spans="1:23" s="203" customFormat="1" ht="49" customHeight="1">
      <c r="A656" s="4" t="s">
        <v>6172</v>
      </c>
      <c r="B656" s="4" t="s">
        <v>6733</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6786</v>
      </c>
    </row>
    <row r="657" spans="1:23" s="203" customFormat="1" ht="49" customHeight="1">
      <c r="A657" s="4" t="s">
        <v>6172</v>
      </c>
      <c r="B657" s="4" t="s">
        <v>6734</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6787</v>
      </c>
    </row>
    <row r="658" spans="1:23" s="203" customFormat="1" ht="49" customHeight="1">
      <c r="A658" s="4" t="s">
        <v>6173</v>
      </c>
      <c r="B658" s="4" t="s">
        <v>6233</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6786</v>
      </c>
    </row>
    <row r="659" spans="1:23" s="203" customFormat="1" ht="49" customHeight="1">
      <c r="A659" s="4" t="s">
        <v>6173</v>
      </c>
      <c r="B659" s="4" t="s">
        <v>6739</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6786</v>
      </c>
    </row>
    <row r="660" spans="1:23" s="203" customFormat="1" ht="49" customHeight="1">
      <c r="A660" s="4" t="s">
        <v>6173</v>
      </c>
      <c r="B660" s="4" t="s">
        <v>6740</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6787</v>
      </c>
    </row>
    <row r="661" spans="1:23" s="203" customFormat="1" ht="49" customHeight="1">
      <c r="A661" s="4" t="s">
        <v>6174</v>
      </c>
      <c r="B661" s="4" t="s">
        <v>6234</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6786</v>
      </c>
    </row>
    <row r="662" spans="1:23" s="203" customFormat="1" ht="49" customHeight="1">
      <c r="A662" s="4" t="s">
        <v>6174</v>
      </c>
      <c r="B662" s="4" t="s">
        <v>6745</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6786</v>
      </c>
    </row>
    <row r="663" spans="1:23" s="203" customFormat="1" ht="49" customHeight="1">
      <c r="A663" s="4" t="s">
        <v>6174</v>
      </c>
      <c r="B663" s="4" t="s">
        <v>6746</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6787</v>
      </c>
    </row>
    <row r="664" spans="1:23" s="203" customFormat="1" ht="49" customHeight="1">
      <c r="A664" s="4" t="s">
        <v>6175</v>
      </c>
      <c r="B664" s="4" t="s">
        <v>6235</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6786</v>
      </c>
    </row>
    <row r="665" spans="1:23" s="203" customFormat="1" ht="49" customHeight="1">
      <c r="A665" s="4" t="s">
        <v>6175</v>
      </c>
      <c r="B665" s="4" t="s">
        <v>6751</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6786</v>
      </c>
    </row>
    <row r="666" spans="1:23" s="203" customFormat="1" ht="49" customHeight="1">
      <c r="A666" s="4" t="s">
        <v>6175</v>
      </c>
      <c r="B666" s="4" t="s">
        <v>6752</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6787</v>
      </c>
    </row>
    <row r="667" spans="1:23" s="203" customFormat="1" ht="49" customHeight="1">
      <c r="A667" s="4" t="s">
        <v>6176</v>
      </c>
      <c r="B667" s="4" t="s">
        <v>6236</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6786</v>
      </c>
    </row>
    <row r="668" spans="1:23" s="203" customFormat="1" ht="49" customHeight="1">
      <c r="A668" s="4" t="s">
        <v>6176</v>
      </c>
      <c r="B668" s="4" t="s">
        <v>6757</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6786</v>
      </c>
    </row>
    <row r="669" spans="1:23" s="203" customFormat="1" ht="49" customHeight="1">
      <c r="A669" s="4" t="s">
        <v>6176</v>
      </c>
      <c r="B669" s="4" t="s">
        <v>6758</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6787</v>
      </c>
    </row>
    <row r="670" spans="1:23" s="203" customFormat="1" ht="49" customHeight="1">
      <c r="A670" s="4" t="s">
        <v>6177</v>
      </c>
      <c r="B670" s="4" t="s">
        <v>6237</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6786</v>
      </c>
    </row>
    <row r="671" spans="1:23" s="203" customFormat="1" ht="49" customHeight="1">
      <c r="A671" s="4" t="s">
        <v>6177</v>
      </c>
      <c r="B671" s="4" t="s">
        <v>6763</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6786</v>
      </c>
    </row>
    <row r="672" spans="1:23" s="203" customFormat="1" ht="49" customHeight="1">
      <c r="A672" s="4" t="s">
        <v>6177</v>
      </c>
      <c r="B672" s="4" t="s">
        <v>6764</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6787</v>
      </c>
    </row>
    <row r="673" spans="1:23" s="203" customFormat="1" ht="49" customHeight="1">
      <c r="A673" s="4" t="s">
        <v>6178</v>
      </c>
      <c r="B673" s="4" t="s">
        <v>6238</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6786</v>
      </c>
    </row>
    <row r="674" spans="1:23" s="203" customFormat="1" ht="49" customHeight="1">
      <c r="A674" s="4" t="s">
        <v>6178</v>
      </c>
      <c r="B674" s="4" t="s">
        <v>6769</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6786</v>
      </c>
    </row>
    <row r="675" spans="1:23" s="203" customFormat="1" ht="49" customHeight="1">
      <c r="A675" s="4" t="s">
        <v>6178</v>
      </c>
      <c r="B675" s="4" t="s">
        <v>6770</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6787</v>
      </c>
    </row>
    <row r="676" spans="1:23" s="203" customFormat="1" ht="49" customHeight="1">
      <c r="A676" s="4" t="s">
        <v>6179</v>
      </c>
      <c r="B676" s="4" t="s">
        <v>6239</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6786</v>
      </c>
    </row>
    <row r="677" spans="1:23" s="203" customFormat="1" ht="49" customHeight="1">
      <c r="A677" s="4" t="s">
        <v>6179</v>
      </c>
      <c r="B677" s="4" t="s">
        <v>6775</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6786</v>
      </c>
    </row>
    <row r="678" spans="1:23" s="203" customFormat="1" ht="49" customHeight="1">
      <c r="A678" s="4" t="s">
        <v>6179</v>
      </c>
      <c r="B678" s="4" t="s">
        <v>6776</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6787</v>
      </c>
    </row>
    <row r="679" spans="1:23" ht="29">
      <c r="A679" s="19" t="s">
        <v>6364</v>
      </c>
      <c r="B679" s="19" t="s">
        <v>6459</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7048</v>
      </c>
    </row>
    <row r="680" spans="1:23" ht="29">
      <c r="A680" s="4" t="s">
        <v>6339</v>
      </c>
      <c r="B680" s="4" t="s">
        <v>6618</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6533</v>
      </c>
    </row>
    <row r="681" spans="1:23" ht="29">
      <c r="A681" s="4" t="s">
        <v>6339</v>
      </c>
      <c r="B681" s="4" t="s">
        <v>6619</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6533</v>
      </c>
    </row>
    <row r="682" spans="1:23" ht="29">
      <c r="A682" s="4" t="s">
        <v>6339</v>
      </c>
      <c r="B682" s="4" t="s">
        <v>6620</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6533</v>
      </c>
    </row>
    <row r="683" spans="1:23" ht="29">
      <c r="A683" s="4" t="s">
        <v>6339</v>
      </c>
      <c r="B683" s="4" t="s">
        <v>6621</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6533</v>
      </c>
    </row>
    <row r="684" spans="1:23" ht="29">
      <c r="A684" s="4" t="s">
        <v>6339</v>
      </c>
      <c r="B684" s="4" t="s">
        <v>6622</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6533</v>
      </c>
    </row>
    <row r="685" spans="1:23" ht="58">
      <c r="A685" s="4" t="s">
        <v>6340</v>
      </c>
      <c r="B685" s="4" t="s">
        <v>6501</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8398</v>
      </c>
    </row>
    <row r="686" spans="1:23" ht="87">
      <c r="A686" s="4" t="s">
        <v>6340</v>
      </c>
      <c r="B686" s="4" t="s">
        <v>6502</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8399</v>
      </c>
    </row>
    <row r="687" spans="1:23" ht="72.5">
      <c r="A687" s="4" t="s">
        <v>6340</v>
      </c>
      <c r="B687" s="4" t="s">
        <v>6503</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8400</v>
      </c>
    </row>
    <row r="688" spans="1:23" ht="58">
      <c r="A688" s="4" t="s">
        <v>6504</v>
      </c>
      <c r="B688" s="4" t="s">
        <v>6505</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8398</v>
      </c>
    </row>
    <row r="689" spans="1:23" ht="87">
      <c r="A689" s="4" t="s">
        <v>6504</v>
      </c>
      <c r="B689" s="4" t="s">
        <v>6506</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8399</v>
      </c>
    </row>
    <row r="690" spans="1:23" ht="72.5">
      <c r="A690" s="4" t="s">
        <v>6504</v>
      </c>
      <c r="B690" s="4" t="s">
        <v>6507</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8400</v>
      </c>
    </row>
    <row r="691" spans="1:23" ht="58">
      <c r="A691" s="4" t="s">
        <v>6341</v>
      </c>
      <c r="B691" s="4" t="s">
        <v>6508</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8398</v>
      </c>
    </row>
    <row r="692" spans="1:23" ht="87">
      <c r="A692" s="4" t="s">
        <v>6341</v>
      </c>
      <c r="B692" s="4" t="s">
        <v>6509</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8399</v>
      </c>
    </row>
    <row r="693" spans="1:23" ht="72.5">
      <c r="A693" s="4" t="s">
        <v>6341</v>
      </c>
      <c r="B693" s="4" t="s">
        <v>6510</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8400</v>
      </c>
    </row>
    <row r="694" spans="1:23" ht="58">
      <c r="A694" s="4" t="s">
        <v>6623</v>
      </c>
      <c r="B694" s="4" t="s">
        <v>6624</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8398</v>
      </c>
    </row>
    <row r="695" spans="1:23" ht="87">
      <c r="A695" s="4" t="s">
        <v>6623</v>
      </c>
      <c r="B695" s="4" t="s">
        <v>6625</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8399</v>
      </c>
    </row>
    <row r="696" spans="1:23" ht="72.5">
      <c r="A696" s="4" t="s">
        <v>6623</v>
      </c>
      <c r="B696" s="4" t="s">
        <v>6626</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8400</v>
      </c>
    </row>
    <row r="697" spans="1:23" ht="58">
      <c r="A697" s="4" t="s">
        <v>6343</v>
      </c>
      <c r="B697" s="4" t="s">
        <v>6514</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8398</v>
      </c>
    </row>
    <row r="698" spans="1:23" ht="87">
      <c r="A698" s="4" t="s">
        <v>6343</v>
      </c>
      <c r="B698" s="4" t="s">
        <v>6515</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8399</v>
      </c>
    </row>
    <row r="699" spans="1:23" ht="72.5">
      <c r="A699" s="4" t="s">
        <v>6343</v>
      </c>
      <c r="B699" s="4" t="s">
        <v>6516</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8400</v>
      </c>
    </row>
    <row r="700" spans="1:23" ht="58">
      <c r="A700" s="4" t="s">
        <v>6344</v>
      </c>
      <c r="B700" s="4" t="s">
        <v>6517</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8398</v>
      </c>
    </row>
    <row r="701" spans="1:23" ht="87">
      <c r="A701" s="4" t="s">
        <v>6344</v>
      </c>
      <c r="B701" s="4" t="s">
        <v>6518</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8399</v>
      </c>
    </row>
    <row r="702" spans="1:23" ht="72.5">
      <c r="A702" s="4" t="s">
        <v>6344</v>
      </c>
      <c r="B702" s="4" t="s">
        <v>6519</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8400</v>
      </c>
    </row>
    <row r="703" spans="1:23" ht="72.5">
      <c r="A703" s="4" t="s">
        <v>6352</v>
      </c>
      <c r="B703" s="4" t="s">
        <v>6531</v>
      </c>
      <c r="C703" s="4" t="s">
        <v>24</v>
      </c>
      <c r="D703" s="4" t="s">
        <v>1105</v>
      </c>
      <c r="E703" s="4" t="s">
        <v>1105</v>
      </c>
      <c r="F703" s="4" t="s">
        <v>28</v>
      </c>
      <c r="G703" s="4">
        <v>2014</v>
      </c>
      <c r="H703" s="4" t="s">
        <v>541</v>
      </c>
      <c r="I703" s="4" t="s">
        <v>2276</v>
      </c>
      <c r="J703" s="4" t="s">
        <v>2276</v>
      </c>
      <c r="K703" s="4" t="s">
        <v>2276</v>
      </c>
      <c r="L703" s="4" t="s">
        <v>2276</v>
      </c>
      <c r="M703" s="4" t="s">
        <v>2728</v>
      </c>
      <c r="N703" s="4" t="s">
        <v>2276</v>
      </c>
      <c r="O703" s="4" t="s">
        <v>534</v>
      </c>
      <c r="P703" s="4" t="s">
        <v>2276</v>
      </c>
      <c r="Q703" s="4">
        <v>2</v>
      </c>
      <c r="R703" s="4" t="s">
        <v>2276</v>
      </c>
      <c r="S703" s="4" t="s">
        <v>2276</v>
      </c>
      <c r="T703" s="4" t="s">
        <v>2276</v>
      </c>
      <c r="U703" s="4" t="s">
        <v>2276</v>
      </c>
      <c r="V703" s="4" t="s">
        <v>2276</v>
      </c>
      <c r="W703" s="4" t="s">
        <v>8412</v>
      </c>
    </row>
    <row r="704" spans="1:23" ht="72.5">
      <c r="A704" s="4" t="s">
        <v>6352</v>
      </c>
      <c r="B704" s="4" t="s">
        <v>6532</v>
      </c>
      <c r="C704" s="4" t="s">
        <v>24</v>
      </c>
      <c r="D704" s="4" t="s">
        <v>1105</v>
      </c>
      <c r="E704" s="4" t="s">
        <v>1105</v>
      </c>
      <c r="F704" s="4" t="s">
        <v>74</v>
      </c>
      <c r="G704" s="4">
        <v>2014</v>
      </c>
      <c r="H704" s="4" t="s">
        <v>541</v>
      </c>
      <c r="I704" s="4" t="s">
        <v>2276</v>
      </c>
      <c r="J704" s="4" t="s">
        <v>2276</v>
      </c>
      <c r="K704" s="4" t="s">
        <v>2276</v>
      </c>
      <c r="L704" s="4" t="s">
        <v>2276</v>
      </c>
      <c r="M704" s="4" t="s">
        <v>2728</v>
      </c>
      <c r="N704" s="4" t="s">
        <v>2276</v>
      </c>
      <c r="O704" s="4" t="s">
        <v>534</v>
      </c>
      <c r="P704" s="4" t="s">
        <v>2276</v>
      </c>
      <c r="Q704" s="4">
        <v>2</v>
      </c>
      <c r="R704" s="4" t="s">
        <v>2276</v>
      </c>
      <c r="S704" s="4" t="s">
        <v>2276</v>
      </c>
      <c r="T704" s="4" t="s">
        <v>2276</v>
      </c>
      <c r="U704" s="4" t="s">
        <v>2276</v>
      </c>
      <c r="V704" s="4" t="s">
        <v>2276</v>
      </c>
      <c r="W704" s="4" t="s">
        <v>8412</v>
      </c>
    </row>
    <row r="705" spans="1:23" ht="57" customHeight="1">
      <c r="A705" s="4" t="s">
        <v>6401</v>
      </c>
      <c r="B705" s="4" t="s">
        <v>6544</v>
      </c>
      <c r="C705" s="4" t="s">
        <v>24</v>
      </c>
      <c r="D705" s="4" t="s">
        <v>1242</v>
      </c>
      <c r="E705" s="4"/>
      <c r="F705" s="4" t="s">
        <v>74</v>
      </c>
      <c r="G705" s="4"/>
      <c r="H705" s="4" t="s">
        <v>2673</v>
      </c>
      <c r="I705" s="4" t="s">
        <v>2276</v>
      </c>
      <c r="J705" s="4" t="s">
        <v>2276</v>
      </c>
      <c r="K705" s="4" t="s">
        <v>2276</v>
      </c>
      <c r="L705" s="4" t="s">
        <v>2276</v>
      </c>
      <c r="M705" s="4" t="s">
        <v>537</v>
      </c>
      <c r="N705" s="4" t="s">
        <v>2276</v>
      </c>
      <c r="O705" s="4" t="s">
        <v>2276</v>
      </c>
      <c r="P705" s="4" t="s">
        <v>2276</v>
      </c>
      <c r="Q705" s="4" t="s">
        <v>2276</v>
      </c>
      <c r="R705" s="4" t="s">
        <v>537</v>
      </c>
      <c r="S705" s="4" t="s">
        <v>2276</v>
      </c>
      <c r="T705" s="4" t="s">
        <v>2276</v>
      </c>
      <c r="U705" s="4" t="s">
        <v>2276</v>
      </c>
      <c r="V705" s="4" t="s">
        <v>2276</v>
      </c>
      <c r="W705" s="4"/>
    </row>
    <row r="706" spans="1:23" ht="57" customHeight="1">
      <c r="A706" s="4" t="s">
        <v>6402</v>
      </c>
      <c r="B706" s="4" t="s">
        <v>6546</v>
      </c>
      <c r="C706" s="4" t="s">
        <v>24</v>
      </c>
      <c r="D706" s="4" t="s">
        <v>1242</v>
      </c>
      <c r="E706" s="4"/>
      <c r="F706" s="4" t="s">
        <v>74</v>
      </c>
      <c r="G706" s="4"/>
      <c r="H706" s="4" t="s">
        <v>2673</v>
      </c>
      <c r="I706" s="4" t="s">
        <v>2276</v>
      </c>
      <c r="J706" s="4" t="s">
        <v>2276</v>
      </c>
      <c r="K706" s="4" t="s">
        <v>2276</v>
      </c>
      <c r="L706" s="4" t="s">
        <v>2276</v>
      </c>
      <c r="M706" s="4" t="s">
        <v>2728</v>
      </c>
      <c r="N706" s="4" t="s">
        <v>2276</v>
      </c>
      <c r="O706" s="4" t="s">
        <v>2276</v>
      </c>
      <c r="P706" s="4" t="s">
        <v>534</v>
      </c>
      <c r="Q706" s="4" t="s">
        <v>2276</v>
      </c>
      <c r="R706" s="4" t="s">
        <v>537</v>
      </c>
      <c r="S706" s="4" t="s">
        <v>2276</v>
      </c>
      <c r="T706" s="4" t="s">
        <v>2276</v>
      </c>
      <c r="U706" s="4" t="s">
        <v>2276</v>
      </c>
      <c r="V706" s="4" t="s">
        <v>2276</v>
      </c>
      <c r="W706" s="4" t="s">
        <v>7863</v>
      </c>
    </row>
    <row r="707" spans="1:23" ht="57" customHeight="1">
      <c r="A707" s="4" t="s">
        <v>6403</v>
      </c>
      <c r="B707" s="4" t="s">
        <v>6548</v>
      </c>
      <c r="C707" s="4" t="s">
        <v>6627</v>
      </c>
      <c r="D707" s="4" t="s">
        <v>2276</v>
      </c>
      <c r="E707" s="204" t="s">
        <v>2653</v>
      </c>
      <c r="F707" s="4"/>
      <c r="G707" s="4"/>
      <c r="H707" s="58" t="s">
        <v>2276</v>
      </c>
      <c r="I707" s="4" t="s">
        <v>2276</v>
      </c>
      <c r="J707" s="4" t="s">
        <v>2276</v>
      </c>
      <c r="K707" s="4" t="s">
        <v>2276</v>
      </c>
      <c r="L707" s="4" t="s">
        <v>2276</v>
      </c>
      <c r="M707" s="4" t="s">
        <v>2671</v>
      </c>
      <c r="N707" s="4" t="s">
        <v>2276</v>
      </c>
      <c r="O707" s="4" t="s">
        <v>2276</v>
      </c>
      <c r="P707" s="4" t="s">
        <v>2276</v>
      </c>
      <c r="Q707" s="4" t="s">
        <v>2276</v>
      </c>
      <c r="R707" s="4" t="s">
        <v>534</v>
      </c>
      <c r="S707" s="4" t="s">
        <v>2276</v>
      </c>
      <c r="T707" s="4" t="s">
        <v>2276</v>
      </c>
      <c r="U707" s="4" t="s">
        <v>2276</v>
      </c>
      <c r="V707" s="4" t="s">
        <v>2276</v>
      </c>
      <c r="W707" s="4"/>
    </row>
    <row r="708" spans="1:23" ht="57" customHeight="1">
      <c r="A708" s="4" t="s">
        <v>6403</v>
      </c>
      <c r="B708" s="4" t="s">
        <v>6549</v>
      </c>
      <c r="C708" s="4" t="s">
        <v>2656</v>
      </c>
      <c r="D708" s="4" t="s">
        <v>2276</v>
      </c>
      <c r="E708" s="204" t="s">
        <v>2653</v>
      </c>
      <c r="F708" s="4"/>
      <c r="G708" s="4"/>
      <c r="H708" s="58" t="s">
        <v>2276</v>
      </c>
      <c r="I708" s="4" t="s">
        <v>2276</v>
      </c>
      <c r="J708" s="4" t="s">
        <v>2276</v>
      </c>
      <c r="K708" s="4" t="s">
        <v>2276</v>
      </c>
      <c r="L708" s="4" t="s">
        <v>2276</v>
      </c>
      <c r="M708" s="4" t="s">
        <v>2671</v>
      </c>
      <c r="N708" s="4" t="s">
        <v>2276</v>
      </c>
      <c r="O708" s="4" t="s">
        <v>2276</v>
      </c>
      <c r="P708" s="4" t="s">
        <v>2276</v>
      </c>
      <c r="Q708" s="4" t="s">
        <v>2276</v>
      </c>
      <c r="R708" s="4" t="s">
        <v>534</v>
      </c>
      <c r="S708" s="4" t="s">
        <v>2276</v>
      </c>
      <c r="T708" s="4" t="s">
        <v>2276</v>
      </c>
      <c r="U708" s="4" t="s">
        <v>2276</v>
      </c>
      <c r="V708" s="4" t="s">
        <v>2276</v>
      </c>
      <c r="W708" s="4"/>
    </row>
    <row r="709" spans="1:23" ht="57" customHeight="1">
      <c r="A709" s="4" t="s">
        <v>6403</v>
      </c>
      <c r="B709" s="4" t="s">
        <v>6634</v>
      </c>
      <c r="C709" s="4" t="s">
        <v>6627</v>
      </c>
      <c r="D709" s="4" t="s">
        <v>2658</v>
      </c>
      <c r="E709" s="4" t="s">
        <v>2649</v>
      </c>
      <c r="F709" s="4" t="s">
        <v>74</v>
      </c>
      <c r="G709" s="4"/>
      <c r="H709" s="58" t="s">
        <v>2276</v>
      </c>
      <c r="I709" s="4" t="s">
        <v>2276</v>
      </c>
      <c r="J709" s="4" t="s">
        <v>2276</v>
      </c>
      <c r="K709" s="4" t="s">
        <v>2276</v>
      </c>
      <c r="L709" s="4" t="s">
        <v>2276</v>
      </c>
      <c r="M709" s="4" t="s">
        <v>2671</v>
      </c>
      <c r="N709" s="4" t="s">
        <v>2276</v>
      </c>
      <c r="O709" s="4" t="s">
        <v>2276</v>
      </c>
      <c r="P709" s="4" t="s">
        <v>2276</v>
      </c>
      <c r="Q709" s="4" t="s">
        <v>2276</v>
      </c>
      <c r="R709" s="4" t="s">
        <v>2276</v>
      </c>
      <c r="S709" s="4" t="s">
        <v>2276</v>
      </c>
      <c r="T709" s="4" t="s">
        <v>2276</v>
      </c>
      <c r="U709" s="4" t="s">
        <v>2276</v>
      </c>
      <c r="V709" s="4" t="s">
        <v>2276</v>
      </c>
      <c r="W709" s="4" t="s">
        <v>6628</v>
      </c>
    </row>
    <row r="710" spans="1:23" ht="57" customHeight="1">
      <c r="A710" s="4" t="s">
        <v>6403</v>
      </c>
      <c r="B710" s="4" t="s">
        <v>6635</v>
      </c>
      <c r="C710" s="4" t="s">
        <v>2656</v>
      </c>
      <c r="D710" s="4" t="s">
        <v>2276</v>
      </c>
      <c r="E710" s="4" t="s">
        <v>2649</v>
      </c>
      <c r="F710" s="4" t="s">
        <v>74</v>
      </c>
      <c r="G710" s="4"/>
      <c r="H710" s="58" t="s">
        <v>2276</v>
      </c>
      <c r="I710" s="4" t="s">
        <v>2276</v>
      </c>
      <c r="J710" s="4" t="s">
        <v>2276</v>
      </c>
      <c r="K710" s="4" t="s">
        <v>2276</v>
      </c>
      <c r="L710" s="4" t="s">
        <v>2276</v>
      </c>
      <c r="M710" s="4" t="s">
        <v>2671</v>
      </c>
      <c r="N710" s="4" t="s">
        <v>2276</v>
      </c>
      <c r="O710" s="4" t="s">
        <v>2276</v>
      </c>
      <c r="P710" s="4" t="s">
        <v>2276</v>
      </c>
      <c r="Q710" s="4" t="s">
        <v>2276</v>
      </c>
      <c r="R710" s="4" t="s">
        <v>2276</v>
      </c>
      <c r="S710" s="4" t="s">
        <v>2276</v>
      </c>
      <c r="T710" s="4" t="s">
        <v>2276</v>
      </c>
      <c r="U710" s="4" t="s">
        <v>2276</v>
      </c>
      <c r="V710" s="4" t="s">
        <v>2276</v>
      </c>
      <c r="W710" s="4" t="s">
        <v>6628</v>
      </c>
    </row>
    <row r="711" spans="1:23" ht="57" customHeight="1">
      <c r="A711" s="4" t="s">
        <v>6405</v>
      </c>
      <c r="B711" s="4" t="s">
        <v>6596</v>
      </c>
      <c r="C711" s="4" t="s">
        <v>1105</v>
      </c>
      <c r="D711" s="4" t="s">
        <v>2276</v>
      </c>
      <c r="E711" s="4" t="s">
        <v>137</v>
      </c>
      <c r="F711" s="4" t="s">
        <v>74</v>
      </c>
      <c r="G711" s="4"/>
      <c r="H711" s="58" t="s">
        <v>2276</v>
      </c>
      <c r="I711" s="4" t="s">
        <v>2276</v>
      </c>
      <c r="J711" s="4" t="s">
        <v>2276</v>
      </c>
      <c r="K711" s="4" t="s">
        <v>2276</v>
      </c>
      <c r="L711" s="4" t="s">
        <v>2276</v>
      </c>
      <c r="M711" s="4" t="s">
        <v>2728</v>
      </c>
      <c r="N711" s="4" t="s">
        <v>2276</v>
      </c>
      <c r="O711" s="4" t="s">
        <v>2276</v>
      </c>
      <c r="P711" s="4" t="s">
        <v>2276</v>
      </c>
      <c r="Q711" s="4" t="s">
        <v>2276</v>
      </c>
      <c r="R711" s="4" t="s">
        <v>2276</v>
      </c>
      <c r="S711" s="4" t="s">
        <v>2276</v>
      </c>
      <c r="T711" s="4" t="s">
        <v>2276</v>
      </c>
      <c r="U711" s="4" t="s">
        <v>2276</v>
      </c>
      <c r="V711" s="4" t="s">
        <v>2276</v>
      </c>
      <c r="W711" s="4" t="s">
        <v>6629</v>
      </c>
    </row>
    <row r="712" spans="1:23" ht="57" customHeight="1">
      <c r="A712" s="4" t="s">
        <v>6406</v>
      </c>
      <c r="B712" s="4" t="s">
        <v>6636</v>
      </c>
      <c r="C712" s="4" t="s">
        <v>1105</v>
      </c>
      <c r="D712" s="4" t="s">
        <v>2276</v>
      </c>
      <c r="E712" s="4" t="s">
        <v>2649</v>
      </c>
      <c r="F712" s="4" t="s">
        <v>74</v>
      </c>
      <c r="G712" s="4"/>
      <c r="H712" s="58" t="s">
        <v>2276</v>
      </c>
      <c r="I712" s="4" t="s">
        <v>2276</v>
      </c>
      <c r="J712" s="4" t="s">
        <v>2276</v>
      </c>
      <c r="K712" s="4" t="s">
        <v>2276</v>
      </c>
      <c r="L712" s="4" t="s">
        <v>2276</v>
      </c>
      <c r="M712" s="4" t="s">
        <v>2728</v>
      </c>
      <c r="N712" s="4" t="s">
        <v>2276</v>
      </c>
      <c r="O712" s="4" t="s">
        <v>2276</v>
      </c>
      <c r="P712" s="4" t="s">
        <v>2276</v>
      </c>
      <c r="Q712" s="4" t="s">
        <v>2276</v>
      </c>
      <c r="R712" s="4" t="s">
        <v>2276</v>
      </c>
      <c r="S712" s="4" t="s">
        <v>2276</v>
      </c>
      <c r="T712" s="4" t="s">
        <v>2276</v>
      </c>
      <c r="U712" s="4" t="s">
        <v>2276</v>
      </c>
      <c r="V712" s="4" t="s">
        <v>2276</v>
      </c>
      <c r="W712" s="4" t="s">
        <v>6629</v>
      </c>
    </row>
    <row r="713" spans="1:23" ht="57" customHeight="1">
      <c r="A713" s="4" t="s">
        <v>6407</v>
      </c>
      <c r="B713" s="4" t="s">
        <v>6637</v>
      </c>
      <c r="C713" s="4" t="s">
        <v>1105</v>
      </c>
      <c r="D713" s="4" t="s">
        <v>2276</v>
      </c>
      <c r="E713" s="4" t="s">
        <v>2649</v>
      </c>
      <c r="F713" s="4" t="s">
        <v>74</v>
      </c>
      <c r="G713" s="4"/>
      <c r="H713" s="58" t="s">
        <v>2276</v>
      </c>
      <c r="I713" s="4" t="s">
        <v>2276</v>
      </c>
      <c r="J713" s="4" t="s">
        <v>2276</v>
      </c>
      <c r="K713" s="4" t="s">
        <v>2276</v>
      </c>
      <c r="L713" s="4" t="s">
        <v>2276</v>
      </c>
      <c r="M713" s="4" t="s">
        <v>2728</v>
      </c>
      <c r="N713" s="4" t="s">
        <v>2276</v>
      </c>
      <c r="O713" s="4" t="s">
        <v>2276</v>
      </c>
      <c r="P713" s="4" t="s">
        <v>2276</v>
      </c>
      <c r="Q713" s="4" t="s">
        <v>2276</v>
      </c>
      <c r="R713" s="4" t="s">
        <v>2276</v>
      </c>
      <c r="S713" s="4" t="s">
        <v>2276</v>
      </c>
      <c r="T713" s="4" t="s">
        <v>2276</v>
      </c>
      <c r="U713" s="4" t="s">
        <v>2276</v>
      </c>
      <c r="V713" s="4" t="s">
        <v>2276</v>
      </c>
      <c r="W713" s="4" t="s">
        <v>6629</v>
      </c>
    </row>
    <row r="714" spans="1:23" ht="57" customHeight="1">
      <c r="A714" s="4" t="s">
        <v>6412</v>
      </c>
      <c r="B714" s="4" t="s">
        <v>6560</v>
      </c>
      <c r="C714" s="4" t="s">
        <v>1105</v>
      </c>
      <c r="D714" s="4" t="s">
        <v>2276</v>
      </c>
      <c r="E714" s="4" t="s">
        <v>2649</v>
      </c>
      <c r="F714" s="4" t="s">
        <v>74</v>
      </c>
      <c r="G714" s="4"/>
      <c r="H714" s="4" t="s">
        <v>541</v>
      </c>
      <c r="I714" s="4" t="s">
        <v>2276</v>
      </c>
      <c r="J714" s="4" t="s">
        <v>2276</v>
      </c>
      <c r="K714" s="4" t="s">
        <v>2276</v>
      </c>
      <c r="L714" s="4" t="s">
        <v>2276</v>
      </c>
      <c r="M714" s="4" t="s">
        <v>2276</v>
      </c>
      <c r="N714" s="4" t="s">
        <v>2276</v>
      </c>
      <c r="O714" s="4" t="s">
        <v>2276</v>
      </c>
      <c r="P714" s="4" t="s">
        <v>2276</v>
      </c>
      <c r="Q714" s="4" t="s">
        <v>2276</v>
      </c>
      <c r="R714" s="4" t="s">
        <v>534</v>
      </c>
      <c r="S714" s="4" t="s">
        <v>534</v>
      </c>
      <c r="T714" s="4" t="s">
        <v>2276</v>
      </c>
      <c r="U714" s="4" t="s">
        <v>2276</v>
      </c>
      <c r="V714" s="4" t="s">
        <v>2276</v>
      </c>
      <c r="W714" s="4" t="s">
        <v>6630</v>
      </c>
    </row>
    <row r="715" spans="1:23" ht="57" customHeight="1">
      <c r="A715" s="4" t="s">
        <v>6412</v>
      </c>
      <c r="B715" s="4" t="s">
        <v>6638</v>
      </c>
      <c r="C715" s="4" t="s">
        <v>24</v>
      </c>
      <c r="D715" s="4" t="s">
        <v>2276</v>
      </c>
      <c r="E715" s="4" t="s">
        <v>2649</v>
      </c>
      <c r="F715" s="4" t="s">
        <v>74</v>
      </c>
      <c r="G715" s="4"/>
      <c r="H715" s="4" t="s">
        <v>541</v>
      </c>
      <c r="I715" s="4" t="s">
        <v>2276</v>
      </c>
      <c r="J715" s="4" t="s">
        <v>2276</v>
      </c>
      <c r="K715" s="4" t="s">
        <v>2276</v>
      </c>
      <c r="L715" s="4" t="s">
        <v>2276</v>
      </c>
      <c r="M715" s="4" t="s">
        <v>2671</v>
      </c>
      <c r="N715" s="4" t="s">
        <v>534</v>
      </c>
      <c r="O715" s="4" t="s">
        <v>2276</v>
      </c>
      <c r="P715" s="4" t="s">
        <v>2276</v>
      </c>
      <c r="Q715" s="4" t="s">
        <v>2276</v>
      </c>
      <c r="R715" s="4" t="s">
        <v>2276</v>
      </c>
      <c r="S715" s="4" t="s">
        <v>2276</v>
      </c>
      <c r="T715" s="4" t="s">
        <v>2276</v>
      </c>
      <c r="U715" s="4" t="s">
        <v>2276</v>
      </c>
      <c r="V715" s="4" t="s">
        <v>2276</v>
      </c>
      <c r="W715" s="4"/>
    </row>
    <row r="716" spans="1:23" ht="57" customHeight="1">
      <c r="A716" s="4" t="s">
        <v>6413</v>
      </c>
      <c r="B716" s="4" t="s">
        <v>6561</v>
      </c>
      <c r="C716" s="4" t="s">
        <v>1105</v>
      </c>
      <c r="D716" s="4" t="s">
        <v>2276</v>
      </c>
      <c r="E716" s="4" t="s">
        <v>2649</v>
      </c>
      <c r="F716" s="4" t="s">
        <v>74</v>
      </c>
      <c r="G716" s="4"/>
      <c r="H716" s="4" t="s">
        <v>541</v>
      </c>
      <c r="I716" s="4" t="s">
        <v>2276</v>
      </c>
      <c r="J716" s="4" t="s">
        <v>2276</v>
      </c>
      <c r="K716" s="4" t="s">
        <v>2276</v>
      </c>
      <c r="L716" s="4" t="s">
        <v>2276</v>
      </c>
      <c r="M716" s="4" t="s">
        <v>2671</v>
      </c>
      <c r="N716" s="4" t="s">
        <v>534</v>
      </c>
      <c r="O716" s="4" t="s">
        <v>2276</v>
      </c>
      <c r="P716" s="4" t="s">
        <v>2276</v>
      </c>
      <c r="Q716" s="4" t="s">
        <v>2276</v>
      </c>
      <c r="R716" s="4" t="s">
        <v>534</v>
      </c>
      <c r="S716" s="4" t="s">
        <v>534</v>
      </c>
      <c r="T716" s="4" t="s">
        <v>2276</v>
      </c>
      <c r="U716" s="4" t="s">
        <v>2276</v>
      </c>
      <c r="V716" s="4" t="s">
        <v>2276</v>
      </c>
      <c r="W716" s="4" t="s">
        <v>6631</v>
      </c>
    </row>
    <row r="717" spans="1:23" ht="57" customHeight="1">
      <c r="A717" s="4" t="s">
        <v>6413</v>
      </c>
      <c r="B717" s="4" t="s">
        <v>6599</v>
      </c>
      <c r="C717" s="4" t="s">
        <v>24</v>
      </c>
      <c r="D717" s="4" t="s">
        <v>2276</v>
      </c>
      <c r="E717" s="4" t="s">
        <v>2649</v>
      </c>
      <c r="F717" s="4" t="s">
        <v>74</v>
      </c>
      <c r="G717" s="4"/>
      <c r="H717" s="4" t="s">
        <v>541</v>
      </c>
      <c r="I717" s="4" t="s">
        <v>2276</v>
      </c>
      <c r="J717" s="4" t="s">
        <v>2276</v>
      </c>
      <c r="K717" s="4" t="s">
        <v>2276</v>
      </c>
      <c r="L717" s="4" t="s">
        <v>2276</v>
      </c>
      <c r="M717" s="4" t="s">
        <v>2671</v>
      </c>
      <c r="N717" s="4" t="s">
        <v>534</v>
      </c>
      <c r="O717" s="4" t="s">
        <v>2276</v>
      </c>
      <c r="P717" s="4" t="s">
        <v>2276</v>
      </c>
      <c r="Q717" s="4" t="s">
        <v>2276</v>
      </c>
      <c r="R717" s="4" t="s">
        <v>2276</v>
      </c>
      <c r="S717" s="4" t="s">
        <v>2276</v>
      </c>
      <c r="T717" s="4" t="s">
        <v>2276</v>
      </c>
      <c r="U717" s="4" t="s">
        <v>2276</v>
      </c>
      <c r="V717" s="4" t="s">
        <v>2276</v>
      </c>
      <c r="W717" s="4"/>
    </row>
    <row r="718" spans="1:23" ht="57" customHeight="1">
      <c r="A718" s="4" t="s">
        <v>6414</v>
      </c>
      <c r="B718" s="4" t="s">
        <v>6562</v>
      </c>
      <c r="C718" s="4" t="s">
        <v>1105</v>
      </c>
      <c r="D718" s="4" t="s">
        <v>2276</v>
      </c>
      <c r="E718" s="4" t="s">
        <v>2649</v>
      </c>
      <c r="F718" s="4" t="s">
        <v>74</v>
      </c>
      <c r="G718" s="4"/>
      <c r="H718" s="4" t="s">
        <v>541</v>
      </c>
      <c r="I718" s="4" t="s">
        <v>2276</v>
      </c>
      <c r="J718" s="4" t="s">
        <v>2276</v>
      </c>
      <c r="K718" s="4" t="s">
        <v>2276</v>
      </c>
      <c r="L718" s="4" t="s">
        <v>2276</v>
      </c>
      <c r="M718" s="4" t="s">
        <v>2276</v>
      </c>
      <c r="N718" s="4" t="s">
        <v>2276</v>
      </c>
      <c r="O718" s="4" t="s">
        <v>2276</v>
      </c>
      <c r="P718" s="4" t="s">
        <v>2276</v>
      </c>
      <c r="Q718" s="4" t="s">
        <v>2276</v>
      </c>
      <c r="R718" s="4" t="s">
        <v>534</v>
      </c>
      <c r="S718" s="4" t="s">
        <v>534</v>
      </c>
      <c r="T718" s="4" t="s">
        <v>2276</v>
      </c>
      <c r="U718" s="4" t="s">
        <v>2276</v>
      </c>
      <c r="V718" s="4" t="s">
        <v>2276</v>
      </c>
      <c r="W718" s="4" t="s">
        <v>6631</v>
      </c>
    </row>
    <row r="719" spans="1:23" ht="57" customHeight="1">
      <c r="A719" s="4" t="s">
        <v>6414</v>
      </c>
      <c r="B719" s="4" t="s">
        <v>6600</v>
      </c>
      <c r="C719" s="4" t="s">
        <v>24</v>
      </c>
      <c r="D719" s="4" t="s">
        <v>2276</v>
      </c>
      <c r="E719" s="4" t="s">
        <v>2649</v>
      </c>
      <c r="F719" s="4" t="s">
        <v>74</v>
      </c>
      <c r="G719" s="4"/>
      <c r="H719" s="4" t="s">
        <v>541</v>
      </c>
      <c r="I719" s="4" t="s">
        <v>2276</v>
      </c>
      <c r="J719" s="4" t="s">
        <v>2276</v>
      </c>
      <c r="K719" s="4" t="s">
        <v>2276</v>
      </c>
      <c r="L719" s="4" t="s">
        <v>2276</v>
      </c>
      <c r="M719" s="4" t="s">
        <v>2671</v>
      </c>
      <c r="N719" s="4" t="s">
        <v>534</v>
      </c>
      <c r="O719" s="4" t="s">
        <v>2276</v>
      </c>
      <c r="P719" s="4" t="s">
        <v>2276</v>
      </c>
      <c r="Q719" s="4" t="s">
        <v>2276</v>
      </c>
      <c r="R719" s="4" t="s">
        <v>2276</v>
      </c>
      <c r="S719" s="4" t="s">
        <v>2276</v>
      </c>
      <c r="T719" s="4" t="s">
        <v>2276</v>
      </c>
      <c r="U719" s="4" t="s">
        <v>2276</v>
      </c>
      <c r="V719" s="4" t="s">
        <v>2276</v>
      </c>
      <c r="W719" s="4"/>
    </row>
    <row r="720" spans="1:23" ht="57" customHeight="1">
      <c r="A720" s="4" t="s">
        <v>6414</v>
      </c>
      <c r="B720" s="4" t="s">
        <v>6601</v>
      </c>
      <c r="C720" s="4" t="s">
        <v>2656</v>
      </c>
      <c r="D720" s="4" t="s">
        <v>2276</v>
      </c>
      <c r="E720" s="4" t="s">
        <v>2649</v>
      </c>
      <c r="F720" s="4" t="s">
        <v>74</v>
      </c>
      <c r="G720" s="4"/>
      <c r="H720" s="4" t="s">
        <v>541</v>
      </c>
      <c r="I720" s="4" t="s">
        <v>2276</v>
      </c>
      <c r="J720" s="4" t="s">
        <v>2276</v>
      </c>
      <c r="K720" s="4" t="s">
        <v>2276</v>
      </c>
      <c r="L720" s="4" t="s">
        <v>2276</v>
      </c>
      <c r="M720" s="4" t="s">
        <v>2671</v>
      </c>
      <c r="N720" s="4" t="s">
        <v>534</v>
      </c>
      <c r="O720" s="4" t="s">
        <v>2276</v>
      </c>
      <c r="P720" s="4" t="s">
        <v>2276</v>
      </c>
      <c r="Q720" s="4" t="s">
        <v>2276</v>
      </c>
      <c r="R720" s="4" t="s">
        <v>2276</v>
      </c>
      <c r="S720" s="4" t="s">
        <v>2276</v>
      </c>
      <c r="T720" s="4" t="s">
        <v>2276</v>
      </c>
      <c r="U720" s="4" t="s">
        <v>2276</v>
      </c>
      <c r="V720" s="4" t="s">
        <v>2276</v>
      </c>
      <c r="W720" s="4"/>
    </row>
    <row r="721" spans="1:23" ht="57" customHeight="1">
      <c r="A721" s="4" t="s">
        <v>6415</v>
      </c>
      <c r="B721" s="4" t="s">
        <v>6563</v>
      </c>
      <c r="C721" s="4" t="s">
        <v>1105</v>
      </c>
      <c r="D721" s="4" t="s">
        <v>2276</v>
      </c>
      <c r="E721" s="4" t="s">
        <v>2649</v>
      </c>
      <c r="F721" s="4" t="s">
        <v>74</v>
      </c>
      <c r="G721" s="4"/>
      <c r="H721" s="4" t="s">
        <v>541</v>
      </c>
      <c r="I721" s="4" t="s">
        <v>2276</v>
      </c>
      <c r="J721" s="4" t="s">
        <v>2276</v>
      </c>
      <c r="K721" s="4" t="s">
        <v>2276</v>
      </c>
      <c r="L721" s="4" t="s">
        <v>2276</v>
      </c>
      <c r="M721" s="4" t="s">
        <v>2276</v>
      </c>
      <c r="N721" s="4" t="s">
        <v>2276</v>
      </c>
      <c r="O721" s="4" t="s">
        <v>2276</v>
      </c>
      <c r="P721" s="4" t="s">
        <v>2276</v>
      </c>
      <c r="Q721" s="4" t="s">
        <v>2276</v>
      </c>
      <c r="R721" s="4" t="s">
        <v>534</v>
      </c>
      <c r="S721" s="4" t="s">
        <v>534</v>
      </c>
      <c r="T721" s="4" t="s">
        <v>2276</v>
      </c>
      <c r="U721" s="4" t="s">
        <v>2276</v>
      </c>
      <c r="V721" s="4" t="s">
        <v>2276</v>
      </c>
      <c r="W721" s="4" t="s">
        <v>6631</v>
      </c>
    </row>
    <row r="722" spans="1:23" ht="57" customHeight="1">
      <c r="A722" s="4" t="s">
        <v>6415</v>
      </c>
      <c r="B722" s="4" t="s">
        <v>6603</v>
      </c>
      <c r="C722" s="4" t="s">
        <v>24</v>
      </c>
      <c r="D722" s="4" t="s">
        <v>2276</v>
      </c>
      <c r="E722" s="4" t="s">
        <v>2649</v>
      </c>
      <c r="F722" s="4" t="s">
        <v>74</v>
      </c>
      <c r="G722" s="4"/>
      <c r="H722" s="4" t="s">
        <v>541</v>
      </c>
      <c r="I722" s="4" t="s">
        <v>2276</v>
      </c>
      <c r="J722" s="4" t="s">
        <v>2276</v>
      </c>
      <c r="K722" s="4" t="s">
        <v>2276</v>
      </c>
      <c r="L722" s="4" t="s">
        <v>2276</v>
      </c>
      <c r="M722" s="4" t="s">
        <v>2671</v>
      </c>
      <c r="N722" s="4" t="s">
        <v>534</v>
      </c>
      <c r="O722" s="4" t="s">
        <v>2276</v>
      </c>
      <c r="P722" s="4" t="s">
        <v>2276</v>
      </c>
      <c r="Q722" s="4" t="s">
        <v>2276</v>
      </c>
      <c r="R722" s="4" t="s">
        <v>2276</v>
      </c>
      <c r="S722" s="4" t="s">
        <v>2276</v>
      </c>
      <c r="T722" s="4" t="s">
        <v>2276</v>
      </c>
      <c r="U722" s="4" t="s">
        <v>2276</v>
      </c>
      <c r="V722" s="4" t="s">
        <v>2276</v>
      </c>
      <c r="W722" s="4"/>
    </row>
    <row r="723" spans="1:23" ht="57" customHeight="1">
      <c r="A723" s="4" t="s">
        <v>6415</v>
      </c>
      <c r="B723" s="4" t="s">
        <v>6604</v>
      </c>
      <c r="C723" s="4" t="s">
        <v>2656</v>
      </c>
      <c r="D723" s="4" t="s">
        <v>2276</v>
      </c>
      <c r="E723" s="4" t="s">
        <v>2649</v>
      </c>
      <c r="F723" s="4" t="s">
        <v>74</v>
      </c>
      <c r="G723" s="4"/>
      <c r="H723" s="4" t="s">
        <v>541</v>
      </c>
      <c r="I723" s="4" t="s">
        <v>2276</v>
      </c>
      <c r="J723" s="4" t="s">
        <v>2276</v>
      </c>
      <c r="K723" s="4" t="s">
        <v>2276</v>
      </c>
      <c r="L723" s="4" t="s">
        <v>2276</v>
      </c>
      <c r="M723" s="4" t="s">
        <v>2671</v>
      </c>
      <c r="N723" s="4" t="s">
        <v>534</v>
      </c>
      <c r="O723" s="4" t="s">
        <v>2276</v>
      </c>
      <c r="P723" s="4" t="s">
        <v>2276</v>
      </c>
      <c r="Q723" s="4" t="s">
        <v>2276</v>
      </c>
      <c r="R723" s="4" t="s">
        <v>2276</v>
      </c>
      <c r="S723" s="4" t="s">
        <v>2276</v>
      </c>
      <c r="T723" s="4" t="s">
        <v>2276</v>
      </c>
      <c r="U723" s="4" t="s">
        <v>2276</v>
      </c>
      <c r="V723" s="4" t="s">
        <v>2276</v>
      </c>
      <c r="W723" s="4"/>
    </row>
    <row r="724" spans="1:23" ht="57" customHeight="1">
      <c r="A724" s="4" t="s">
        <v>6416</v>
      </c>
      <c r="B724" s="4" t="s">
        <v>6564</v>
      </c>
      <c r="C724" s="4" t="s">
        <v>1105</v>
      </c>
      <c r="D724" s="4" t="s">
        <v>2276</v>
      </c>
      <c r="E724" s="4" t="s">
        <v>2649</v>
      </c>
      <c r="F724" s="4" t="s">
        <v>74</v>
      </c>
      <c r="G724" s="4"/>
      <c r="H724" s="4" t="s">
        <v>541</v>
      </c>
      <c r="I724" s="4" t="s">
        <v>2276</v>
      </c>
      <c r="J724" s="4" t="s">
        <v>2276</v>
      </c>
      <c r="K724" s="4" t="s">
        <v>2276</v>
      </c>
      <c r="L724" s="4" t="s">
        <v>2276</v>
      </c>
      <c r="M724" s="4" t="s">
        <v>2276</v>
      </c>
      <c r="N724" s="4" t="s">
        <v>2276</v>
      </c>
      <c r="O724" s="4" t="s">
        <v>2276</v>
      </c>
      <c r="P724" s="4" t="s">
        <v>2276</v>
      </c>
      <c r="Q724" s="4" t="s">
        <v>2276</v>
      </c>
      <c r="R724" s="4" t="s">
        <v>534</v>
      </c>
      <c r="S724" s="4" t="s">
        <v>534</v>
      </c>
      <c r="T724" s="4" t="s">
        <v>2276</v>
      </c>
      <c r="U724" s="4" t="s">
        <v>2276</v>
      </c>
      <c r="V724" s="4" t="s">
        <v>2276</v>
      </c>
      <c r="W724" s="4" t="s">
        <v>6631</v>
      </c>
    </row>
    <row r="725" spans="1:23" ht="57" customHeight="1">
      <c r="A725" s="4" t="s">
        <v>6416</v>
      </c>
      <c r="B725" s="4" t="s">
        <v>6606</v>
      </c>
      <c r="C725" s="4" t="s">
        <v>24</v>
      </c>
      <c r="D725" s="4" t="s">
        <v>2276</v>
      </c>
      <c r="E725" s="4" t="s">
        <v>2649</v>
      </c>
      <c r="F725" s="4" t="s">
        <v>74</v>
      </c>
      <c r="G725" s="4"/>
      <c r="H725" s="4" t="s">
        <v>541</v>
      </c>
      <c r="I725" s="4" t="s">
        <v>2276</v>
      </c>
      <c r="J725" s="4" t="s">
        <v>2276</v>
      </c>
      <c r="K725" s="4" t="s">
        <v>2276</v>
      </c>
      <c r="L725" s="4" t="s">
        <v>2276</v>
      </c>
      <c r="M725" s="4" t="s">
        <v>2671</v>
      </c>
      <c r="N725" s="4" t="s">
        <v>534</v>
      </c>
      <c r="O725" s="4" t="s">
        <v>2276</v>
      </c>
      <c r="P725" s="4" t="s">
        <v>2276</v>
      </c>
      <c r="Q725" s="4" t="s">
        <v>2276</v>
      </c>
      <c r="R725" s="4" t="s">
        <v>2276</v>
      </c>
      <c r="S725" s="4" t="s">
        <v>2276</v>
      </c>
      <c r="T725" s="4" t="s">
        <v>2276</v>
      </c>
      <c r="U725" s="4" t="s">
        <v>2276</v>
      </c>
      <c r="V725" s="4" t="s">
        <v>2276</v>
      </c>
      <c r="W725" s="4"/>
    </row>
    <row r="726" spans="1:23" ht="57" customHeight="1">
      <c r="A726" s="4" t="s">
        <v>6417</v>
      </c>
      <c r="B726" s="4" t="s">
        <v>6565</v>
      </c>
      <c r="C726" s="4" t="s">
        <v>1105</v>
      </c>
      <c r="D726" s="4" t="s">
        <v>2276</v>
      </c>
      <c r="E726" s="4" t="s">
        <v>2649</v>
      </c>
      <c r="F726" s="4" t="s">
        <v>74</v>
      </c>
      <c r="G726" s="4"/>
      <c r="H726" s="4" t="s">
        <v>541</v>
      </c>
      <c r="I726" s="4" t="s">
        <v>2276</v>
      </c>
      <c r="J726" s="4" t="s">
        <v>2276</v>
      </c>
      <c r="K726" s="4" t="s">
        <v>2276</v>
      </c>
      <c r="L726" s="4" t="s">
        <v>2276</v>
      </c>
      <c r="M726" s="4" t="s">
        <v>2276</v>
      </c>
      <c r="N726" s="4" t="s">
        <v>2276</v>
      </c>
      <c r="O726" s="4" t="s">
        <v>2276</v>
      </c>
      <c r="P726" s="4" t="s">
        <v>2276</v>
      </c>
      <c r="Q726" s="4" t="s">
        <v>2276</v>
      </c>
      <c r="R726" s="4" t="s">
        <v>534</v>
      </c>
      <c r="S726" s="4" t="s">
        <v>534</v>
      </c>
      <c r="T726" s="4" t="s">
        <v>2276</v>
      </c>
      <c r="U726" s="4" t="s">
        <v>2276</v>
      </c>
      <c r="V726" s="4" t="s">
        <v>2276</v>
      </c>
      <c r="W726" s="4" t="s">
        <v>6631</v>
      </c>
    </row>
    <row r="727" spans="1:23" ht="57" customHeight="1">
      <c r="A727" s="4" t="s">
        <v>6417</v>
      </c>
      <c r="B727" s="4" t="s">
        <v>6607</v>
      </c>
      <c r="C727" s="4" t="s">
        <v>24</v>
      </c>
      <c r="D727" s="4" t="s">
        <v>2276</v>
      </c>
      <c r="E727" s="4" t="s">
        <v>2649</v>
      </c>
      <c r="F727" s="4" t="s">
        <v>74</v>
      </c>
      <c r="G727" s="4"/>
      <c r="H727" s="4" t="s">
        <v>541</v>
      </c>
      <c r="I727" s="4" t="s">
        <v>2276</v>
      </c>
      <c r="J727" s="4" t="s">
        <v>2276</v>
      </c>
      <c r="K727" s="4" t="s">
        <v>2276</v>
      </c>
      <c r="L727" s="4" t="s">
        <v>2276</v>
      </c>
      <c r="M727" s="4" t="s">
        <v>2671</v>
      </c>
      <c r="N727" s="4" t="s">
        <v>534</v>
      </c>
      <c r="O727" s="4" t="s">
        <v>2276</v>
      </c>
      <c r="P727" s="4" t="s">
        <v>2276</v>
      </c>
      <c r="Q727" s="4" t="s">
        <v>2276</v>
      </c>
      <c r="R727" s="4" t="s">
        <v>2276</v>
      </c>
      <c r="S727" s="4" t="s">
        <v>2276</v>
      </c>
      <c r="T727" s="4" t="s">
        <v>2276</v>
      </c>
      <c r="U727" s="4" t="s">
        <v>2276</v>
      </c>
      <c r="V727" s="4" t="s">
        <v>2276</v>
      </c>
      <c r="W727" s="4"/>
    </row>
    <row r="728" spans="1:23" ht="57" customHeight="1">
      <c r="A728" s="4" t="s">
        <v>6566</v>
      </c>
      <c r="B728" s="4" t="s">
        <v>6567</v>
      </c>
      <c r="C728" s="4" t="s">
        <v>1105</v>
      </c>
      <c r="D728" s="4" t="s">
        <v>2276</v>
      </c>
      <c r="E728" s="4" t="s">
        <v>2649</v>
      </c>
      <c r="F728" s="4" t="s">
        <v>74</v>
      </c>
      <c r="G728" s="4"/>
      <c r="H728" s="4" t="s">
        <v>541</v>
      </c>
      <c r="I728" s="4" t="s">
        <v>2276</v>
      </c>
      <c r="J728" s="4" t="s">
        <v>2276</v>
      </c>
      <c r="K728" s="4" t="s">
        <v>2276</v>
      </c>
      <c r="L728" s="4" t="s">
        <v>2276</v>
      </c>
      <c r="M728" s="4" t="s">
        <v>2276</v>
      </c>
      <c r="N728" s="4" t="s">
        <v>2276</v>
      </c>
      <c r="O728" s="4" t="s">
        <v>2276</v>
      </c>
      <c r="P728" s="4" t="s">
        <v>2276</v>
      </c>
      <c r="Q728" s="4" t="s">
        <v>2276</v>
      </c>
      <c r="R728" s="4" t="s">
        <v>534</v>
      </c>
      <c r="S728" s="4" t="s">
        <v>534</v>
      </c>
      <c r="T728" s="4" t="s">
        <v>2276</v>
      </c>
      <c r="U728" s="4" t="s">
        <v>2276</v>
      </c>
      <c r="V728" s="4" t="s">
        <v>2276</v>
      </c>
      <c r="W728" s="4" t="s">
        <v>6631</v>
      </c>
    </row>
    <row r="729" spans="1:23" ht="57" customHeight="1">
      <c r="A729" s="4" t="s">
        <v>6566</v>
      </c>
      <c r="B729" s="4" t="s">
        <v>6608</v>
      </c>
      <c r="C729" s="4" t="s">
        <v>24</v>
      </c>
      <c r="D729" s="4" t="s">
        <v>2276</v>
      </c>
      <c r="E729" s="4" t="s">
        <v>2649</v>
      </c>
      <c r="F729" s="4" t="s">
        <v>74</v>
      </c>
      <c r="G729" s="4"/>
      <c r="H729" s="4" t="s">
        <v>541</v>
      </c>
      <c r="I729" s="4" t="s">
        <v>2276</v>
      </c>
      <c r="J729" s="4" t="s">
        <v>2276</v>
      </c>
      <c r="K729" s="4" t="s">
        <v>2276</v>
      </c>
      <c r="L729" s="4" t="s">
        <v>2276</v>
      </c>
      <c r="M729" s="4" t="s">
        <v>2671</v>
      </c>
      <c r="N729" s="4" t="s">
        <v>534</v>
      </c>
      <c r="O729" s="4" t="s">
        <v>2276</v>
      </c>
      <c r="P729" s="4" t="s">
        <v>2276</v>
      </c>
      <c r="Q729" s="4" t="s">
        <v>2276</v>
      </c>
      <c r="R729" s="4" t="s">
        <v>2276</v>
      </c>
      <c r="S729" s="4" t="s">
        <v>2276</v>
      </c>
      <c r="T729" s="4" t="s">
        <v>2276</v>
      </c>
      <c r="U729" s="4" t="s">
        <v>2276</v>
      </c>
      <c r="V729" s="4" t="s">
        <v>2276</v>
      </c>
      <c r="W729" s="4"/>
    </row>
    <row r="730" spans="1:23" ht="57" customHeight="1">
      <c r="A730" s="4" t="s">
        <v>6419</v>
      </c>
      <c r="B730" s="4" t="s">
        <v>6568</v>
      </c>
      <c r="C730" s="4" t="s">
        <v>1105</v>
      </c>
      <c r="D730" s="4" t="s">
        <v>2276</v>
      </c>
      <c r="E730" s="4" t="s">
        <v>2649</v>
      </c>
      <c r="F730" s="4" t="s">
        <v>74</v>
      </c>
      <c r="G730" s="4"/>
      <c r="H730" s="4" t="s">
        <v>541</v>
      </c>
      <c r="I730" s="4" t="s">
        <v>2276</v>
      </c>
      <c r="J730" s="4" t="s">
        <v>2276</v>
      </c>
      <c r="K730" s="4" t="s">
        <v>2276</v>
      </c>
      <c r="L730" s="4" t="s">
        <v>2276</v>
      </c>
      <c r="M730" s="4" t="s">
        <v>2276</v>
      </c>
      <c r="N730" s="4" t="s">
        <v>2276</v>
      </c>
      <c r="O730" s="4" t="s">
        <v>2276</v>
      </c>
      <c r="P730" s="4" t="s">
        <v>2276</v>
      </c>
      <c r="Q730" s="4" t="s">
        <v>2276</v>
      </c>
      <c r="R730" s="4" t="s">
        <v>534</v>
      </c>
      <c r="S730" s="4" t="s">
        <v>534</v>
      </c>
      <c r="T730" s="4" t="s">
        <v>2276</v>
      </c>
      <c r="U730" s="4" t="s">
        <v>2276</v>
      </c>
      <c r="V730" s="4" t="s">
        <v>2276</v>
      </c>
      <c r="W730" s="4" t="s">
        <v>6631</v>
      </c>
    </row>
    <row r="731" spans="1:23" ht="57" customHeight="1">
      <c r="A731" s="4" t="s">
        <v>6419</v>
      </c>
      <c r="B731" s="4" t="s">
        <v>6610</v>
      </c>
      <c r="C731" s="4" t="s">
        <v>24</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2276</v>
      </c>
      <c r="S731" s="4" t="s">
        <v>2276</v>
      </c>
      <c r="T731" s="4" t="s">
        <v>2276</v>
      </c>
      <c r="U731" s="4" t="s">
        <v>2276</v>
      </c>
      <c r="V731" s="4" t="s">
        <v>2276</v>
      </c>
      <c r="W731" s="4"/>
    </row>
    <row r="732" spans="1:23" ht="57" customHeight="1">
      <c r="A732" s="4" t="s">
        <v>6420</v>
      </c>
      <c r="B732" s="4" t="s">
        <v>6569</v>
      </c>
      <c r="C732" s="4" t="s">
        <v>1105</v>
      </c>
      <c r="D732" s="4" t="s">
        <v>2276</v>
      </c>
      <c r="E732" s="4" t="s">
        <v>2649</v>
      </c>
      <c r="F732" s="4" t="s">
        <v>74</v>
      </c>
      <c r="G732" s="4"/>
      <c r="H732" s="4" t="s">
        <v>541</v>
      </c>
      <c r="I732" s="4" t="s">
        <v>2276</v>
      </c>
      <c r="J732" s="4" t="s">
        <v>2276</v>
      </c>
      <c r="K732" s="4" t="s">
        <v>2276</v>
      </c>
      <c r="L732" s="4" t="s">
        <v>2276</v>
      </c>
      <c r="M732" s="4" t="s">
        <v>2276</v>
      </c>
      <c r="N732" s="4" t="s">
        <v>2276</v>
      </c>
      <c r="O732" s="4" t="s">
        <v>2276</v>
      </c>
      <c r="P732" s="4" t="s">
        <v>2276</v>
      </c>
      <c r="Q732" s="4" t="s">
        <v>2276</v>
      </c>
      <c r="R732" s="4" t="s">
        <v>534</v>
      </c>
      <c r="S732" s="4" t="s">
        <v>534</v>
      </c>
      <c r="T732" s="4" t="s">
        <v>2276</v>
      </c>
      <c r="U732" s="4" t="s">
        <v>2276</v>
      </c>
      <c r="V732" s="4" t="s">
        <v>2276</v>
      </c>
      <c r="W732" s="4" t="s">
        <v>6631</v>
      </c>
    </row>
    <row r="733" spans="1:23" ht="57" customHeight="1">
      <c r="A733" s="4" t="s">
        <v>6420</v>
      </c>
      <c r="B733" s="4" t="s">
        <v>6611</v>
      </c>
      <c r="C733" s="4" t="s">
        <v>24</v>
      </c>
      <c r="D733" s="4" t="s">
        <v>2276</v>
      </c>
      <c r="E733" s="4" t="s">
        <v>2649</v>
      </c>
      <c r="F733" s="4" t="s">
        <v>74</v>
      </c>
      <c r="G733" s="4"/>
      <c r="H733" s="4" t="s">
        <v>541</v>
      </c>
      <c r="I733" s="4" t="s">
        <v>2276</v>
      </c>
      <c r="J733" s="4" t="s">
        <v>2276</v>
      </c>
      <c r="K733" s="4" t="s">
        <v>2276</v>
      </c>
      <c r="L733" s="4" t="s">
        <v>2276</v>
      </c>
      <c r="M733" s="4" t="s">
        <v>2671</v>
      </c>
      <c r="N733" s="4" t="s">
        <v>534</v>
      </c>
      <c r="O733" s="4" t="s">
        <v>2276</v>
      </c>
      <c r="P733" s="4" t="s">
        <v>2276</v>
      </c>
      <c r="Q733" s="4" t="s">
        <v>2276</v>
      </c>
      <c r="R733" s="4" t="s">
        <v>2276</v>
      </c>
      <c r="S733" s="4" t="s">
        <v>2276</v>
      </c>
      <c r="T733" s="4" t="s">
        <v>2276</v>
      </c>
      <c r="U733" s="4" t="s">
        <v>2276</v>
      </c>
      <c r="V733" s="4" t="s">
        <v>2276</v>
      </c>
      <c r="W733" s="4"/>
    </row>
    <row r="734" spans="1:23" ht="57" customHeight="1">
      <c r="A734" s="4" t="s">
        <v>6421</v>
      </c>
      <c r="B734" s="4" t="s">
        <v>6570</v>
      </c>
      <c r="C734" s="4" t="s">
        <v>1105</v>
      </c>
      <c r="D734" s="4" t="s">
        <v>2276</v>
      </c>
      <c r="E734" s="4" t="s">
        <v>2649</v>
      </c>
      <c r="F734" s="4" t="s">
        <v>74</v>
      </c>
      <c r="G734" s="4"/>
      <c r="H734" s="4" t="s">
        <v>541</v>
      </c>
      <c r="I734" s="4" t="s">
        <v>2276</v>
      </c>
      <c r="J734" s="4" t="s">
        <v>2276</v>
      </c>
      <c r="K734" s="4" t="s">
        <v>2276</v>
      </c>
      <c r="L734" s="4" t="s">
        <v>2276</v>
      </c>
      <c r="M734" s="4" t="s">
        <v>2276</v>
      </c>
      <c r="N734" s="4" t="s">
        <v>2276</v>
      </c>
      <c r="O734" s="4" t="s">
        <v>2276</v>
      </c>
      <c r="P734" s="4" t="s">
        <v>2276</v>
      </c>
      <c r="Q734" s="4" t="s">
        <v>2276</v>
      </c>
      <c r="R734" s="4" t="s">
        <v>534</v>
      </c>
      <c r="S734" s="4" t="s">
        <v>534</v>
      </c>
      <c r="T734" s="4" t="s">
        <v>2276</v>
      </c>
      <c r="U734" s="4" t="s">
        <v>2276</v>
      </c>
      <c r="V734" s="4" t="s">
        <v>2276</v>
      </c>
      <c r="W734" s="4" t="s">
        <v>6631</v>
      </c>
    </row>
    <row r="735" spans="1:23" ht="57" customHeight="1">
      <c r="A735" s="4" t="s">
        <v>6421</v>
      </c>
      <c r="B735" s="4" t="s">
        <v>6612</v>
      </c>
      <c r="C735" s="4" t="s">
        <v>24</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6422</v>
      </c>
      <c r="B736" s="4" t="s">
        <v>6571</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6631</v>
      </c>
    </row>
    <row r="737" spans="1:23" ht="57" customHeight="1">
      <c r="A737" s="4" t="s">
        <v>6422</v>
      </c>
      <c r="B737" s="4" t="s">
        <v>6614</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6423</v>
      </c>
      <c r="B738" s="4" t="s">
        <v>6572</v>
      </c>
      <c r="C738" s="4" t="s">
        <v>1105</v>
      </c>
      <c r="D738" s="4" t="s">
        <v>2276</v>
      </c>
      <c r="E738" s="4" t="s">
        <v>137</v>
      </c>
      <c r="F738" s="4" t="s">
        <v>74</v>
      </c>
      <c r="G738" s="4"/>
      <c r="H738" s="4" t="s">
        <v>541</v>
      </c>
      <c r="I738" s="4" t="s">
        <v>2276</v>
      </c>
      <c r="J738" s="4" t="s">
        <v>2276</v>
      </c>
      <c r="K738" s="4" t="s">
        <v>2276</v>
      </c>
      <c r="L738" s="4" t="s">
        <v>2276</v>
      </c>
      <c r="M738" s="4" t="s">
        <v>2671</v>
      </c>
      <c r="N738" s="4"/>
      <c r="O738" s="4" t="s">
        <v>534</v>
      </c>
      <c r="P738" s="4" t="s">
        <v>2276</v>
      </c>
      <c r="Q738" s="4" t="s">
        <v>2276</v>
      </c>
      <c r="R738" s="4" t="s">
        <v>2276</v>
      </c>
      <c r="S738" s="4" t="s">
        <v>2276</v>
      </c>
      <c r="T738" s="4" t="s">
        <v>2276</v>
      </c>
      <c r="U738" s="4" t="s">
        <v>2276</v>
      </c>
      <c r="V738" s="4" t="s">
        <v>2276</v>
      </c>
      <c r="W738" s="4"/>
    </row>
    <row r="739" spans="1:23" ht="57" customHeight="1">
      <c r="A739" s="4" t="s">
        <v>6424</v>
      </c>
      <c r="B739" s="4" t="s">
        <v>6616</v>
      </c>
      <c r="C739" s="4" t="s">
        <v>1105</v>
      </c>
      <c r="D739" s="4" t="s">
        <v>2276</v>
      </c>
      <c r="E739" s="4" t="s">
        <v>2649</v>
      </c>
      <c r="F739" s="4" t="s">
        <v>74</v>
      </c>
      <c r="G739" s="4"/>
      <c r="H739" s="4" t="s">
        <v>2673</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row>
    <row r="740" spans="1:23" ht="57" customHeight="1">
      <c r="A740" s="4" t="s">
        <v>6425</v>
      </c>
      <c r="B740" s="4" t="s">
        <v>6574</v>
      </c>
      <c r="C740" s="4" t="s">
        <v>1105</v>
      </c>
      <c r="D740" s="4" t="s">
        <v>2276</v>
      </c>
      <c r="E740" s="4" t="s">
        <v>2649</v>
      </c>
      <c r="F740" s="4" t="s">
        <v>74</v>
      </c>
      <c r="G740" s="4"/>
      <c r="H740" s="4" t="s">
        <v>541</v>
      </c>
      <c r="I740" s="4" t="s">
        <v>2276</v>
      </c>
      <c r="J740" s="4" t="s">
        <v>2276</v>
      </c>
      <c r="K740" s="4" t="s">
        <v>2276</v>
      </c>
      <c r="L740" s="4" t="s">
        <v>2276</v>
      </c>
      <c r="M740" s="4" t="s">
        <v>2276</v>
      </c>
      <c r="N740" s="4" t="s">
        <v>2276</v>
      </c>
      <c r="O740" s="4" t="s">
        <v>2276</v>
      </c>
      <c r="P740" s="4" t="s">
        <v>2276</v>
      </c>
      <c r="Q740" s="4" t="s">
        <v>2276</v>
      </c>
      <c r="R740" s="4" t="s">
        <v>534</v>
      </c>
      <c r="S740" s="4" t="s">
        <v>534</v>
      </c>
      <c r="T740" s="4" t="s">
        <v>2276</v>
      </c>
      <c r="U740" s="4" t="s">
        <v>2276</v>
      </c>
      <c r="V740" s="4" t="s">
        <v>2276</v>
      </c>
      <c r="W740" s="4"/>
    </row>
    <row r="741" spans="1:23" ht="57" customHeight="1">
      <c r="A741" s="4" t="s">
        <v>6426</v>
      </c>
      <c r="B741" s="4" t="s">
        <v>6577</v>
      </c>
      <c r="C741" s="4" t="s">
        <v>1105</v>
      </c>
      <c r="D741" s="4" t="s">
        <v>2276</v>
      </c>
      <c r="E741" s="4" t="s">
        <v>2649</v>
      </c>
      <c r="F741" s="4" t="s">
        <v>74</v>
      </c>
      <c r="G741" s="4"/>
      <c r="H741" s="4" t="s">
        <v>541</v>
      </c>
      <c r="I741" s="4" t="s">
        <v>2276</v>
      </c>
      <c r="J741" s="4" t="s">
        <v>2276</v>
      </c>
      <c r="K741" s="4" t="s">
        <v>2276</v>
      </c>
      <c r="L741" s="4" t="s">
        <v>2276</v>
      </c>
      <c r="M741" s="4" t="s">
        <v>2671</v>
      </c>
      <c r="N741" s="4" t="s">
        <v>534</v>
      </c>
      <c r="O741" s="4" t="s">
        <v>2276</v>
      </c>
      <c r="P741" s="4" t="s">
        <v>2276</v>
      </c>
      <c r="Q741" s="4" t="s">
        <v>2276</v>
      </c>
      <c r="R741" s="4" t="s">
        <v>2276</v>
      </c>
      <c r="S741" s="4" t="s">
        <v>2276</v>
      </c>
      <c r="T741" s="4" t="s">
        <v>2276</v>
      </c>
      <c r="U741" s="4" t="s">
        <v>2276</v>
      </c>
      <c r="V741" s="4" t="s">
        <v>2276</v>
      </c>
      <c r="W741" s="4"/>
    </row>
    <row r="742" spans="1:23" ht="57" customHeight="1">
      <c r="A742" s="4" t="s">
        <v>6427</v>
      </c>
      <c r="B742" s="4" t="s">
        <v>6578</v>
      </c>
      <c r="C742" s="4" t="s">
        <v>24</v>
      </c>
      <c r="D742" s="4" t="s">
        <v>144</v>
      </c>
      <c r="E742" s="4" t="s">
        <v>2649</v>
      </c>
      <c r="F742" s="4" t="s">
        <v>74</v>
      </c>
      <c r="G742" s="4"/>
      <c r="H742" s="4" t="s">
        <v>1093</v>
      </c>
      <c r="I742" s="4" t="s">
        <v>2691</v>
      </c>
      <c r="J742" s="4" t="s">
        <v>534</v>
      </c>
      <c r="K742" s="4" t="s">
        <v>2276</v>
      </c>
      <c r="L742" s="4" t="s">
        <v>2276</v>
      </c>
      <c r="M742" s="4" t="s">
        <v>2276</v>
      </c>
      <c r="N742" s="4" t="s">
        <v>2276</v>
      </c>
      <c r="O742" s="4" t="s">
        <v>2276</v>
      </c>
      <c r="P742" s="4" t="s">
        <v>2276</v>
      </c>
      <c r="Q742" s="4" t="s">
        <v>2276</v>
      </c>
      <c r="R742" s="4" t="s">
        <v>2276</v>
      </c>
      <c r="S742" s="4" t="s">
        <v>2276</v>
      </c>
      <c r="T742" s="4" t="s">
        <v>2276</v>
      </c>
      <c r="U742" s="4" t="s">
        <v>2276</v>
      </c>
      <c r="V742" s="4" t="s">
        <v>2276</v>
      </c>
      <c r="W742" s="4" t="s">
        <v>6632</v>
      </c>
    </row>
    <row r="743" spans="1:23" ht="57" customHeight="1">
      <c r="A743" s="4" t="s">
        <v>6427</v>
      </c>
      <c r="B743" s="4" t="s">
        <v>6579</v>
      </c>
      <c r="C743" s="4" t="s">
        <v>24</v>
      </c>
      <c r="D743" s="4" t="s">
        <v>144</v>
      </c>
      <c r="E743" s="4" t="s">
        <v>2649</v>
      </c>
      <c r="F743" s="4" t="s">
        <v>74</v>
      </c>
      <c r="G743" s="4"/>
      <c r="H743" s="4" t="s">
        <v>541</v>
      </c>
      <c r="I743" s="4" t="s">
        <v>2691</v>
      </c>
      <c r="J743" s="4"/>
      <c r="K743" s="4" t="s">
        <v>534</v>
      </c>
      <c r="L743" s="4" t="s">
        <v>2276</v>
      </c>
      <c r="M743" s="4" t="s">
        <v>2276</v>
      </c>
      <c r="N743" s="4" t="s">
        <v>2276</v>
      </c>
      <c r="O743" s="4" t="s">
        <v>2276</v>
      </c>
      <c r="P743" s="4" t="s">
        <v>2276</v>
      </c>
      <c r="Q743" s="4" t="s">
        <v>2276</v>
      </c>
      <c r="R743" s="4" t="s">
        <v>2276</v>
      </c>
      <c r="S743" s="4" t="s">
        <v>2276</v>
      </c>
      <c r="T743" s="4" t="s">
        <v>2276</v>
      </c>
      <c r="U743" s="4" t="s">
        <v>2276</v>
      </c>
      <c r="V743" s="4" t="s">
        <v>2276</v>
      </c>
      <c r="W743" s="4" t="s">
        <v>6633</v>
      </c>
    </row>
    <row r="744" spans="1:23" ht="52" customHeight="1">
      <c r="A744" s="19" t="s">
        <v>7060</v>
      </c>
      <c r="B744" s="19" t="s">
        <v>7068</v>
      </c>
      <c r="C744" s="4" t="s">
        <v>24</v>
      </c>
      <c r="D744" s="204" t="s">
        <v>25</v>
      </c>
      <c r="E744" s="204" t="s">
        <v>45</v>
      </c>
      <c r="F744" s="204" t="s">
        <v>55</v>
      </c>
      <c r="G744" s="204"/>
      <c r="H744" s="4" t="s">
        <v>2673</v>
      </c>
      <c r="I744" s="204" t="s">
        <v>2276</v>
      </c>
      <c r="J744" s="204" t="s">
        <v>2276</v>
      </c>
      <c r="K744" s="204" t="s">
        <v>2276</v>
      </c>
      <c r="L744" s="204" t="s">
        <v>2276</v>
      </c>
      <c r="M744" s="204" t="s">
        <v>2728</v>
      </c>
      <c r="N744" s="204" t="s">
        <v>534</v>
      </c>
      <c r="O744" s="204" t="s">
        <v>534</v>
      </c>
      <c r="P744" s="204" t="s">
        <v>2276</v>
      </c>
      <c r="Q744" s="204">
        <v>2</v>
      </c>
      <c r="R744" s="204" t="s">
        <v>2276</v>
      </c>
      <c r="S744" s="204" t="s">
        <v>2276</v>
      </c>
      <c r="T744" s="204" t="s">
        <v>2276</v>
      </c>
      <c r="U744" s="204" t="s">
        <v>2276</v>
      </c>
      <c r="V744" s="204" t="s">
        <v>2276</v>
      </c>
      <c r="W744" s="4" t="s">
        <v>7076</v>
      </c>
    </row>
    <row r="745" spans="1:23" ht="53.5" customHeight="1">
      <c r="A745" s="19" t="s">
        <v>7060</v>
      </c>
      <c r="B745" s="19" t="s">
        <v>7069</v>
      </c>
      <c r="C745" s="4" t="s">
        <v>24</v>
      </c>
      <c r="D745" s="204" t="s">
        <v>27</v>
      </c>
      <c r="E745" s="204" t="s">
        <v>130</v>
      </c>
      <c r="F745" s="204" t="s">
        <v>29</v>
      </c>
      <c r="G745" s="204"/>
      <c r="H745" s="4" t="s">
        <v>2673</v>
      </c>
      <c r="I745" s="204" t="s">
        <v>2276</v>
      </c>
      <c r="J745" s="204" t="s">
        <v>2276</v>
      </c>
      <c r="K745" s="204" t="s">
        <v>2276</v>
      </c>
      <c r="L745" s="204" t="s">
        <v>2276</v>
      </c>
      <c r="M745" s="204" t="s">
        <v>2728</v>
      </c>
      <c r="N745" s="204" t="s">
        <v>534</v>
      </c>
      <c r="O745" s="204" t="s">
        <v>534</v>
      </c>
      <c r="P745" s="204" t="s">
        <v>2276</v>
      </c>
      <c r="Q745" s="204">
        <v>2</v>
      </c>
      <c r="R745" s="204" t="s">
        <v>2276</v>
      </c>
      <c r="S745" s="204" t="s">
        <v>2276</v>
      </c>
      <c r="T745" s="204" t="s">
        <v>2276</v>
      </c>
      <c r="U745" s="204" t="s">
        <v>2276</v>
      </c>
      <c r="V745" s="204" t="s">
        <v>2276</v>
      </c>
      <c r="W745" s="4" t="s">
        <v>7076</v>
      </c>
    </row>
    <row r="746" spans="1:23" ht="33.5" customHeight="1">
      <c r="A746" s="19" t="s">
        <v>7080</v>
      </c>
      <c r="B746" s="19" t="s">
        <v>7084</v>
      </c>
      <c r="C746" s="4" t="s">
        <v>24</v>
      </c>
      <c r="D746" s="4" t="s">
        <v>25</v>
      </c>
      <c r="E746" s="4" t="s">
        <v>45</v>
      </c>
      <c r="F746" s="4" t="s">
        <v>2662</v>
      </c>
      <c r="G746" s="204"/>
      <c r="H746" s="4" t="s">
        <v>541</v>
      </c>
      <c r="I746" s="204" t="s">
        <v>2276</v>
      </c>
      <c r="J746" s="204" t="s">
        <v>2276</v>
      </c>
      <c r="K746" s="204" t="s">
        <v>2276</v>
      </c>
      <c r="L746" s="204" t="s">
        <v>2276</v>
      </c>
      <c r="M746" s="204" t="s">
        <v>2276</v>
      </c>
      <c r="N746" s="204" t="s">
        <v>2276</v>
      </c>
      <c r="O746" s="204" t="s">
        <v>2276</v>
      </c>
      <c r="P746" s="204" t="s">
        <v>2276</v>
      </c>
      <c r="Q746" s="204" t="s">
        <v>2276</v>
      </c>
      <c r="R746" s="11" t="s">
        <v>534</v>
      </c>
      <c r="S746" s="204" t="s">
        <v>2276</v>
      </c>
      <c r="T746" s="204" t="s">
        <v>2276</v>
      </c>
      <c r="U746" s="204" t="s">
        <v>2276</v>
      </c>
      <c r="V746" s="204">
        <v>4</v>
      </c>
      <c r="W746" s="19" t="s">
        <v>7092</v>
      </c>
    </row>
    <row r="747" spans="1:23" ht="46" customHeight="1">
      <c r="A747" s="4" t="s">
        <v>7080</v>
      </c>
      <c r="B747" s="19" t="s">
        <v>7085</v>
      </c>
      <c r="C747" s="4" t="s">
        <v>24</v>
      </c>
      <c r="D747" s="4" t="s">
        <v>1242</v>
      </c>
      <c r="E747" s="4" t="s">
        <v>3209</v>
      </c>
      <c r="F747" s="4" t="s">
        <v>2662</v>
      </c>
      <c r="G747" s="204"/>
      <c r="H747" s="4" t="s">
        <v>541</v>
      </c>
      <c r="I747" s="204" t="s">
        <v>2691</v>
      </c>
      <c r="J747" s="204" t="s">
        <v>534</v>
      </c>
      <c r="K747" s="204" t="s">
        <v>534</v>
      </c>
      <c r="L747" s="204" t="s">
        <v>2276</v>
      </c>
      <c r="M747" s="204" t="s">
        <v>2728</v>
      </c>
      <c r="N747" s="204" t="s">
        <v>2276</v>
      </c>
      <c r="O747" s="204" t="s">
        <v>2276</v>
      </c>
      <c r="P747" s="204" t="s">
        <v>2276</v>
      </c>
      <c r="Q747" s="204" t="s">
        <v>2276</v>
      </c>
      <c r="R747" s="204" t="s">
        <v>537</v>
      </c>
      <c r="S747" s="204" t="s">
        <v>537</v>
      </c>
      <c r="T747" s="204" t="s">
        <v>537</v>
      </c>
      <c r="U747" s="204" t="s">
        <v>537</v>
      </c>
      <c r="V747" s="204" t="s">
        <v>2276</v>
      </c>
      <c r="W747" s="4" t="s">
        <v>7093</v>
      </c>
    </row>
    <row r="748" spans="1:23" ht="47.5" customHeight="1">
      <c r="A748" s="4" t="s">
        <v>7080</v>
      </c>
      <c r="B748" s="19" t="s">
        <v>7086</v>
      </c>
      <c r="C748" s="4" t="s">
        <v>24</v>
      </c>
      <c r="D748" s="4" t="s">
        <v>144</v>
      </c>
      <c r="E748" s="4" t="s">
        <v>3209</v>
      </c>
      <c r="F748" s="4" t="s">
        <v>2662</v>
      </c>
      <c r="G748" s="204"/>
      <c r="H748" s="4" t="s">
        <v>541</v>
      </c>
      <c r="I748" s="204" t="s">
        <v>2691</v>
      </c>
      <c r="J748" s="204" t="s">
        <v>534</v>
      </c>
      <c r="K748" s="204" t="s">
        <v>534</v>
      </c>
      <c r="L748" s="204" t="s">
        <v>2276</v>
      </c>
      <c r="M748" s="204" t="s">
        <v>2728</v>
      </c>
      <c r="N748" s="204" t="s">
        <v>2276</v>
      </c>
      <c r="O748" s="204" t="s">
        <v>2276</v>
      </c>
      <c r="P748" s="204" t="s">
        <v>2276</v>
      </c>
      <c r="Q748" s="204" t="s">
        <v>2276</v>
      </c>
      <c r="R748" s="204" t="s">
        <v>537</v>
      </c>
      <c r="S748" s="204" t="s">
        <v>537</v>
      </c>
      <c r="T748" s="204" t="s">
        <v>537</v>
      </c>
      <c r="U748" s="204" t="s">
        <v>537</v>
      </c>
      <c r="V748" s="204" t="s">
        <v>2276</v>
      </c>
      <c r="W748" s="4" t="s">
        <v>7093</v>
      </c>
    </row>
    <row r="749" spans="1:23" ht="58">
      <c r="A749" s="19" t="s">
        <v>7140</v>
      </c>
      <c r="B749" s="19" t="s">
        <v>7215</v>
      </c>
      <c r="C749" s="204" t="s">
        <v>1105</v>
      </c>
      <c r="D749" s="204" t="s">
        <v>1105</v>
      </c>
      <c r="E749" s="204" t="s">
        <v>45</v>
      </c>
      <c r="F749" s="4" t="s">
        <v>2662</v>
      </c>
      <c r="G749" s="204"/>
      <c r="H749" s="4" t="s">
        <v>4077</v>
      </c>
      <c r="I749" s="204" t="s">
        <v>2690</v>
      </c>
      <c r="J749" s="204" t="s">
        <v>534</v>
      </c>
      <c r="K749" s="204" t="s">
        <v>2276</v>
      </c>
      <c r="L749" s="204" t="s">
        <v>2276</v>
      </c>
      <c r="M749" s="204" t="s">
        <v>2276</v>
      </c>
      <c r="N749" s="204" t="s">
        <v>2276</v>
      </c>
      <c r="O749" s="204" t="s">
        <v>2276</v>
      </c>
      <c r="P749" s="204" t="s">
        <v>2276</v>
      </c>
      <c r="Q749" s="204" t="s">
        <v>2276</v>
      </c>
      <c r="R749" s="204" t="s">
        <v>2276</v>
      </c>
      <c r="S749" s="204" t="s">
        <v>2276</v>
      </c>
      <c r="T749" s="204" t="s">
        <v>2276</v>
      </c>
      <c r="U749" s="204" t="s">
        <v>2276</v>
      </c>
      <c r="V749" s="204" t="s">
        <v>2276</v>
      </c>
      <c r="W749" s="4" t="s">
        <v>7219</v>
      </c>
    </row>
    <row r="750" spans="1:23" ht="58">
      <c r="A750" s="19" t="s">
        <v>7141</v>
      </c>
      <c r="B750" s="19" t="s">
        <v>7216</v>
      </c>
      <c r="C750" s="204" t="s">
        <v>1105</v>
      </c>
      <c r="D750" s="204" t="s">
        <v>1105</v>
      </c>
      <c r="E750" s="204" t="s">
        <v>45</v>
      </c>
      <c r="F750" s="4" t="s">
        <v>2662</v>
      </c>
      <c r="G750" s="204"/>
      <c r="H750" s="4" t="s">
        <v>4077</v>
      </c>
      <c r="I750" s="204" t="s">
        <v>2690</v>
      </c>
      <c r="J750" s="204" t="s">
        <v>534</v>
      </c>
      <c r="K750" s="204" t="s">
        <v>2276</v>
      </c>
      <c r="L750" s="204" t="s">
        <v>2276</v>
      </c>
      <c r="M750" s="204" t="s">
        <v>2276</v>
      </c>
      <c r="N750" s="204" t="s">
        <v>2276</v>
      </c>
      <c r="O750" s="204" t="s">
        <v>2276</v>
      </c>
      <c r="P750" s="204" t="s">
        <v>2276</v>
      </c>
      <c r="Q750" s="204" t="s">
        <v>2276</v>
      </c>
      <c r="R750" s="204" t="s">
        <v>2276</v>
      </c>
      <c r="S750" s="204" t="s">
        <v>2276</v>
      </c>
      <c r="T750" s="204" t="s">
        <v>2276</v>
      </c>
      <c r="U750" s="204" t="s">
        <v>2276</v>
      </c>
      <c r="V750" s="204" t="s">
        <v>2276</v>
      </c>
      <c r="W750" s="4" t="s">
        <v>7219</v>
      </c>
    </row>
    <row r="751" spans="1:23" ht="58">
      <c r="A751" s="19" t="s">
        <v>7142</v>
      </c>
      <c r="B751" s="19" t="s">
        <v>7217</v>
      </c>
      <c r="C751" s="204" t="s">
        <v>1105</v>
      </c>
      <c r="D751" s="204" t="s">
        <v>1105</v>
      </c>
      <c r="E751" s="204" t="s">
        <v>45</v>
      </c>
      <c r="F751" s="4" t="s">
        <v>2662</v>
      </c>
      <c r="G751" s="204"/>
      <c r="H751" s="4" t="s">
        <v>4077</v>
      </c>
      <c r="I751" s="204" t="s">
        <v>2690</v>
      </c>
      <c r="J751" s="204" t="s">
        <v>534</v>
      </c>
      <c r="K751" s="204" t="s">
        <v>2276</v>
      </c>
      <c r="L751" s="204" t="s">
        <v>2276</v>
      </c>
      <c r="M751" s="204" t="s">
        <v>2276</v>
      </c>
      <c r="N751" s="204" t="s">
        <v>2276</v>
      </c>
      <c r="O751" s="204" t="s">
        <v>2276</v>
      </c>
      <c r="P751" s="204" t="s">
        <v>2276</v>
      </c>
      <c r="Q751" s="204" t="s">
        <v>2276</v>
      </c>
      <c r="R751" s="204" t="s">
        <v>2276</v>
      </c>
      <c r="S751" s="204" t="s">
        <v>2276</v>
      </c>
      <c r="T751" s="204" t="s">
        <v>2276</v>
      </c>
      <c r="U751" s="204" t="s">
        <v>2276</v>
      </c>
      <c r="V751" s="204" t="s">
        <v>2276</v>
      </c>
      <c r="W751" s="4" t="s">
        <v>7219</v>
      </c>
    </row>
    <row r="752" spans="1:23" ht="58">
      <c r="A752" s="19" t="s">
        <v>7143</v>
      </c>
      <c r="B752" s="19" t="s">
        <v>7218</v>
      </c>
      <c r="C752" s="204" t="s">
        <v>1105</v>
      </c>
      <c r="D752" s="204" t="s">
        <v>1105</v>
      </c>
      <c r="E752" s="204" t="s">
        <v>45</v>
      </c>
      <c r="F752" s="4" t="s">
        <v>2662</v>
      </c>
      <c r="G752" s="204"/>
      <c r="H752" s="4" t="s">
        <v>4077</v>
      </c>
      <c r="I752" s="204" t="s">
        <v>2690</v>
      </c>
      <c r="J752" s="204" t="s">
        <v>534</v>
      </c>
      <c r="K752" s="204" t="s">
        <v>2276</v>
      </c>
      <c r="L752" s="204" t="s">
        <v>2276</v>
      </c>
      <c r="M752" s="204" t="s">
        <v>2276</v>
      </c>
      <c r="N752" s="204" t="s">
        <v>2276</v>
      </c>
      <c r="O752" s="204" t="s">
        <v>2276</v>
      </c>
      <c r="P752" s="204" t="s">
        <v>2276</v>
      </c>
      <c r="Q752" s="204" t="s">
        <v>2276</v>
      </c>
      <c r="R752" s="204" t="s">
        <v>2276</v>
      </c>
      <c r="S752" s="204" t="s">
        <v>2276</v>
      </c>
      <c r="T752" s="204" t="s">
        <v>2276</v>
      </c>
      <c r="U752" s="204" t="s">
        <v>2276</v>
      </c>
      <c r="V752" s="204" t="s">
        <v>2276</v>
      </c>
      <c r="W752" s="4" t="s">
        <v>7219</v>
      </c>
    </row>
    <row r="753" spans="1:23" ht="51" customHeight="1">
      <c r="A753" s="19" t="s">
        <v>7169</v>
      </c>
      <c r="B753" s="19" t="s">
        <v>7221</v>
      </c>
      <c r="C753" s="204" t="s">
        <v>24</v>
      </c>
      <c r="D753" s="4" t="s">
        <v>2804</v>
      </c>
      <c r="E753" s="204" t="s">
        <v>45</v>
      </c>
      <c r="F753" s="4" t="s">
        <v>2662</v>
      </c>
      <c r="G753" s="204"/>
      <c r="H753" s="4" t="s">
        <v>4077</v>
      </c>
      <c r="I753" s="204" t="s">
        <v>2691</v>
      </c>
      <c r="J753" s="204" t="s">
        <v>534</v>
      </c>
      <c r="K753" s="204" t="s">
        <v>2276</v>
      </c>
      <c r="L753" s="204" t="s">
        <v>2276</v>
      </c>
      <c r="M753" s="204" t="s">
        <v>2276</v>
      </c>
      <c r="N753" s="204" t="s">
        <v>2276</v>
      </c>
      <c r="O753" s="204" t="s">
        <v>2276</v>
      </c>
      <c r="P753" s="204" t="s">
        <v>2276</v>
      </c>
      <c r="Q753" s="204" t="s">
        <v>2276</v>
      </c>
      <c r="R753" s="204" t="s">
        <v>2276</v>
      </c>
      <c r="S753" s="204" t="s">
        <v>2276</v>
      </c>
      <c r="T753" s="204" t="s">
        <v>2276</v>
      </c>
      <c r="U753" s="204" t="s">
        <v>2276</v>
      </c>
      <c r="V753" s="204" t="s">
        <v>2276</v>
      </c>
      <c r="W753" s="4" t="s">
        <v>7227</v>
      </c>
    </row>
    <row r="754" spans="1:23" ht="53.5" customHeight="1">
      <c r="A754" s="19" t="s">
        <v>7170</v>
      </c>
      <c r="B754" s="19" t="s">
        <v>7224</v>
      </c>
      <c r="C754" s="204" t="s">
        <v>24</v>
      </c>
      <c r="D754" s="4" t="s">
        <v>2804</v>
      </c>
      <c r="E754" s="204" t="s">
        <v>45</v>
      </c>
      <c r="F754" s="4" t="s">
        <v>2662</v>
      </c>
      <c r="G754" s="204"/>
      <c r="H754" s="4" t="s">
        <v>4077</v>
      </c>
      <c r="I754" s="204" t="s">
        <v>2691</v>
      </c>
      <c r="J754" s="204" t="s">
        <v>534</v>
      </c>
      <c r="K754" s="204" t="s">
        <v>2276</v>
      </c>
      <c r="L754" s="204" t="s">
        <v>2276</v>
      </c>
      <c r="M754" s="204" t="s">
        <v>2276</v>
      </c>
      <c r="N754" s="204" t="s">
        <v>2276</v>
      </c>
      <c r="O754" s="204" t="s">
        <v>2276</v>
      </c>
      <c r="P754" s="204" t="s">
        <v>2276</v>
      </c>
      <c r="Q754" s="204" t="s">
        <v>2276</v>
      </c>
      <c r="R754" s="204" t="s">
        <v>2276</v>
      </c>
      <c r="S754" s="204" t="s">
        <v>2276</v>
      </c>
      <c r="T754" s="204" t="s">
        <v>2276</v>
      </c>
      <c r="U754" s="204" t="s">
        <v>2276</v>
      </c>
      <c r="V754" s="204" t="s">
        <v>2276</v>
      </c>
      <c r="W754" s="4" t="s">
        <v>7227</v>
      </c>
    </row>
    <row r="755" spans="1:23" ht="58" customHeight="1">
      <c r="A755" s="19" t="s">
        <v>7171</v>
      </c>
      <c r="B755" s="19" t="s">
        <v>7226</v>
      </c>
      <c r="C755" s="204" t="s">
        <v>24</v>
      </c>
      <c r="D755" s="4" t="s">
        <v>2804</v>
      </c>
      <c r="E755" s="204" t="s">
        <v>45</v>
      </c>
      <c r="F755" s="4" t="s">
        <v>2662</v>
      </c>
      <c r="G755" s="204"/>
      <c r="H755" s="4" t="s">
        <v>4077</v>
      </c>
      <c r="I755" s="204" t="s">
        <v>2691</v>
      </c>
      <c r="J755" s="204" t="s">
        <v>534</v>
      </c>
      <c r="K755" s="204" t="s">
        <v>2276</v>
      </c>
      <c r="L755" s="204" t="s">
        <v>2276</v>
      </c>
      <c r="M755" s="204" t="s">
        <v>2276</v>
      </c>
      <c r="N755" s="204" t="s">
        <v>2276</v>
      </c>
      <c r="O755" s="204" t="s">
        <v>2276</v>
      </c>
      <c r="P755" s="204" t="s">
        <v>2276</v>
      </c>
      <c r="Q755" s="204" t="s">
        <v>2276</v>
      </c>
      <c r="R755" s="204" t="s">
        <v>2276</v>
      </c>
      <c r="S755" s="204" t="s">
        <v>2276</v>
      </c>
      <c r="T755" s="204" t="s">
        <v>2276</v>
      </c>
      <c r="U755" s="204" t="s">
        <v>2276</v>
      </c>
      <c r="V755" s="204" t="s">
        <v>2276</v>
      </c>
      <c r="W755" s="4" t="s">
        <v>7227</v>
      </c>
    </row>
    <row r="756" spans="1:23" ht="29.5" customHeight="1">
      <c r="A756" s="19" t="s">
        <v>7235</v>
      </c>
      <c r="B756" s="19" t="s">
        <v>7242</v>
      </c>
      <c r="C756" s="204" t="s">
        <v>24</v>
      </c>
      <c r="D756" s="204" t="s">
        <v>1242</v>
      </c>
      <c r="E756" s="204" t="s">
        <v>2649</v>
      </c>
      <c r="F756" s="4" t="s">
        <v>2662</v>
      </c>
      <c r="G756" s="204"/>
      <c r="H756" s="4" t="s">
        <v>541</v>
      </c>
      <c r="I756" s="204" t="s">
        <v>2276</v>
      </c>
      <c r="J756" s="204" t="s">
        <v>2276</v>
      </c>
      <c r="K756" s="204" t="s">
        <v>2276</v>
      </c>
      <c r="L756" s="204" t="s">
        <v>2276</v>
      </c>
      <c r="M756" s="204" t="s">
        <v>2276</v>
      </c>
      <c r="N756" s="204" t="s">
        <v>2276</v>
      </c>
      <c r="O756" s="204" t="s">
        <v>2276</v>
      </c>
      <c r="P756" s="204" t="s">
        <v>2276</v>
      </c>
      <c r="Q756" s="204" t="s">
        <v>2276</v>
      </c>
      <c r="R756" s="204" t="s">
        <v>534</v>
      </c>
      <c r="S756" s="204" t="s">
        <v>2276</v>
      </c>
      <c r="T756" s="204" t="s">
        <v>2276</v>
      </c>
      <c r="U756" s="204" t="s">
        <v>2276</v>
      </c>
      <c r="V756" s="204">
        <v>4</v>
      </c>
      <c r="W756" s="19" t="s">
        <v>7245</v>
      </c>
    </row>
    <row r="757" spans="1:23" ht="33.5" customHeight="1">
      <c r="A757" s="19" t="s">
        <v>7235</v>
      </c>
      <c r="B757" s="19" t="s">
        <v>7243</v>
      </c>
      <c r="C757" s="204" t="s">
        <v>24</v>
      </c>
      <c r="D757" s="204" t="s">
        <v>1242</v>
      </c>
      <c r="E757" s="204" t="s">
        <v>137</v>
      </c>
      <c r="F757" s="4" t="s">
        <v>2662</v>
      </c>
      <c r="G757" s="204"/>
      <c r="H757" s="4" t="s">
        <v>541</v>
      </c>
      <c r="I757" s="204" t="s">
        <v>2276</v>
      </c>
      <c r="J757" s="204" t="s">
        <v>2276</v>
      </c>
      <c r="K757" s="204" t="s">
        <v>2276</v>
      </c>
      <c r="L757" s="204" t="s">
        <v>2276</v>
      </c>
      <c r="M757" s="204" t="s">
        <v>2276</v>
      </c>
      <c r="N757" s="204" t="s">
        <v>2276</v>
      </c>
      <c r="O757" s="204" t="s">
        <v>2276</v>
      </c>
      <c r="P757" s="204" t="s">
        <v>2276</v>
      </c>
      <c r="Q757" s="204" t="s">
        <v>2276</v>
      </c>
      <c r="R757" s="204" t="s">
        <v>534</v>
      </c>
      <c r="S757" s="204" t="s">
        <v>2276</v>
      </c>
      <c r="T757" s="204" t="s">
        <v>2276</v>
      </c>
      <c r="U757" s="204" t="s">
        <v>2276</v>
      </c>
      <c r="V757" s="204">
        <v>4</v>
      </c>
      <c r="W757" s="19" t="s">
        <v>7245</v>
      </c>
    </row>
    <row r="758" spans="1:23" ht="34" customHeight="1">
      <c r="A758" s="19" t="s">
        <v>7237</v>
      </c>
      <c r="B758" s="19" t="s">
        <v>7251</v>
      </c>
      <c r="C758" s="204" t="s">
        <v>24</v>
      </c>
      <c r="D758" s="4" t="s">
        <v>2804</v>
      </c>
      <c r="E758" s="204" t="s">
        <v>45</v>
      </c>
      <c r="F758" s="4" t="s">
        <v>2662</v>
      </c>
      <c r="G758" s="204">
        <v>1990</v>
      </c>
      <c r="H758" s="4" t="s">
        <v>541</v>
      </c>
      <c r="I758" s="204" t="s">
        <v>2276</v>
      </c>
      <c r="J758" s="204" t="s">
        <v>2276</v>
      </c>
      <c r="K758" s="204" t="s">
        <v>2276</v>
      </c>
      <c r="L758" s="204" t="s">
        <v>2276</v>
      </c>
      <c r="M758" s="204" t="s">
        <v>2671</v>
      </c>
      <c r="N758" s="204" t="s">
        <v>2276</v>
      </c>
      <c r="O758" s="204" t="s">
        <v>534</v>
      </c>
      <c r="P758" s="204" t="s">
        <v>2276</v>
      </c>
      <c r="Q758" s="204">
        <v>2</v>
      </c>
      <c r="R758" s="204" t="s">
        <v>2276</v>
      </c>
      <c r="S758" s="204" t="s">
        <v>2276</v>
      </c>
      <c r="T758" s="204" t="s">
        <v>2276</v>
      </c>
      <c r="U758" s="204" t="s">
        <v>2276</v>
      </c>
      <c r="V758" s="204" t="s">
        <v>2276</v>
      </c>
      <c r="W758" s="4" t="s">
        <v>7258</v>
      </c>
    </row>
    <row r="759" spans="1:23" ht="32" customHeight="1">
      <c r="A759" s="19" t="s">
        <v>7237</v>
      </c>
      <c r="B759" s="19" t="s">
        <v>7253</v>
      </c>
      <c r="C759" s="204" t="s">
        <v>24</v>
      </c>
      <c r="D759" s="4" t="s">
        <v>2804</v>
      </c>
      <c r="E759" s="204" t="s">
        <v>45</v>
      </c>
      <c r="F759" s="4" t="s">
        <v>2662</v>
      </c>
      <c r="G759" s="204">
        <v>2000</v>
      </c>
      <c r="H759" s="4" t="s">
        <v>541</v>
      </c>
      <c r="I759" s="204" t="s">
        <v>2276</v>
      </c>
      <c r="J759" s="204" t="s">
        <v>2276</v>
      </c>
      <c r="K759" s="204" t="s">
        <v>2276</v>
      </c>
      <c r="L759" s="204" t="s">
        <v>2276</v>
      </c>
      <c r="M759" s="204" t="s">
        <v>2671</v>
      </c>
      <c r="N759" s="204" t="s">
        <v>2276</v>
      </c>
      <c r="O759" s="204" t="s">
        <v>534</v>
      </c>
      <c r="P759" s="204" t="s">
        <v>2276</v>
      </c>
      <c r="Q759" s="204">
        <v>4</v>
      </c>
      <c r="R759" s="204" t="s">
        <v>2276</v>
      </c>
      <c r="S759" s="204" t="s">
        <v>2276</v>
      </c>
      <c r="T759" s="204" t="s">
        <v>2276</v>
      </c>
      <c r="U759" s="204" t="s">
        <v>2276</v>
      </c>
      <c r="V759" s="204" t="s">
        <v>2276</v>
      </c>
      <c r="W759" s="19" t="s">
        <v>7257</v>
      </c>
    </row>
    <row r="760" spans="1:23" ht="35.5" customHeight="1">
      <c r="A760" s="19" t="s">
        <v>7238</v>
      </c>
      <c r="B760" s="19" t="s">
        <v>7252</v>
      </c>
      <c r="C760" s="204" t="s">
        <v>24</v>
      </c>
      <c r="D760" s="4" t="s">
        <v>2804</v>
      </c>
      <c r="E760" s="204" t="s">
        <v>45</v>
      </c>
      <c r="F760" s="4" t="s">
        <v>2662</v>
      </c>
      <c r="G760" s="204"/>
      <c r="H760" s="4" t="s">
        <v>541</v>
      </c>
      <c r="I760" s="204" t="s">
        <v>2276</v>
      </c>
      <c r="J760" s="204" t="s">
        <v>2276</v>
      </c>
      <c r="K760" s="204" t="s">
        <v>2276</v>
      </c>
      <c r="L760" s="204" t="s">
        <v>2276</v>
      </c>
      <c r="M760" s="204" t="s">
        <v>2276</v>
      </c>
      <c r="N760" s="204" t="s">
        <v>2276</v>
      </c>
      <c r="O760" s="204" t="s">
        <v>2276</v>
      </c>
      <c r="P760" s="204" t="s">
        <v>2276</v>
      </c>
      <c r="Q760" s="204" t="s">
        <v>2276</v>
      </c>
      <c r="R760" s="204" t="s">
        <v>534</v>
      </c>
      <c r="S760" s="204" t="s">
        <v>2276</v>
      </c>
      <c r="T760" s="204" t="s">
        <v>2276</v>
      </c>
      <c r="U760" s="204" t="s">
        <v>2276</v>
      </c>
      <c r="V760" s="204">
        <v>2</v>
      </c>
      <c r="W760" s="19" t="s">
        <v>7261</v>
      </c>
    </row>
    <row r="761" spans="1:23" ht="35.5" customHeight="1">
      <c r="A761" s="19" t="s">
        <v>7238</v>
      </c>
      <c r="B761" s="19" t="s">
        <v>7259</v>
      </c>
      <c r="C761" s="204" t="s">
        <v>24</v>
      </c>
      <c r="D761" s="4" t="s">
        <v>2804</v>
      </c>
      <c r="E761" s="204" t="s">
        <v>45</v>
      </c>
      <c r="F761" s="4" t="s">
        <v>2662</v>
      </c>
      <c r="G761" s="204"/>
      <c r="H761" s="4" t="s">
        <v>541</v>
      </c>
      <c r="I761" s="204" t="s">
        <v>2276</v>
      </c>
      <c r="J761" s="204" t="s">
        <v>2276</v>
      </c>
      <c r="K761" s="204" t="s">
        <v>2276</v>
      </c>
      <c r="L761" s="204" t="s">
        <v>2276</v>
      </c>
      <c r="M761" s="204" t="s">
        <v>2669</v>
      </c>
      <c r="N761" s="204" t="s">
        <v>2276</v>
      </c>
      <c r="O761" s="204" t="s">
        <v>2276</v>
      </c>
      <c r="P761" s="204" t="s">
        <v>2276</v>
      </c>
      <c r="Q761" s="204">
        <v>4</v>
      </c>
      <c r="R761" s="204" t="s">
        <v>2276</v>
      </c>
      <c r="S761" s="204" t="s">
        <v>2276</v>
      </c>
      <c r="T761" s="204" t="s">
        <v>2276</v>
      </c>
      <c r="U761" s="204" t="s">
        <v>2276</v>
      </c>
      <c r="V761" s="204" t="s">
        <v>2276</v>
      </c>
      <c r="W761" s="19" t="s">
        <v>7262</v>
      </c>
    </row>
    <row r="762" spans="1:23" ht="46.5" customHeight="1">
      <c r="A762" s="19" t="s">
        <v>7594</v>
      </c>
      <c r="B762" s="19" t="s">
        <v>7595</v>
      </c>
      <c r="C762" s="4" t="s">
        <v>24</v>
      </c>
      <c r="D762" s="4" t="s">
        <v>1242</v>
      </c>
      <c r="E762" s="4" t="s">
        <v>3209</v>
      </c>
      <c r="F762" s="4" t="s">
        <v>2662</v>
      </c>
      <c r="G762" s="204"/>
      <c r="H762" s="4" t="s">
        <v>2673</v>
      </c>
      <c r="I762" s="204" t="s">
        <v>2276</v>
      </c>
      <c r="J762" s="204" t="s">
        <v>2276</v>
      </c>
      <c r="K762" s="204" t="s">
        <v>2276</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7639</v>
      </c>
    </row>
    <row r="763" spans="1:23" ht="46.5" customHeight="1">
      <c r="A763" s="19" t="s">
        <v>7616</v>
      </c>
      <c r="B763" s="19" t="s">
        <v>7617</v>
      </c>
      <c r="C763" s="4" t="s">
        <v>24</v>
      </c>
      <c r="D763" s="4" t="s">
        <v>1242</v>
      </c>
      <c r="E763" s="4" t="s">
        <v>3209</v>
      </c>
      <c r="F763" s="4" t="s">
        <v>2662</v>
      </c>
      <c r="G763" s="204"/>
      <c r="H763" s="4" t="s">
        <v>2673</v>
      </c>
      <c r="I763" s="204" t="s">
        <v>2276</v>
      </c>
      <c r="J763" s="204" t="s">
        <v>2276</v>
      </c>
      <c r="K763" s="204" t="s">
        <v>2276</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7638</v>
      </c>
    </row>
    <row r="764" spans="1:23" ht="46.5" customHeight="1">
      <c r="A764" s="19" t="s">
        <v>7619</v>
      </c>
      <c r="B764" s="19" t="s">
        <v>7621</v>
      </c>
      <c r="C764" s="4" t="s">
        <v>24</v>
      </c>
      <c r="D764" s="4" t="s">
        <v>1242</v>
      </c>
      <c r="E764" s="4" t="s">
        <v>3209</v>
      </c>
      <c r="F764" s="4" t="s">
        <v>2662</v>
      </c>
      <c r="G764" s="204">
        <v>1994</v>
      </c>
      <c r="H764" s="4" t="s">
        <v>541</v>
      </c>
      <c r="I764" s="204" t="s">
        <v>2276</v>
      </c>
      <c r="J764" s="204" t="s">
        <v>2276</v>
      </c>
      <c r="K764" s="204" t="s">
        <v>2276</v>
      </c>
      <c r="L764" s="204" t="s">
        <v>2276</v>
      </c>
      <c r="M764" s="204" t="s">
        <v>2728</v>
      </c>
      <c r="N764" s="204" t="s">
        <v>2276</v>
      </c>
      <c r="O764" s="204" t="s">
        <v>2276</v>
      </c>
      <c r="P764" s="204" t="s">
        <v>2276</v>
      </c>
      <c r="Q764" s="204" t="s">
        <v>2276</v>
      </c>
      <c r="R764" s="204" t="s">
        <v>537</v>
      </c>
      <c r="S764" s="204" t="s">
        <v>537</v>
      </c>
      <c r="T764" s="204" t="s">
        <v>537</v>
      </c>
      <c r="U764" s="204" t="s">
        <v>537</v>
      </c>
      <c r="V764" s="204" t="s">
        <v>2276</v>
      </c>
      <c r="W764" s="4" t="s">
        <v>7640</v>
      </c>
    </row>
    <row r="765" spans="1:23" s="203" customFormat="1" ht="46.5" customHeight="1">
      <c r="A765" s="19" t="s">
        <v>7619</v>
      </c>
      <c r="B765" s="19" t="s">
        <v>7625</v>
      </c>
      <c r="C765" s="4" t="s">
        <v>24</v>
      </c>
      <c r="D765" s="4" t="s">
        <v>1242</v>
      </c>
      <c r="E765" s="4" t="s">
        <v>3209</v>
      </c>
      <c r="F765" s="4" t="s">
        <v>2662</v>
      </c>
      <c r="G765" s="204">
        <v>2005</v>
      </c>
      <c r="H765" s="4" t="s">
        <v>541</v>
      </c>
      <c r="I765" s="204" t="s">
        <v>2691</v>
      </c>
      <c r="J765" s="204" t="s">
        <v>534</v>
      </c>
      <c r="K765" s="204" t="s">
        <v>534</v>
      </c>
      <c r="L765" s="204" t="s">
        <v>534</v>
      </c>
      <c r="M765" s="204" t="s">
        <v>2728</v>
      </c>
      <c r="N765" s="204" t="s">
        <v>2276</v>
      </c>
      <c r="O765" s="204" t="s">
        <v>2276</v>
      </c>
      <c r="P765" s="204" t="s">
        <v>2276</v>
      </c>
      <c r="Q765" s="204" t="s">
        <v>2276</v>
      </c>
      <c r="R765" s="204" t="s">
        <v>537</v>
      </c>
      <c r="S765" s="204" t="s">
        <v>537</v>
      </c>
      <c r="T765" s="204" t="s">
        <v>537</v>
      </c>
      <c r="U765" s="204" t="s">
        <v>537</v>
      </c>
      <c r="V765" s="204" t="s">
        <v>2276</v>
      </c>
      <c r="W765" s="4" t="s">
        <v>7637</v>
      </c>
    </row>
    <row r="766" spans="1:23" ht="46.5" customHeight="1">
      <c r="A766" s="19" t="s">
        <v>7620</v>
      </c>
      <c r="B766" s="19" t="s">
        <v>7622</v>
      </c>
      <c r="C766" s="4" t="s">
        <v>24</v>
      </c>
      <c r="D766" s="4" t="s">
        <v>1242</v>
      </c>
      <c r="E766" s="4" t="s">
        <v>3209</v>
      </c>
      <c r="F766" s="4" t="s">
        <v>2662</v>
      </c>
      <c r="G766" s="204"/>
      <c r="H766" s="4" t="s">
        <v>541</v>
      </c>
      <c r="I766" s="204" t="s">
        <v>2276</v>
      </c>
      <c r="J766" s="204" t="s">
        <v>2276</v>
      </c>
      <c r="K766" s="204" t="s">
        <v>2276</v>
      </c>
      <c r="L766" s="204" t="s">
        <v>2276</v>
      </c>
      <c r="M766" s="204" t="s">
        <v>2728</v>
      </c>
      <c r="N766" s="204" t="s">
        <v>2276</v>
      </c>
      <c r="O766" s="204" t="s">
        <v>2276</v>
      </c>
      <c r="P766" s="204" t="s">
        <v>2276</v>
      </c>
      <c r="Q766" s="204" t="s">
        <v>2276</v>
      </c>
      <c r="R766" s="204" t="s">
        <v>537</v>
      </c>
      <c r="S766" s="204" t="s">
        <v>537</v>
      </c>
      <c r="T766" s="204" t="s">
        <v>537</v>
      </c>
      <c r="U766" s="204" t="s">
        <v>537</v>
      </c>
      <c r="V766" s="204" t="s">
        <v>2276</v>
      </c>
      <c r="W766" s="4" t="s">
        <v>7640</v>
      </c>
    </row>
    <row r="767" spans="1:23" ht="37" customHeight="1">
      <c r="A767" s="19" t="s">
        <v>7594</v>
      </c>
      <c r="B767" s="19" t="s">
        <v>7596</v>
      </c>
      <c r="C767" s="4" t="s">
        <v>24</v>
      </c>
      <c r="D767" s="4" t="s">
        <v>1242</v>
      </c>
      <c r="E767" s="4" t="s">
        <v>3209</v>
      </c>
      <c r="F767" s="4" t="s">
        <v>74</v>
      </c>
      <c r="G767" s="204"/>
      <c r="H767" s="4" t="s">
        <v>2673</v>
      </c>
      <c r="I767" s="204" t="s">
        <v>2276</v>
      </c>
      <c r="J767" s="204" t="s">
        <v>2276</v>
      </c>
      <c r="K767" s="204" t="s">
        <v>2276</v>
      </c>
      <c r="L767" s="204" t="s">
        <v>2276</v>
      </c>
      <c r="M767" s="204" t="s">
        <v>2728</v>
      </c>
      <c r="N767" s="204" t="s">
        <v>2276</v>
      </c>
      <c r="O767" s="204" t="s">
        <v>2276</v>
      </c>
      <c r="P767" s="204" t="s">
        <v>2276</v>
      </c>
      <c r="Q767" s="204" t="s">
        <v>2276</v>
      </c>
      <c r="R767" s="204" t="s">
        <v>537</v>
      </c>
      <c r="S767" s="204" t="s">
        <v>537</v>
      </c>
      <c r="T767" s="204" t="s">
        <v>537</v>
      </c>
      <c r="U767" s="204" t="s">
        <v>537</v>
      </c>
      <c r="V767" s="204" t="s">
        <v>2276</v>
      </c>
      <c r="W767" s="4" t="s">
        <v>7639</v>
      </c>
    </row>
    <row r="768" spans="1:23" ht="37" customHeight="1">
      <c r="A768" s="19" t="s">
        <v>7616</v>
      </c>
      <c r="B768" s="19" t="s">
        <v>7630</v>
      </c>
      <c r="C768" s="4" t="s">
        <v>24</v>
      </c>
      <c r="D768" s="4" t="s">
        <v>1242</v>
      </c>
      <c r="E768" s="4" t="s">
        <v>3209</v>
      </c>
      <c r="F768" s="4" t="s">
        <v>74</v>
      </c>
      <c r="G768" s="204"/>
      <c r="H768" s="4" t="s">
        <v>2673</v>
      </c>
      <c r="I768" s="204" t="s">
        <v>2276</v>
      </c>
      <c r="J768" s="204" t="s">
        <v>2276</v>
      </c>
      <c r="K768" s="204" t="s">
        <v>2276</v>
      </c>
      <c r="L768" s="204" t="s">
        <v>2276</v>
      </c>
      <c r="M768" s="204" t="s">
        <v>2728</v>
      </c>
      <c r="N768" s="204" t="s">
        <v>2276</v>
      </c>
      <c r="O768" s="204" t="s">
        <v>2276</v>
      </c>
      <c r="P768" s="204" t="s">
        <v>2276</v>
      </c>
      <c r="Q768" s="204" t="s">
        <v>2276</v>
      </c>
      <c r="R768" s="204" t="s">
        <v>537</v>
      </c>
      <c r="S768" s="204" t="s">
        <v>537</v>
      </c>
      <c r="T768" s="204" t="s">
        <v>537</v>
      </c>
      <c r="U768" s="204" t="s">
        <v>537</v>
      </c>
      <c r="V768" s="204" t="s">
        <v>2276</v>
      </c>
      <c r="W768" s="4" t="s">
        <v>7638</v>
      </c>
    </row>
    <row r="769" spans="1:23" ht="37" customHeight="1">
      <c r="A769" s="19" t="s">
        <v>7619</v>
      </c>
      <c r="B769" s="19" t="s">
        <v>7635</v>
      </c>
      <c r="C769" s="4" t="s">
        <v>24</v>
      </c>
      <c r="D769" s="4" t="s">
        <v>1242</v>
      </c>
      <c r="E769" s="4" t="s">
        <v>3209</v>
      </c>
      <c r="F769" s="4" t="s">
        <v>74</v>
      </c>
      <c r="G769" s="204">
        <v>1994</v>
      </c>
      <c r="H769" s="4" t="s">
        <v>541</v>
      </c>
      <c r="I769" s="204" t="s">
        <v>2276</v>
      </c>
      <c r="J769" s="204" t="s">
        <v>2276</v>
      </c>
      <c r="K769" s="204" t="s">
        <v>2276</v>
      </c>
      <c r="L769" s="204" t="s">
        <v>2276</v>
      </c>
      <c r="M769" s="204" t="s">
        <v>2728</v>
      </c>
      <c r="N769" s="204" t="s">
        <v>2276</v>
      </c>
      <c r="O769" s="204" t="s">
        <v>2276</v>
      </c>
      <c r="P769" s="204" t="s">
        <v>2276</v>
      </c>
      <c r="Q769" s="204" t="s">
        <v>2276</v>
      </c>
      <c r="R769" s="204" t="s">
        <v>537</v>
      </c>
      <c r="S769" s="204" t="s">
        <v>537</v>
      </c>
      <c r="T769" s="204" t="s">
        <v>537</v>
      </c>
      <c r="U769" s="204" t="s">
        <v>537</v>
      </c>
      <c r="V769" s="204" t="s">
        <v>2276</v>
      </c>
      <c r="W769" s="4" t="s">
        <v>7640</v>
      </c>
    </row>
    <row r="770" spans="1:23" s="203" customFormat="1" ht="37" customHeight="1">
      <c r="A770" s="19" t="s">
        <v>7619</v>
      </c>
      <c r="B770" s="19" t="s">
        <v>7636</v>
      </c>
      <c r="C770" s="4" t="s">
        <v>24</v>
      </c>
      <c r="D770" s="4" t="s">
        <v>1242</v>
      </c>
      <c r="E770" s="4" t="s">
        <v>3209</v>
      </c>
      <c r="F770" s="4" t="s">
        <v>74</v>
      </c>
      <c r="G770" s="204">
        <v>2005</v>
      </c>
      <c r="H770" s="4" t="s">
        <v>541</v>
      </c>
      <c r="I770" s="204" t="s">
        <v>2691</v>
      </c>
      <c r="J770" s="204" t="s">
        <v>534</v>
      </c>
      <c r="K770" s="204" t="s">
        <v>534</v>
      </c>
      <c r="L770" s="204" t="s">
        <v>534</v>
      </c>
      <c r="M770" s="204" t="s">
        <v>2728</v>
      </c>
      <c r="N770" s="204" t="s">
        <v>2276</v>
      </c>
      <c r="O770" s="204" t="s">
        <v>2276</v>
      </c>
      <c r="P770" s="204" t="s">
        <v>2276</v>
      </c>
      <c r="Q770" s="204" t="s">
        <v>2276</v>
      </c>
      <c r="R770" s="204" t="s">
        <v>537</v>
      </c>
      <c r="S770" s="204" t="s">
        <v>537</v>
      </c>
      <c r="T770" s="204" t="s">
        <v>537</v>
      </c>
      <c r="U770" s="204" t="s">
        <v>537</v>
      </c>
      <c r="V770" s="204" t="s">
        <v>2276</v>
      </c>
      <c r="W770" s="4" t="s">
        <v>7637</v>
      </c>
    </row>
    <row r="771" spans="1:23" ht="37" customHeight="1">
      <c r="A771" s="19" t="s">
        <v>7620</v>
      </c>
      <c r="B771" s="19" t="s">
        <v>7623</v>
      </c>
      <c r="C771" s="4" t="s">
        <v>24</v>
      </c>
      <c r="D771" s="4" t="s">
        <v>1242</v>
      </c>
      <c r="E771" s="4" t="s">
        <v>3209</v>
      </c>
      <c r="F771" s="4" t="s">
        <v>74</v>
      </c>
      <c r="G771" s="204"/>
      <c r="H771" s="4" t="s">
        <v>541</v>
      </c>
      <c r="I771" s="204" t="s">
        <v>2276</v>
      </c>
      <c r="J771" s="204" t="s">
        <v>2276</v>
      </c>
      <c r="K771" s="204" t="s">
        <v>2276</v>
      </c>
      <c r="L771" s="204" t="s">
        <v>2276</v>
      </c>
      <c r="M771" s="204" t="s">
        <v>2728</v>
      </c>
      <c r="N771" s="204" t="s">
        <v>2276</v>
      </c>
      <c r="O771" s="204" t="s">
        <v>2276</v>
      </c>
      <c r="P771" s="204" t="s">
        <v>2276</v>
      </c>
      <c r="Q771" s="204" t="s">
        <v>2276</v>
      </c>
      <c r="R771" s="204" t="s">
        <v>537</v>
      </c>
      <c r="S771" s="204" t="s">
        <v>537</v>
      </c>
      <c r="T771" s="204" t="s">
        <v>537</v>
      </c>
      <c r="U771" s="204" t="s">
        <v>537</v>
      </c>
      <c r="V771" s="204" t="s">
        <v>2276</v>
      </c>
      <c r="W771" s="4" t="s">
        <v>7640</v>
      </c>
    </row>
    <row r="772" spans="1:23" ht="30.5" customHeight="1">
      <c r="A772" s="19" t="s">
        <v>7594</v>
      </c>
      <c r="B772" s="19" t="s">
        <v>7597</v>
      </c>
      <c r="C772" s="4" t="s">
        <v>24</v>
      </c>
      <c r="D772" s="4" t="s">
        <v>61</v>
      </c>
      <c r="E772" s="204" t="s">
        <v>2276</v>
      </c>
      <c r="F772" s="4" t="s">
        <v>74</v>
      </c>
      <c r="G772" s="204"/>
      <c r="H772" s="4" t="s">
        <v>2673</v>
      </c>
      <c r="I772" s="204" t="s">
        <v>2276</v>
      </c>
      <c r="J772" s="204" t="s">
        <v>2276</v>
      </c>
      <c r="K772" s="204" t="s">
        <v>2276</v>
      </c>
      <c r="L772" s="204" t="s">
        <v>2276</v>
      </c>
      <c r="M772" s="204" t="s">
        <v>2728</v>
      </c>
      <c r="N772" s="204" t="s">
        <v>2276</v>
      </c>
      <c r="O772" s="204" t="s">
        <v>2276</v>
      </c>
      <c r="P772" s="204" t="s">
        <v>2276</v>
      </c>
      <c r="Q772" s="204" t="s">
        <v>2276</v>
      </c>
      <c r="R772" s="204" t="s">
        <v>537</v>
      </c>
      <c r="S772" s="204" t="s">
        <v>537</v>
      </c>
      <c r="T772" s="204" t="s">
        <v>537</v>
      </c>
      <c r="U772" s="204" t="s">
        <v>537</v>
      </c>
      <c r="V772" s="204" t="s">
        <v>2276</v>
      </c>
      <c r="W772" s="4" t="s">
        <v>7641</v>
      </c>
    </row>
    <row r="773" spans="1:23" ht="38.5" customHeight="1">
      <c r="A773" s="19" t="s">
        <v>7594</v>
      </c>
      <c r="B773" s="19" t="s">
        <v>7598</v>
      </c>
      <c r="C773" s="4" t="s">
        <v>24</v>
      </c>
      <c r="D773" s="4" t="s">
        <v>2804</v>
      </c>
      <c r="E773" s="204" t="s">
        <v>2276</v>
      </c>
      <c r="F773" s="4" t="s">
        <v>2662</v>
      </c>
      <c r="G773" s="204"/>
      <c r="H773" s="4" t="s">
        <v>2673</v>
      </c>
      <c r="I773" s="204" t="s">
        <v>2276</v>
      </c>
      <c r="J773" s="204" t="s">
        <v>2276</v>
      </c>
      <c r="K773" s="204" t="s">
        <v>2276</v>
      </c>
      <c r="L773" s="204" t="s">
        <v>2276</v>
      </c>
      <c r="M773" s="204" t="s">
        <v>2728</v>
      </c>
      <c r="N773" s="204" t="s">
        <v>2276</v>
      </c>
      <c r="O773" s="204" t="s">
        <v>2276</v>
      </c>
      <c r="P773" s="204" t="s">
        <v>2276</v>
      </c>
      <c r="Q773" s="204" t="s">
        <v>2276</v>
      </c>
      <c r="R773" s="204" t="s">
        <v>537</v>
      </c>
      <c r="S773" s="204" t="s">
        <v>537</v>
      </c>
      <c r="T773" s="204" t="s">
        <v>537</v>
      </c>
      <c r="U773" s="204" t="s">
        <v>537</v>
      </c>
      <c r="V773" s="204" t="s">
        <v>2276</v>
      </c>
      <c r="W773" s="4" t="s">
        <v>7641</v>
      </c>
    </row>
    <row r="774" spans="1:23" ht="30.5" customHeight="1">
      <c r="A774" s="19" t="s">
        <v>7594</v>
      </c>
      <c r="B774" s="19" t="s">
        <v>7599</v>
      </c>
      <c r="C774" s="4" t="s">
        <v>24</v>
      </c>
      <c r="D774" s="4" t="s">
        <v>2659</v>
      </c>
      <c r="E774" s="204" t="s">
        <v>2276</v>
      </c>
      <c r="F774" s="4" t="s">
        <v>28</v>
      </c>
      <c r="G774" s="204"/>
      <c r="H774" s="4" t="s">
        <v>2673</v>
      </c>
      <c r="I774" s="204" t="s">
        <v>2276</v>
      </c>
      <c r="J774" s="204" t="s">
        <v>2276</v>
      </c>
      <c r="K774" s="204" t="s">
        <v>2276</v>
      </c>
      <c r="L774" s="204" t="s">
        <v>2276</v>
      </c>
      <c r="M774" s="204" t="s">
        <v>2728</v>
      </c>
      <c r="N774" s="204" t="s">
        <v>2276</v>
      </c>
      <c r="O774" s="204" t="s">
        <v>2276</v>
      </c>
      <c r="P774" s="204" t="s">
        <v>2276</v>
      </c>
      <c r="Q774" s="204" t="s">
        <v>2276</v>
      </c>
      <c r="R774" s="204" t="s">
        <v>537</v>
      </c>
      <c r="S774" s="204" t="s">
        <v>537</v>
      </c>
      <c r="T774" s="204" t="s">
        <v>537</v>
      </c>
      <c r="U774" s="204" t="s">
        <v>537</v>
      </c>
      <c r="V774" s="204" t="s">
        <v>2276</v>
      </c>
      <c r="W774" s="4" t="s">
        <v>7641</v>
      </c>
    </row>
    <row r="775" spans="1:23" ht="30" customHeight="1">
      <c r="A775" s="19" t="s">
        <v>7895</v>
      </c>
      <c r="B775" s="19" t="s">
        <v>7898</v>
      </c>
      <c r="C775" s="4" t="s">
        <v>24</v>
      </c>
      <c r="D775" s="204" t="s">
        <v>1105</v>
      </c>
      <c r="E775" s="204" t="s">
        <v>1105</v>
      </c>
      <c r="F775" s="4" t="s">
        <v>2662</v>
      </c>
      <c r="G775" s="204"/>
      <c r="H775" s="4" t="s">
        <v>541</v>
      </c>
      <c r="I775" s="204" t="s">
        <v>2276</v>
      </c>
      <c r="J775" s="204" t="s">
        <v>2276</v>
      </c>
      <c r="K775" s="204" t="s">
        <v>2276</v>
      </c>
      <c r="L775" s="204" t="s">
        <v>2276</v>
      </c>
      <c r="M775" s="204" t="s">
        <v>2276</v>
      </c>
      <c r="N775" s="204" t="s">
        <v>2276</v>
      </c>
      <c r="O775" s="204" t="s">
        <v>2276</v>
      </c>
      <c r="P775" s="204" t="s">
        <v>2276</v>
      </c>
      <c r="Q775" s="204" t="s">
        <v>2276</v>
      </c>
      <c r="R775" s="204" t="s">
        <v>534</v>
      </c>
      <c r="S775" s="204" t="s">
        <v>2276</v>
      </c>
      <c r="T775" s="204" t="s">
        <v>2276</v>
      </c>
      <c r="U775" s="204" t="s">
        <v>2276</v>
      </c>
      <c r="V775" s="204" t="s">
        <v>2276</v>
      </c>
      <c r="W775" s="204" t="s">
        <v>7905</v>
      </c>
    </row>
    <row r="776" spans="1:23" ht="30" customHeight="1">
      <c r="A776" s="19" t="s">
        <v>7901</v>
      </c>
      <c r="B776" s="19" t="s">
        <v>7903</v>
      </c>
      <c r="C776" s="4" t="s">
        <v>24</v>
      </c>
      <c r="D776" s="204" t="s">
        <v>1105</v>
      </c>
      <c r="E776" s="204" t="s">
        <v>1105</v>
      </c>
      <c r="F776" s="4" t="s">
        <v>2662</v>
      </c>
      <c r="G776" s="204"/>
      <c r="H776" s="4" t="s">
        <v>541</v>
      </c>
      <c r="I776" s="204" t="s">
        <v>2276</v>
      </c>
      <c r="J776" s="204" t="s">
        <v>2276</v>
      </c>
      <c r="K776" s="204" t="s">
        <v>2276</v>
      </c>
      <c r="L776" s="204" t="s">
        <v>2276</v>
      </c>
      <c r="M776" s="204" t="s">
        <v>2276</v>
      </c>
      <c r="N776" s="204" t="s">
        <v>2276</v>
      </c>
      <c r="O776" s="204" t="s">
        <v>2276</v>
      </c>
      <c r="P776" s="204" t="s">
        <v>2276</v>
      </c>
      <c r="Q776" s="204" t="s">
        <v>2276</v>
      </c>
      <c r="R776" s="204" t="s">
        <v>534</v>
      </c>
      <c r="S776" s="204" t="s">
        <v>2276</v>
      </c>
      <c r="T776" s="204" t="s">
        <v>2276</v>
      </c>
      <c r="U776" s="204" t="s">
        <v>2276</v>
      </c>
      <c r="V776" s="204" t="s">
        <v>2276</v>
      </c>
      <c r="W776" s="204" t="s">
        <v>7905</v>
      </c>
    </row>
    <row r="777" spans="1:23" ht="50" customHeight="1">
      <c r="A777" s="204" t="s">
        <v>7930</v>
      </c>
      <c r="B777" s="19" t="s">
        <v>7934</v>
      </c>
      <c r="C777" s="4" t="s">
        <v>24</v>
      </c>
      <c r="D777" s="204" t="s">
        <v>1105</v>
      </c>
      <c r="E777" s="204" t="s">
        <v>1105</v>
      </c>
      <c r="F777" s="4" t="s">
        <v>2662</v>
      </c>
      <c r="G777" s="204"/>
      <c r="H777" s="4" t="s">
        <v>541</v>
      </c>
      <c r="I777" s="204" t="s">
        <v>2276</v>
      </c>
      <c r="J777" s="204" t="s">
        <v>2276</v>
      </c>
      <c r="K777" s="204" t="s">
        <v>2276</v>
      </c>
      <c r="L777" s="204" t="s">
        <v>2276</v>
      </c>
      <c r="M777" s="204" t="s">
        <v>2276</v>
      </c>
      <c r="N777" s="204" t="s">
        <v>2276</v>
      </c>
      <c r="O777" s="204" t="s">
        <v>2276</v>
      </c>
      <c r="P777" s="204" t="s">
        <v>2276</v>
      </c>
      <c r="Q777" s="204" t="s">
        <v>2276</v>
      </c>
      <c r="R777" s="204" t="s">
        <v>534</v>
      </c>
      <c r="S777" s="204" t="s">
        <v>2276</v>
      </c>
      <c r="T777" s="204" t="s">
        <v>2276</v>
      </c>
      <c r="U777" s="204" t="s">
        <v>2276</v>
      </c>
      <c r="V777" s="204">
        <v>2</v>
      </c>
      <c r="W777" s="4" t="s">
        <v>7938</v>
      </c>
    </row>
    <row r="778" spans="1:23" ht="36" customHeight="1">
      <c r="A778" s="19" t="s">
        <v>7976</v>
      </c>
      <c r="B778" s="19" t="s">
        <v>7983</v>
      </c>
      <c r="C778" s="204" t="s">
        <v>24</v>
      </c>
      <c r="D778" s="204" t="s">
        <v>2659</v>
      </c>
      <c r="E778" s="204" t="s">
        <v>84</v>
      </c>
      <c r="F778" s="204" t="s">
        <v>28</v>
      </c>
      <c r="G778" s="204"/>
      <c r="H778" s="4" t="s">
        <v>541</v>
      </c>
      <c r="I778" s="204" t="s">
        <v>2276</v>
      </c>
      <c r="J778" s="204" t="s">
        <v>2276</v>
      </c>
      <c r="K778" s="204" t="s">
        <v>2276</v>
      </c>
      <c r="L778" s="204" t="s">
        <v>2276</v>
      </c>
      <c r="M778" s="204" t="s">
        <v>2276</v>
      </c>
      <c r="N778" s="204" t="s">
        <v>2276</v>
      </c>
      <c r="O778" s="204" t="s">
        <v>2276</v>
      </c>
      <c r="P778" s="204" t="s">
        <v>2276</v>
      </c>
      <c r="Q778" s="204" t="s">
        <v>2276</v>
      </c>
      <c r="R778" s="204" t="s">
        <v>534</v>
      </c>
      <c r="S778" s="204" t="s">
        <v>2276</v>
      </c>
      <c r="T778" s="204" t="s">
        <v>2276</v>
      </c>
      <c r="U778" s="204" t="s">
        <v>534</v>
      </c>
      <c r="V778" s="204">
        <v>1</v>
      </c>
      <c r="W778" s="4" t="s">
        <v>7988</v>
      </c>
    </row>
    <row r="779" spans="1:23" ht="36" customHeight="1">
      <c r="A779" s="19" t="s">
        <v>7977</v>
      </c>
      <c r="B779" s="19" t="s">
        <v>7980</v>
      </c>
      <c r="C779" s="204" t="s">
        <v>24</v>
      </c>
      <c r="D779" s="204" t="s">
        <v>2659</v>
      </c>
      <c r="E779" s="204" t="s">
        <v>84</v>
      </c>
      <c r="F779" s="204" t="s">
        <v>28</v>
      </c>
      <c r="G779" s="204"/>
      <c r="H779" s="4" t="s">
        <v>541</v>
      </c>
      <c r="I779" s="204" t="s">
        <v>2276</v>
      </c>
      <c r="J779" s="204" t="s">
        <v>2276</v>
      </c>
      <c r="K779" s="204" t="s">
        <v>2276</v>
      </c>
      <c r="L779" s="204" t="s">
        <v>2276</v>
      </c>
      <c r="M779" s="204" t="s">
        <v>2276</v>
      </c>
      <c r="N779" s="204" t="s">
        <v>2276</v>
      </c>
      <c r="O779" s="204" t="s">
        <v>2276</v>
      </c>
      <c r="P779" s="204" t="s">
        <v>2276</v>
      </c>
      <c r="Q779" s="204" t="s">
        <v>2276</v>
      </c>
      <c r="R779" s="204" t="s">
        <v>534</v>
      </c>
      <c r="S779" s="204" t="s">
        <v>2276</v>
      </c>
      <c r="T779" s="204" t="s">
        <v>2276</v>
      </c>
      <c r="U779" s="204" t="s">
        <v>534</v>
      </c>
      <c r="V779" s="204">
        <v>2</v>
      </c>
      <c r="W779" s="204" t="s">
        <v>7989</v>
      </c>
    </row>
    <row r="780" spans="1:23" ht="51" customHeight="1">
      <c r="A780" s="19" t="s">
        <v>8000</v>
      </c>
      <c r="B780" s="19" t="s">
        <v>8008</v>
      </c>
      <c r="C780" s="204" t="s">
        <v>24</v>
      </c>
      <c r="D780" s="204" t="s">
        <v>144</v>
      </c>
      <c r="E780" s="204" t="s">
        <v>137</v>
      </c>
      <c r="F780" s="4" t="s">
        <v>2662</v>
      </c>
      <c r="G780" s="204"/>
      <c r="H780" s="4" t="s">
        <v>2673</v>
      </c>
      <c r="I780" s="204" t="s">
        <v>2276</v>
      </c>
      <c r="J780" s="204" t="s">
        <v>2276</v>
      </c>
      <c r="K780" s="204" t="s">
        <v>2276</v>
      </c>
      <c r="L780" s="204" t="s">
        <v>2276</v>
      </c>
      <c r="M780" s="204" t="s">
        <v>2728</v>
      </c>
      <c r="N780" s="204" t="s">
        <v>2276</v>
      </c>
      <c r="O780" s="204" t="s">
        <v>2276</v>
      </c>
      <c r="P780" s="204" t="s">
        <v>2276</v>
      </c>
      <c r="Q780" s="204">
        <v>4</v>
      </c>
      <c r="R780" s="204" t="s">
        <v>2276</v>
      </c>
      <c r="S780" s="204" t="s">
        <v>2276</v>
      </c>
      <c r="T780" s="204" t="s">
        <v>2276</v>
      </c>
      <c r="U780" s="204" t="s">
        <v>2276</v>
      </c>
      <c r="V780" s="204" t="s">
        <v>2276</v>
      </c>
      <c r="W780" s="4" t="s">
        <v>8011</v>
      </c>
    </row>
    <row r="781" spans="1:23" ht="51" customHeight="1">
      <c r="A781" s="19" t="s">
        <v>8006</v>
      </c>
      <c r="B781" s="19" t="s">
        <v>8009</v>
      </c>
      <c r="C781" s="204" t="s">
        <v>24</v>
      </c>
      <c r="D781" s="204" t="s">
        <v>144</v>
      </c>
      <c r="E781" s="204" t="s">
        <v>137</v>
      </c>
      <c r="F781" s="4" t="s">
        <v>2662</v>
      </c>
      <c r="G781" s="204"/>
      <c r="H781" s="4" t="s">
        <v>2673</v>
      </c>
      <c r="I781" s="204" t="s">
        <v>2276</v>
      </c>
      <c r="J781" s="204" t="s">
        <v>2276</v>
      </c>
      <c r="K781" s="204" t="s">
        <v>2276</v>
      </c>
      <c r="L781" s="204" t="s">
        <v>2276</v>
      </c>
      <c r="M781" s="204" t="s">
        <v>2728</v>
      </c>
      <c r="N781" s="204" t="s">
        <v>2276</v>
      </c>
      <c r="O781" s="204" t="s">
        <v>2276</v>
      </c>
      <c r="P781" s="204" t="s">
        <v>2276</v>
      </c>
      <c r="Q781" s="204">
        <v>4</v>
      </c>
      <c r="R781" s="204" t="s">
        <v>2276</v>
      </c>
      <c r="S781" s="204" t="s">
        <v>2276</v>
      </c>
      <c r="T781" s="204" t="s">
        <v>2276</v>
      </c>
      <c r="U781" s="204" t="s">
        <v>2276</v>
      </c>
      <c r="V781" s="204" t="s">
        <v>2276</v>
      </c>
      <c r="W781" s="4" t="s">
        <v>8011</v>
      </c>
    </row>
    <row r="782" spans="1:23" ht="51" customHeight="1">
      <c r="A782" s="19" t="s">
        <v>8007</v>
      </c>
      <c r="B782" s="19" t="s">
        <v>8010</v>
      </c>
      <c r="C782" s="204" t="s">
        <v>24</v>
      </c>
      <c r="D782" s="204" t="s">
        <v>144</v>
      </c>
      <c r="E782" s="204" t="s">
        <v>137</v>
      </c>
      <c r="F782" s="4" t="s">
        <v>2662</v>
      </c>
      <c r="G782" s="204"/>
      <c r="H782" s="4" t="s">
        <v>2673</v>
      </c>
      <c r="I782" s="204" t="s">
        <v>2276</v>
      </c>
      <c r="J782" s="204" t="s">
        <v>2276</v>
      </c>
      <c r="K782" s="204" t="s">
        <v>2276</v>
      </c>
      <c r="L782" s="204" t="s">
        <v>2276</v>
      </c>
      <c r="M782" s="204" t="s">
        <v>2728</v>
      </c>
      <c r="N782" s="204" t="s">
        <v>2276</v>
      </c>
      <c r="O782" s="204" t="s">
        <v>2276</v>
      </c>
      <c r="P782" s="204" t="s">
        <v>2276</v>
      </c>
      <c r="Q782" s="204">
        <v>4</v>
      </c>
      <c r="R782" s="204" t="s">
        <v>2276</v>
      </c>
      <c r="S782" s="204" t="s">
        <v>2276</v>
      </c>
      <c r="T782" s="204" t="s">
        <v>2276</v>
      </c>
      <c r="U782" s="204" t="s">
        <v>2276</v>
      </c>
      <c r="V782" s="204" t="s">
        <v>2276</v>
      </c>
      <c r="W782" s="4" t="s">
        <v>8011</v>
      </c>
    </row>
    <row r="783" spans="1:23" ht="36.5" customHeight="1">
      <c r="A783" s="19" t="s">
        <v>8013</v>
      </c>
      <c r="B783" s="19" t="s">
        <v>8015</v>
      </c>
      <c r="C783" s="204" t="s">
        <v>24</v>
      </c>
      <c r="D783" s="204" t="s">
        <v>2804</v>
      </c>
      <c r="E783" s="204" t="s">
        <v>45</v>
      </c>
      <c r="F783" s="4" t="s">
        <v>2662</v>
      </c>
      <c r="G783" s="38"/>
      <c r="H783" s="168" t="s">
        <v>541</v>
      </c>
      <c r="I783" s="38" t="s">
        <v>2276</v>
      </c>
      <c r="J783" s="38" t="s">
        <v>2276</v>
      </c>
      <c r="K783" s="38" t="s">
        <v>2276</v>
      </c>
      <c r="L783" s="38" t="s">
        <v>2276</v>
      </c>
      <c r="M783" s="38" t="s">
        <v>2276</v>
      </c>
      <c r="N783" s="38" t="s">
        <v>2276</v>
      </c>
      <c r="O783" s="38" t="s">
        <v>2276</v>
      </c>
      <c r="P783" s="38" t="s">
        <v>2276</v>
      </c>
      <c r="Q783" s="38" t="s">
        <v>2276</v>
      </c>
      <c r="R783" t="s">
        <v>534</v>
      </c>
      <c r="S783" s="38" t="s">
        <v>2276</v>
      </c>
      <c r="T783" s="38" t="s">
        <v>2276</v>
      </c>
      <c r="U783" s="38" t="s">
        <v>2276</v>
      </c>
      <c r="V783" s="38">
        <v>1</v>
      </c>
      <c r="W783" s="168" t="s">
        <v>8017</v>
      </c>
    </row>
    <row r="784" spans="1:23" ht="32.5" customHeight="1">
      <c r="A784" s="19" t="s">
        <v>8019</v>
      </c>
      <c r="B784" s="19" t="s">
        <v>8023</v>
      </c>
      <c r="C784" s="204" t="s">
        <v>1105</v>
      </c>
      <c r="D784" s="204" t="s">
        <v>1105</v>
      </c>
      <c r="E784" s="204" t="s">
        <v>1105</v>
      </c>
      <c r="F784" s="4" t="s">
        <v>2662</v>
      </c>
      <c r="G784" s="52"/>
      <c r="H784" s="4" t="s">
        <v>541</v>
      </c>
      <c r="I784" s="224" t="s">
        <v>2276</v>
      </c>
      <c r="J784" s="38" t="s">
        <v>2276</v>
      </c>
      <c r="K784" s="38" t="s">
        <v>2276</v>
      </c>
      <c r="L784" s="38" t="s">
        <v>2276</v>
      </c>
      <c r="M784" s="38" t="s">
        <v>2276</v>
      </c>
      <c r="N784" s="38" t="s">
        <v>2276</v>
      </c>
      <c r="O784" s="38" t="s">
        <v>2276</v>
      </c>
      <c r="P784" s="38" t="s">
        <v>2276</v>
      </c>
      <c r="Q784" s="38" t="s">
        <v>2276</v>
      </c>
      <c r="R784" s="204" t="s">
        <v>534</v>
      </c>
      <c r="S784" s="204" t="s">
        <v>2276</v>
      </c>
      <c r="T784" s="204" t="s">
        <v>534</v>
      </c>
      <c r="U784" s="204" t="s">
        <v>2276</v>
      </c>
      <c r="V784" s="204">
        <v>4</v>
      </c>
      <c r="W784" s="204" t="s">
        <v>8028</v>
      </c>
    </row>
    <row r="785" spans="1:23" ht="33.5" customHeight="1">
      <c r="A785" s="19" t="s">
        <v>8020</v>
      </c>
      <c r="B785" s="19" t="s">
        <v>8024</v>
      </c>
      <c r="C785" s="204" t="s">
        <v>1105</v>
      </c>
      <c r="D785" s="204" t="s">
        <v>1105</v>
      </c>
      <c r="E785" s="4" t="s">
        <v>45</v>
      </c>
      <c r="F785" s="4" t="s">
        <v>2662</v>
      </c>
      <c r="G785" s="52"/>
      <c r="H785" s="4" t="s">
        <v>541</v>
      </c>
      <c r="I785" s="178" t="s">
        <v>2276</v>
      </c>
      <c r="J785" s="204" t="s">
        <v>2276</v>
      </c>
      <c r="K785" s="204" t="s">
        <v>2276</v>
      </c>
      <c r="L785" s="204" t="s">
        <v>2276</v>
      </c>
      <c r="M785" s="204" t="s">
        <v>2276</v>
      </c>
      <c r="N785" s="204" t="s">
        <v>2276</v>
      </c>
      <c r="O785" s="204" t="s">
        <v>2276</v>
      </c>
      <c r="P785" s="204" t="s">
        <v>2276</v>
      </c>
      <c r="Q785" s="204" t="s">
        <v>2276</v>
      </c>
      <c r="R785" s="204" t="s">
        <v>537</v>
      </c>
      <c r="S785" s="204" t="s">
        <v>2276</v>
      </c>
      <c r="T785" s="204" t="s">
        <v>2276</v>
      </c>
      <c r="U785" s="204" t="s">
        <v>2276</v>
      </c>
      <c r="V785" s="204" t="s">
        <v>2276</v>
      </c>
      <c r="W785" s="204"/>
    </row>
    <row r="786" spans="1:23" ht="70" customHeight="1">
      <c r="A786" s="19" t="s">
        <v>8038</v>
      </c>
      <c r="B786" s="19" t="s">
        <v>8041</v>
      </c>
      <c r="C786" s="204" t="s">
        <v>24</v>
      </c>
      <c r="D786" s="4" t="s">
        <v>2804</v>
      </c>
      <c r="E786" s="204" t="s">
        <v>1105</v>
      </c>
      <c r="F786" s="4" t="s">
        <v>2662</v>
      </c>
      <c r="G786" s="204"/>
      <c r="H786" s="4" t="s">
        <v>2673</v>
      </c>
      <c r="I786" s="204" t="s">
        <v>2276</v>
      </c>
      <c r="J786" s="204" t="s">
        <v>2276</v>
      </c>
      <c r="K786" s="204" t="s">
        <v>2276</v>
      </c>
      <c r="L786" s="204" t="s">
        <v>2276</v>
      </c>
      <c r="M786" s="204" t="s">
        <v>2728</v>
      </c>
      <c r="N786" s="204" t="s">
        <v>2276</v>
      </c>
      <c r="O786" s="204" t="s">
        <v>534</v>
      </c>
      <c r="P786" s="204" t="s">
        <v>534</v>
      </c>
      <c r="Q786" s="204">
        <v>4</v>
      </c>
      <c r="R786" s="204" t="s">
        <v>2276</v>
      </c>
      <c r="S786" s="204" t="s">
        <v>2276</v>
      </c>
      <c r="T786" s="204" t="s">
        <v>2276</v>
      </c>
      <c r="U786" s="204" t="s">
        <v>2276</v>
      </c>
      <c r="V786" s="204" t="s">
        <v>2276</v>
      </c>
      <c r="W786" s="19" t="s">
        <v>8048</v>
      </c>
    </row>
    <row r="787" spans="1:23" ht="70" customHeight="1">
      <c r="A787" s="19" t="s">
        <v>8040</v>
      </c>
      <c r="B787" s="19" t="s">
        <v>8042</v>
      </c>
      <c r="C787" s="204" t="s">
        <v>24</v>
      </c>
      <c r="D787" s="4" t="s">
        <v>2804</v>
      </c>
      <c r="E787" s="204" t="s">
        <v>1105</v>
      </c>
      <c r="F787" s="4" t="s">
        <v>2662</v>
      </c>
      <c r="G787" s="204"/>
      <c r="H787" s="4" t="s">
        <v>2673</v>
      </c>
      <c r="I787" s="204" t="s">
        <v>2276</v>
      </c>
      <c r="J787" s="204" t="s">
        <v>2276</v>
      </c>
      <c r="K787" s="204" t="s">
        <v>2276</v>
      </c>
      <c r="L787" s="204" t="s">
        <v>2276</v>
      </c>
      <c r="M787" s="204" t="s">
        <v>2728</v>
      </c>
      <c r="N787" s="204" t="s">
        <v>2276</v>
      </c>
      <c r="O787" s="204" t="s">
        <v>534</v>
      </c>
      <c r="P787" s="204" t="s">
        <v>534</v>
      </c>
      <c r="Q787" s="204">
        <v>4</v>
      </c>
      <c r="R787" s="204" t="s">
        <v>2276</v>
      </c>
      <c r="S787" s="204" t="s">
        <v>2276</v>
      </c>
      <c r="T787" s="204" t="s">
        <v>2276</v>
      </c>
      <c r="U787" s="204" t="s">
        <v>2276</v>
      </c>
      <c r="V787" s="204" t="s">
        <v>2276</v>
      </c>
      <c r="W787" s="19" t="s">
        <v>8048</v>
      </c>
    </row>
    <row r="788" spans="1:23" ht="137" customHeight="1">
      <c r="A788" s="19" t="s">
        <v>8056</v>
      </c>
      <c r="B788" s="19" t="s">
        <v>8057</v>
      </c>
      <c r="C788" s="204" t="s">
        <v>24</v>
      </c>
      <c r="D788" s="4" t="s">
        <v>143</v>
      </c>
      <c r="E788" s="204" t="s">
        <v>1105</v>
      </c>
      <c r="F788" s="4" t="s">
        <v>74</v>
      </c>
      <c r="G788" s="204"/>
      <c r="H788" s="4" t="s">
        <v>541</v>
      </c>
      <c r="I788" s="204" t="s">
        <v>2691</v>
      </c>
      <c r="J788" s="204" t="s">
        <v>534</v>
      </c>
      <c r="K788" s="204" t="s">
        <v>2276</v>
      </c>
      <c r="L788" s="204" t="s">
        <v>2276</v>
      </c>
      <c r="M788" s="204" t="s">
        <v>2669</v>
      </c>
      <c r="N788" s="204" t="s">
        <v>2276</v>
      </c>
      <c r="O788" s="204" t="s">
        <v>534</v>
      </c>
      <c r="P788" s="204" t="s">
        <v>2276</v>
      </c>
      <c r="Q788" s="204">
        <v>1</v>
      </c>
      <c r="R788" s="204" t="s">
        <v>2276</v>
      </c>
      <c r="S788" s="204" t="s">
        <v>2276</v>
      </c>
      <c r="T788" s="204" t="s">
        <v>2276</v>
      </c>
      <c r="U788" s="204" t="s">
        <v>2276</v>
      </c>
      <c r="V788" s="204" t="s">
        <v>2276</v>
      </c>
      <c r="W788" s="19" t="s">
        <v>8061</v>
      </c>
    </row>
    <row r="789" spans="1:23" ht="39" customHeight="1">
      <c r="A789" s="19" t="s">
        <v>8063</v>
      </c>
      <c r="B789" s="19" t="s">
        <v>8065</v>
      </c>
      <c r="C789" s="4" t="s">
        <v>24</v>
      </c>
      <c r="D789" s="4" t="s">
        <v>144</v>
      </c>
      <c r="E789" s="4" t="s">
        <v>137</v>
      </c>
      <c r="F789" s="4" t="s">
        <v>2662</v>
      </c>
      <c r="G789" s="204"/>
      <c r="H789" s="4" t="s">
        <v>541</v>
      </c>
      <c r="I789" s="204" t="s">
        <v>2691</v>
      </c>
      <c r="J789" s="204" t="s">
        <v>2276</v>
      </c>
      <c r="K789" s="204" t="s">
        <v>534</v>
      </c>
      <c r="L789" s="204" t="s">
        <v>2276</v>
      </c>
      <c r="M789" s="204" t="s">
        <v>2276</v>
      </c>
      <c r="N789" s="204" t="s">
        <v>2276</v>
      </c>
      <c r="O789" s="204" t="s">
        <v>2276</v>
      </c>
      <c r="P789" s="204" t="s">
        <v>2276</v>
      </c>
      <c r="Q789" s="204" t="s">
        <v>2276</v>
      </c>
      <c r="R789" s="204" t="s">
        <v>2276</v>
      </c>
      <c r="S789" s="204" t="s">
        <v>2276</v>
      </c>
      <c r="T789" s="204" t="s">
        <v>2276</v>
      </c>
      <c r="U789" s="204" t="s">
        <v>2276</v>
      </c>
      <c r="V789" s="204" t="s">
        <v>2276</v>
      </c>
      <c r="W789" s="4" t="s">
        <v>8067</v>
      </c>
    </row>
    <row r="790" spans="1:23" ht="66.5" customHeight="1">
      <c r="A790" s="19" t="s">
        <v>8063</v>
      </c>
      <c r="B790" s="19" t="s">
        <v>8066</v>
      </c>
      <c r="C790" s="4" t="s">
        <v>24</v>
      </c>
      <c r="D790" s="4" t="s">
        <v>1105</v>
      </c>
      <c r="E790" s="4" t="s">
        <v>1105</v>
      </c>
      <c r="F790" s="4" t="s">
        <v>2662</v>
      </c>
      <c r="G790" s="204"/>
      <c r="H790" s="4" t="s">
        <v>2673</v>
      </c>
      <c r="I790" s="204" t="s">
        <v>2690</v>
      </c>
      <c r="J790" s="204" t="s">
        <v>2276</v>
      </c>
      <c r="K790" s="204" t="s">
        <v>2276</v>
      </c>
      <c r="L790" s="204" t="s">
        <v>2276</v>
      </c>
      <c r="M790" s="204" t="s">
        <v>2728</v>
      </c>
      <c r="N790" s="204" t="s">
        <v>534</v>
      </c>
      <c r="O790" s="204" t="s">
        <v>2276</v>
      </c>
      <c r="P790" s="204" t="s">
        <v>534</v>
      </c>
      <c r="Q790" s="204">
        <v>4</v>
      </c>
      <c r="R790" s="204" t="s">
        <v>2276</v>
      </c>
      <c r="S790" s="204" t="s">
        <v>2276</v>
      </c>
      <c r="T790" s="204" t="s">
        <v>2276</v>
      </c>
      <c r="U790" s="204" t="s">
        <v>2276</v>
      </c>
      <c r="V790" s="204" t="s">
        <v>2276</v>
      </c>
      <c r="W790" s="4" t="s">
        <v>8068</v>
      </c>
    </row>
    <row r="791" spans="1:23" ht="39" customHeight="1">
      <c r="A791" s="19" t="s">
        <v>8069</v>
      </c>
      <c r="B791" s="19" t="s">
        <v>8072</v>
      </c>
      <c r="C791" s="204" t="s">
        <v>24</v>
      </c>
      <c r="D791" s="4" t="s">
        <v>1105</v>
      </c>
      <c r="E791" s="4" t="s">
        <v>45</v>
      </c>
      <c r="F791" s="4" t="s">
        <v>2662</v>
      </c>
      <c r="G791" s="204"/>
      <c r="H791" s="4" t="s">
        <v>541</v>
      </c>
      <c r="I791" s="204" t="s">
        <v>2690</v>
      </c>
      <c r="J791" s="204" t="s">
        <v>2276</v>
      </c>
      <c r="K791" s="204" t="s">
        <v>534</v>
      </c>
      <c r="L791" s="204" t="s">
        <v>2276</v>
      </c>
      <c r="M791" s="204" t="s">
        <v>2276</v>
      </c>
      <c r="N791" s="204" t="s">
        <v>2276</v>
      </c>
      <c r="O791" s="204" t="s">
        <v>2276</v>
      </c>
      <c r="P791" s="204" t="s">
        <v>2276</v>
      </c>
      <c r="Q791" s="204" t="s">
        <v>2276</v>
      </c>
      <c r="R791" s="204" t="s">
        <v>2276</v>
      </c>
      <c r="S791" s="204" t="s">
        <v>2276</v>
      </c>
      <c r="T791" s="204" t="s">
        <v>2276</v>
      </c>
      <c r="U791" s="204" t="s">
        <v>2276</v>
      </c>
      <c r="V791" s="204" t="s">
        <v>2276</v>
      </c>
      <c r="W791" s="4" t="s">
        <v>8074</v>
      </c>
    </row>
    <row r="792" spans="1:23" ht="42" customHeight="1">
      <c r="A792" s="19" t="s">
        <v>8069</v>
      </c>
      <c r="B792" s="19" t="s">
        <v>8073</v>
      </c>
      <c r="C792" s="204" t="s">
        <v>24</v>
      </c>
      <c r="D792" s="4" t="s">
        <v>1105</v>
      </c>
      <c r="E792" s="4" t="s">
        <v>2647</v>
      </c>
      <c r="F792" s="4" t="s">
        <v>2662</v>
      </c>
      <c r="G792" s="204"/>
      <c r="H792" s="4" t="s">
        <v>541</v>
      </c>
      <c r="I792" s="204" t="s">
        <v>2690</v>
      </c>
      <c r="J792" s="204" t="s">
        <v>2276</v>
      </c>
      <c r="K792" s="204" t="s">
        <v>534</v>
      </c>
      <c r="L792" s="204" t="s">
        <v>2276</v>
      </c>
      <c r="M792" s="204" t="s">
        <v>2276</v>
      </c>
      <c r="N792" s="204" t="s">
        <v>2276</v>
      </c>
      <c r="O792" s="204" t="s">
        <v>2276</v>
      </c>
      <c r="P792" s="204" t="s">
        <v>2276</v>
      </c>
      <c r="Q792" s="204" t="s">
        <v>2276</v>
      </c>
      <c r="R792" s="204" t="s">
        <v>2276</v>
      </c>
      <c r="S792" s="204" t="s">
        <v>2276</v>
      </c>
      <c r="T792" s="204" t="s">
        <v>2276</v>
      </c>
      <c r="U792" s="204" t="s">
        <v>2276</v>
      </c>
      <c r="V792" s="204" t="s">
        <v>2276</v>
      </c>
      <c r="W792" s="4" t="s">
        <v>8074</v>
      </c>
    </row>
    <row r="793" spans="1:23" ht="39" customHeight="1">
      <c r="A793" s="19" t="s">
        <v>8076</v>
      </c>
      <c r="B793" s="19" t="s">
        <v>8077</v>
      </c>
      <c r="C793" s="204" t="s">
        <v>24</v>
      </c>
      <c r="D793" s="4" t="s">
        <v>25</v>
      </c>
      <c r="E793" s="204" t="s">
        <v>45</v>
      </c>
      <c r="F793" s="4" t="s">
        <v>2662</v>
      </c>
      <c r="G793" s="204"/>
      <c r="H793" s="4" t="s">
        <v>541</v>
      </c>
      <c r="I793" s="204" t="s">
        <v>2276</v>
      </c>
      <c r="J793" s="204" t="s">
        <v>2276</v>
      </c>
      <c r="K793" s="204" t="s">
        <v>2276</v>
      </c>
      <c r="L793" s="204" t="s">
        <v>2276</v>
      </c>
      <c r="M793" s="204" t="s">
        <v>2728</v>
      </c>
      <c r="N793" s="204" t="s">
        <v>2276</v>
      </c>
      <c r="O793" s="204" t="s">
        <v>2276</v>
      </c>
      <c r="P793" s="204" t="s">
        <v>2276</v>
      </c>
      <c r="Q793" s="204">
        <v>4</v>
      </c>
      <c r="R793" s="204" t="s">
        <v>2276</v>
      </c>
      <c r="S793" s="204" t="s">
        <v>2276</v>
      </c>
      <c r="T793" s="204" t="s">
        <v>2276</v>
      </c>
      <c r="U793" s="204" t="s">
        <v>2276</v>
      </c>
      <c r="V793" s="204" t="s">
        <v>2276</v>
      </c>
      <c r="W793" s="19" t="s">
        <v>8078</v>
      </c>
    </row>
    <row r="794" spans="1:23" ht="45.5" customHeight="1">
      <c r="A794" s="19" t="s">
        <v>8076</v>
      </c>
      <c r="B794" s="19" t="s">
        <v>8079</v>
      </c>
      <c r="C794" s="204" t="s">
        <v>24</v>
      </c>
      <c r="D794" s="4" t="s">
        <v>25</v>
      </c>
      <c r="E794" s="4" t="s">
        <v>3855</v>
      </c>
      <c r="F794" s="4" t="s">
        <v>2662</v>
      </c>
      <c r="G794" s="204"/>
      <c r="H794" s="4" t="s">
        <v>541</v>
      </c>
      <c r="I794" s="204" t="s">
        <v>2276</v>
      </c>
      <c r="J794" s="204" t="s">
        <v>2276</v>
      </c>
      <c r="K794" s="204" t="s">
        <v>2276</v>
      </c>
      <c r="L794" s="204" t="s">
        <v>2276</v>
      </c>
      <c r="M794" s="204" t="s">
        <v>2728</v>
      </c>
      <c r="N794" s="204" t="s">
        <v>2276</v>
      </c>
      <c r="O794" s="204" t="s">
        <v>2276</v>
      </c>
      <c r="P794" s="204" t="s">
        <v>2276</v>
      </c>
      <c r="Q794" s="204">
        <v>5</v>
      </c>
      <c r="R794" s="204" t="s">
        <v>2276</v>
      </c>
      <c r="S794" s="204" t="s">
        <v>2276</v>
      </c>
      <c r="T794" s="204" t="s">
        <v>2276</v>
      </c>
      <c r="U794" s="204" t="s">
        <v>2276</v>
      </c>
      <c r="V794" s="204" t="s">
        <v>2276</v>
      </c>
      <c r="W794" s="19" t="s">
        <v>8078</v>
      </c>
    </row>
    <row r="795" spans="1:23" ht="56.5" customHeight="1">
      <c r="A795" s="19" t="s">
        <v>8104</v>
      </c>
      <c r="B795" s="19" t="s">
        <v>8108</v>
      </c>
      <c r="C795" s="204" t="s">
        <v>24</v>
      </c>
      <c r="D795" s="4" t="s">
        <v>2804</v>
      </c>
      <c r="E795" s="4" t="s">
        <v>45</v>
      </c>
      <c r="F795" s="4" t="s">
        <v>2662</v>
      </c>
      <c r="G795" s="204"/>
      <c r="H795" s="4" t="s">
        <v>541</v>
      </c>
      <c r="I795" s="204" t="s">
        <v>2276</v>
      </c>
      <c r="J795" s="204" t="s">
        <v>2276</v>
      </c>
      <c r="K795" s="204" t="s">
        <v>2276</v>
      </c>
      <c r="L795" s="204" t="s">
        <v>2276</v>
      </c>
      <c r="M795" s="204" t="s">
        <v>2276</v>
      </c>
      <c r="N795" s="204" t="s">
        <v>2276</v>
      </c>
      <c r="O795" s="204" t="s">
        <v>2276</v>
      </c>
      <c r="P795" s="204" t="s">
        <v>2276</v>
      </c>
      <c r="Q795" s="204" t="s">
        <v>2276</v>
      </c>
      <c r="R795" s="204" t="s">
        <v>534</v>
      </c>
      <c r="S795" s="204" t="s">
        <v>2276</v>
      </c>
      <c r="T795" s="204" t="s">
        <v>534</v>
      </c>
      <c r="U795" s="204" t="s">
        <v>2276</v>
      </c>
      <c r="V795" s="204">
        <v>1</v>
      </c>
      <c r="W795" s="19" t="s">
        <v>8112</v>
      </c>
    </row>
    <row r="796" spans="1:23" ht="30" customHeight="1">
      <c r="A796" s="19" t="s">
        <v>8115</v>
      </c>
      <c r="B796" s="19" t="s">
        <v>8125</v>
      </c>
      <c r="C796" s="4" t="s">
        <v>24</v>
      </c>
      <c r="D796" s="4" t="s">
        <v>2659</v>
      </c>
      <c r="E796" s="4" t="s">
        <v>396</v>
      </c>
      <c r="F796" s="204" t="s">
        <v>28</v>
      </c>
      <c r="G796" s="204"/>
      <c r="H796" s="4" t="s">
        <v>541</v>
      </c>
      <c r="I796" s="204" t="s">
        <v>2276</v>
      </c>
      <c r="J796" s="204" t="s">
        <v>2276</v>
      </c>
      <c r="K796" s="204" t="s">
        <v>2276</v>
      </c>
      <c r="L796" s="204" t="s">
        <v>2276</v>
      </c>
      <c r="M796" s="204" t="s">
        <v>2728</v>
      </c>
      <c r="N796" s="204" t="s">
        <v>2276</v>
      </c>
      <c r="O796" s="204" t="s">
        <v>2276</v>
      </c>
      <c r="P796" s="204" t="s">
        <v>2276</v>
      </c>
      <c r="Q796" s="204" t="s">
        <v>2276</v>
      </c>
      <c r="R796" s="204" t="s">
        <v>537</v>
      </c>
      <c r="S796" s="204" t="s">
        <v>2276</v>
      </c>
      <c r="T796" s="204" t="s">
        <v>2276</v>
      </c>
      <c r="U796" s="204" t="s">
        <v>2276</v>
      </c>
      <c r="V796" s="204" t="s">
        <v>2276</v>
      </c>
      <c r="W796" s="4" t="s">
        <v>8155</v>
      </c>
    </row>
    <row r="797" spans="1:23" ht="30" customHeight="1">
      <c r="A797" s="19" t="s">
        <v>8122</v>
      </c>
      <c r="B797" s="19" t="s">
        <v>8126</v>
      </c>
      <c r="C797" s="4" t="s">
        <v>24</v>
      </c>
      <c r="D797" s="4" t="s">
        <v>2659</v>
      </c>
      <c r="E797" s="4" t="s">
        <v>396</v>
      </c>
      <c r="F797" s="204" t="s">
        <v>28</v>
      </c>
      <c r="G797" s="204"/>
      <c r="H797" s="4" t="s">
        <v>541</v>
      </c>
      <c r="I797" s="204" t="s">
        <v>2276</v>
      </c>
      <c r="J797" s="204" t="s">
        <v>2276</v>
      </c>
      <c r="K797" s="204" t="s">
        <v>2276</v>
      </c>
      <c r="L797" s="204" t="s">
        <v>2276</v>
      </c>
      <c r="M797" s="204" t="s">
        <v>2728</v>
      </c>
      <c r="N797" s="204" t="s">
        <v>2276</v>
      </c>
      <c r="O797" s="204" t="s">
        <v>2276</v>
      </c>
      <c r="P797" s="204" t="s">
        <v>2276</v>
      </c>
      <c r="Q797" s="204" t="s">
        <v>2276</v>
      </c>
      <c r="R797" s="204" t="s">
        <v>537</v>
      </c>
      <c r="S797" s="204" t="s">
        <v>2276</v>
      </c>
      <c r="T797" s="204" t="s">
        <v>2276</v>
      </c>
      <c r="U797" s="204" t="s">
        <v>2276</v>
      </c>
      <c r="V797" s="204" t="s">
        <v>2276</v>
      </c>
      <c r="W797" s="4" t="s">
        <v>8155</v>
      </c>
    </row>
    <row r="798" spans="1:23" ht="30" customHeight="1">
      <c r="A798" s="19" t="s">
        <v>8123</v>
      </c>
      <c r="B798" s="19" t="s">
        <v>8127</v>
      </c>
      <c r="C798" s="4" t="s">
        <v>24</v>
      </c>
      <c r="D798" s="4" t="s">
        <v>2659</v>
      </c>
      <c r="E798" s="4" t="s">
        <v>396</v>
      </c>
      <c r="F798" s="204" t="s">
        <v>28</v>
      </c>
      <c r="G798" s="204"/>
      <c r="H798" s="4" t="s">
        <v>541</v>
      </c>
      <c r="I798" s="204" t="s">
        <v>2276</v>
      </c>
      <c r="J798" s="204" t="s">
        <v>2276</v>
      </c>
      <c r="K798" s="204" t="s">
        <v>2276</v>
      </c>
      <c r="L798" s="204" t="s">
        <v>2276</v>
      </c>
      <c r="M798" s="204" t="s">
        <v>2728</v>
      </c>
      <c r="N798" s="204" t="s">
        <v>2276</v>
      </c>
      <c r="O798" s="204" t="s">
        <v>2276</v>
      </c>
      <c r="P798" s="204" t="s">
        <v>2276</v>
      </c>
      <c r="Q798" s="204" t="s">
        <v>2276</v>
      </c>
      <c r="R798" s="204" t="s">
        <v>537</v>
      </c>
      <c r="S798" s="204" t="s">
        <v>2276</v>
      </c>
      <c r="T798" s="204" t="s">
        <v>2276</v>
      </c>
      <c r="U798" s="204" t="s">
        <v>2276</v>
      </c>
      <c r="V798" s="204" t="s">
        <v>2276</v>
      </c>
      <c r="W798" s="4" t="s">
        <v>8155</v>
      </c>
    </row>
    <row r="799" spans="1:23" ht="30" customHeight="1">
      <c r="A799" s="19" t="s">
        <v>8124</v>
      </c>
      <c r="B799" s="19" t="s">
        <v>8128</v>
      </c>
      <c r="C799" s="4" t="s">
        <v>24</v>
      </c>
      <c r="D799" s="4" t="s">
        <v>2659</v>
      </c>
      <c r="E799" s="4" t="s">
        <v>396</v>
      </c>
      <c r="F799" s="204" t="s">
        <v>28</v>
      </c>
      <c r="G799" s="204"/>
      <c r="H799" s="4" t="s">
        <v>541</v>
      </c>
      <c r="I799" s="204" t="s">
        <v>2276</v>
      </c>
      <c r="J799" s="204" t="s">
        <v>2276</v>
      </c>
      <c r="K799" s="204" t="s">
        <v>2276</v>
      </c>
      <c r="L799" s="204" t="s">
        <v>2276</v>
      </c>
      <c r="M799" s="204" t="s">
        <v>2728</v>
      </c>
      <c r="N799" s="204" t="s">
        <v>2276</v>
      </c>
      <c r="O799" s="204" t="s">
        <v>2276</v>
      </c>
      <c r="P799" s="204" t="s">
        <v>2276</v>
      </c>
      <c r="Q799" s="204" t="s">
        <v>2276</v>
      </c>
      <c r="R799" s="204" t="s">
        <v>537</v>
      </c>
      <c r="S799" s="204" t="s">
        <v>2276</v>
      </c>
      <c r="T799" s="204" t="s">
        <v>2276</v>
      </c>
      <c r="U799" s="204" t="s">
        <v>2276</v>
      </c>
      <c r="V799" s="204" t="s">
        <v>2276</v>
      </c>
      <c r="W799" s="4" t="s">
        <v>8155</v>
      </c>
    </row>
    <row r="800" spans="1:23" ht="28" customHeight="1">
      <c r="A800" s="19" t="s">
        <v>8115</v>
      </c>
      <c r="B800" s="19" t="s">
        <v>8129</v>
      </c>
      <c r="C800" s="4" t="s">
        <v>24</v>
      </c>
      <c r="D800" s="204" t="s">
        <v>1105</v>
      </c>
      <c r="E800" s="204" t="s">
        <v>1105</v>
      </c>
      <c r="F800" s="204" t="s">
        <v>74</v>
      </c>
      <c r="G800" s="204"/>
      <c r="H800" s="4" t="s">
        <v>541</v>
      </c>
      <c r="I800" s="204" t="s">
        <v>2276</v>
      </c>
      <c r="J800" s="204" t="s">
        <v>2276</v>
      </c>
      <c r="K800" s="204" t="s">
        <v>2276</v>
      </c>
      <c r="L800" s="204" t="s">
        <v>2276</v>
      </c>
      <c r="M800" s="204" t="s">
        <v>2276</v>
      </c>
      <c r="N800" s="204" t="s">
        <v>2276</v>
      </c>
      <c r="O800" s="204" t="s">
        <v>2276</v>
      </c>
      <c r="P800" s="204" t="s">
        <v>2276</v>
      </c>
      <c r="Q800" s="204" t="s">
        <v>2276</v>
      </c>
      <c r="R800" s="204" t="s">
        <v>534</v>
      </c>
      <c r="S800" s="204" t="s">
        <v>2276</v>
      </c>
      <c r="T800" s="204" t="s">
        <v>2276</v>
      </c>
      <c r="U800" s="204" t="s">
        <v>2276</v>
      </c>
      <c r="V800" s="204">
        <v>1</v>
      </c>
      <c r="W800" s="204" t="s">
        <v>8156</v>
      </c>
    </row>
    <row r="801" spans="1:23" ht="28" customHeight="1">
      <c r="A801" s="19" t="s">
        <v>8122</v>
      </c>
      <c r="B801" s="19" t="s">
        <v>8137</v>
      </c>
      <c r="C801" s="4" t="s">
        <v>24</v>
      </c>
      <c r="D801" s="204" t="s">
        <v>1105</v>
      </c>
      <c r="E801" s="204" t="s">
        <v>1105</v>
      </c>
      <c r="F801" s="204" t="s">
        <v>74</v>
      </c>
      <c r="G801" s="204"/>
      <c r="H801" s="4" t="s">
        <v>541</v>
      </c>
      <c r="I801" s="204" t="s">
        <v>2276</v>
      </c>
      <c r="J801" s="204" t="s">
        <v>2276</v>
      </c>
      <c r="K801" s="204" t="s">
        <v>2276</v>
      </c>
      <c r="L801" s="204" t="s">
        <v>2276</v>
      </c>
      <c r="M801" s="204" t="s">
        <v>2276</v>
      </c>
      <c r="N801" s="204" t="s">
        <v>2276</v>
      </c>
      <c r="O801" s="204" t="s">
        <v>2276</v>
      </c>
      <c r="P801" s="204" t="s">
        <v>2276</v>
      </c>
      <c r="Q801" s="204" t="s">
        <v>2276</v>
      </c>
      <c r="R801" s="204" t="s">
        <v>534</v>
      </c>
      <c r="S801" s="204" t="s">
        <v>2276</v>
      </c>
      <c r="T801" s="204" t="s">
        <v>2276</v>
      </c>
      <c r="U801" s="204" t="s">
        <v>2276</v>
      </c>
      <c r="V801" s="204">
        <v>1</v>
      </c>
      <c r="W801" s="204" t="s">
        <v>8156</v>
      </c>
    </row>
    <row r="802" spans="1:23" ht="28" customHeight="1">
      <c r="A802" s="19" t="s">
        <v>8123</v>
      </c>
      <c r="B802" s="19" t="s">
        <v>8142</v>
      </c>
      <c r="C802" s="4" t="s">
        <v>24</v>
      </c>
      <c r="D802" s="204" t="s">
        <v>1105</v>
      </c>
      <c r="E802" s="204" t="s">
        <v>1105</v>
      </c>
      <c r="F802" s="204" t="s">
        <v>74</v>
      </c>
      <c r="G802" s="204"/>
      <c r="H802" s="4" t="s">
        <v>541</v>
      </c>
      <c r="I802" s="204" t="s">
        <v>2276</v>
      </c>
      <c r="J802" s="204" t="s">
        <v>2276</v>
      </c>
      <c r="K802" s="204" t="s">
        <v>2276</v>
      </c>
      <c r="L802" s="204" t="s">
        <v>2276</v>
      </c>
      <c r="M802" s="204" t="s">
        <v>2276</v>
      </c>
      <c r="N802" s="204" t="s">
        <v>2276</v>
      </c>
      <c r="O802" s="204" t="s">
        <v>2276</v>
      </c>
      <c r="P802" s="204" t="s">
        <v>2276</v>
      </c>
      <c r="Q802" s="204" t="s">
        <v>2276</v>
      </c>
      <c r="R802" s="204" t="s">
        <v>534</v>
      </c>
      <c r="S802" s="204" t="s">
        <v>2276</v>
      </c>
      <c r="T802" s="204" t="s">
        <v>2276</v>
      </c>
      <c r="U802" s="204" t="s">
        <v>2276</v>
      </c>
      <c r="V802" s="204">
        <v>1</v>
      </c>
      <c r="W802" s="204" t="s">
        <v>8156</v>
      </c>
    </row>
    <row r="803" spans="1:23" ht="28" customHeight="1">
      <c r="A803" s="19" t="s">
        <v>8124</v>
      </c>
      <c r="B803" s="19" t="s">
        <v>8148</v>
      </c>
      <c r="C803" s="4" t="s">
        <v>24</v>
      </c>
      <c r="D803" s="204" t="s">
        <v>1105</v>
      </c>
      <c r="E803" s="204" t="s">
        <v>1105</v>
      </c>
      <c r="F803" s="204" t="s">
        <v>74</v>
      </c>
      <c r="G803" s="204"/>
      <c r="H803" s="4" t="s">
        <v>541</v>
      </c>
      <c r="I803" s="204" t="s">
        <v>2276</v>
      </c>
      <c r="J803" s="204" t="s">
        <v>2276</v>
      </c>
      <c r="K803" s="204" t="s">
        <v>2276</v>
      </c>
      <c r="L803" s="204" t="s">
        <v>2276</v>
      </c>
      <c r="M803" s="204" t="s">
        <v>2276</v>
      </c>
      <c r="N803" s="204" t="s">
        <v>2276</v>
      </c>
      <c r="O803" s="204" t="s">
        <v>2276</v>
      </c>
      <c r="P803" s="204" t="s">
        <v>2276</v>
      </c>
      <c r="Q803" s="204" t="s">
        <v>2276</v>
      </c>
      <c r="R803" s="204" t="s">
        <v>534</v>
      </c>
      <c r="S803" s="204" t="s">
        <v>2276</v>
      </c>
      <c r="T803" s="204" t="s">
        <v>2276</v>
      </c>
      <c r="U803" s="204" t="s">
        <v>2276</v>
      </c>
      <c r="V803" s="204">
        <v>1</v>
      </c>
      <c r="W803" s="204" t="s">
        <v>8156</v>
      </c>
    </row>
    <row r="804" spans="1:23" ht="33.5" customHeight="1">
      <c r="A804" s="19" t="s">
        <v>8167</v>
      </c>
      <c r="B804" s="19" t="s">
        <v>8171</v>
      </c>
      <c r="C804" s="4" t="s">
        <v>24</v>
      </c>
      <c r="D804" s="4" t="s">
        <v>1105</v>
      </c>
      <c r="E804" s="4" t="s">
        <v>1105</v>
      </c>
      <c r="F804" s="4" t="s">
        <v>2662</v>
      </c>
      <c r="G804" s="204"/>
      <c r="H804" s="4" t="s">
        <v>2673</v>
      </c>
      <c r="I804" s="204" t="s">
        <v>2276</v>
      </c>
      <c r="J804" s="204" t="s">
        <v>2276</v>
      </c>
      <c r="K804" s="204" t="s">
        <v>2276</v>
      </c>
      <c r="L804" s="204" t="s">
        <v>2276</v>
      </c>
      <c r="M804" s="204" t="s">
        <v>2670</v>
      </c>
      <c r="N804" s="204" t="s">
        <v>2276</v>
      </c>
      <c r="O804" s="204" t="s">
        <v>2276</v>
      </c>
      <c r="P804" s="204" t="s">
        <v>2276</v>
      </c>
      <c r="Q804" s="204" t="s">
        <v>2276</v>
      </c>
      <c r="R804" s="204" t="s">
        <v>2276</v>
      </c>
      <c r="S804" s="204" t="s">
        <v>2276</v>
      </c>
      <c r="T804" s="204" t="s">
        <v>2276</v>
      </c>
      <c r="U804" s="204" t="s">
        <v>2276</v>
      </c>
      <c r="V804" s="204" t="s">
        <v>2276</v>
      </c>
      <c r="W804" s="4" t="s">
        <v>8189</v>
      </c>
    </row>
    <row r="805" spans="1:23" ht="33.5" customHeight="1">
      <c r="A805" s="19" t="s">
        <v>8168</v>
      </c>
      <c r="B805" s="19" t="s">
        <v>8181</v>
      </c>
      <c r="C805" s="4" t="s">
        <v>24</v>
      </c>
      <c r="D805" s="4" t="s">
        <v>1105</v>
      </c>
      <c r="E805" s="4" t="s">
        <v>1105</v>
      </c>
      <c r="F805" s="4" t="s">
        <v>2662</v>
      </c>
      <c r="G805" s="204"/>
      <c r="H805" s="4" t="s">
        <v>2673</v>
      </c>
      <c r="I805" s="204" t="s">
        <v>2276</v>
      </c>
      <c r="J805" s="204" t="s">
        <v>2276</v>
      </c>
      <c r="K805" s="204" t="s">
        <v>2276</v>
      </c>
      <c r="L805" s="204" t="s">
        <v>2276</v>
      </c>
      <c r="M805" s="204" t="s">
        <v>2670</v>
      </c>
      <c r="N805" s="204" t="s">
        <v>2276</v>
      </c>
      <c r="O805" s="204" t="s">
        <v>2276</v>
      </c>
      <c r="P805" s="204" t="s">
        <v>2276</v>
      </c>
      <c r="Q805" s="204" t="s">
        <v>2276</v>
      </c>
      <c r="R805" s="204" t="s">
        <v>2276</v>
      </c>
      <c r="S805" s="204" t="s">
        <v>2276</v>
      </c>
      <c r="T805" s="204" t="s">
        <v>2276</v>
      </c>
      <c r="U805" s="204" t="s">
        <v>2276</v>
      </c>
      <c r="V805" s="204" t="s">
        <v>2276</v>
      </c>
      <c r="W805" s="4" t="s">
        <v>8189</v>
      </c>
    </row>
    <row r="806" spans="1:23" ht="37" customHeight="1">
      <c r="A806" s="19" t="s">
        <v>8191</v>
      </c>
      <c r="B806" s="19" t="s">
        <v>8194</v>
      </c>
      <c r="C806" s="4" t="s">
        <v>24</v>
      </c>
      <c r="D806" s="4" t="s">
        <v>1242</v>
      </c>
      <c r="E806" s="4" t="s">
        <v>137</v>
      </c>
      <c r="F806" s="4" t="s">
        <v>2662</v>
      </c>
      <c r="G806" s="204"/>
      <c r="H806" s="4" t="s">
        <v>2673</v>
      </c>
      <c r="I806" s="204" t="s">
        <v>2691</v>
      </c>
      <c r="J806" s="204" t="s">
        <v>534</v>
      </c>
      <c r="K806" s="204" t="s">
        <v>534</v>
      </c>
      <c r="L806" s="204" t="s">
        <v>2276</v>
      </c>
      <c r="M806" s="204" t="s">
        <v>2276</v>
      </c>
      <c r="N806" s="204" t="s">
        <v>2276</v>
      </c>
      <c r="O806" s="204" t="s">
        <v>2276</v>
      </c>
      <c r="P806" s="204" t="s">
        <v>2276</v>
      </c>
      <c r="Q806" s="204" t="s">
        <v>2276</v>
      </c>
      <c r="R806" s="204" t="s">
        <v>537</v>
      </c>
      <c r="S806" s="204" t="s">
        <v>537</v>
      </c>
      <c r="T806" s="204" t="s">
        <v>537</v>
      </c>
      <c r="U806" s="204" t="s">
        <v>537</v>
      </c>
      <c r="V806" s="204" t="s">
        <v>2276</v>
      </c>
      <c r="W806" s="11" t="s">
        <v>8200</v>
      </c>
    </row>
    <row r="807" spans="1:23" ht="38" customHeight="1">
      <c r="A807" s="19" t="s">
        <v>8271</v>
      </c>
      <c r="B807" s="19" t="s">
        <v>8275</v>
      </c>
      <c r="C807" s="4" t="s">
        <v>24</v>
      </c>
      <c r="D807" s="204" t="s">
        <v>1245</v>
      </c>
      <c r="E807" s="204" t="s">
        <v>116</v>
      </c>
      <c r="F807" s="204" t="s">
        <v>74</v>
      </c>
      <c r="G807" s="204"/>
      <c r="H807" s="4" t="s">
        <v>2673</v>
      </c>
      <c r="I807" s="204" t="s">
        <v>2276</v>
      </c>
      <c r="J807" s="204" t="s">
        <v>2276</v>
      </c>
      <c r="K807" s="204" t="s">
        <v>2276</v>
      </c>
      <c r="L807" s="204" t="s">
        <v>2276</v>
      </c>
      <c r="M807" s="204" t="s">
        <v>2276</v>
      </c>
      <c r="N807" s="204" t="s">
        <v>2276</v>
      </c>
      <c r="O807" s="204" t="s">
        <v>2276</v>
      </c>
      <c r="P807" s="204" t="s">
        <v>2276</v>
      </c>
      <c r="Q807" s="204" t="s">
        <v>2276</v>
      </c>
      <c r="R807" s="204" t="s">
        <v>534</v>
      </c>
      <c r="S807" s="204" t="s">
        <v>2276</v>
      </c>
      <c r="T807" s="204" t="s">
        <v>2276</v>
      </c>
      <c r="U807" s="204" t="s">
        <v>2276</v>
      </c>
      <c r="V807" s="204">
        <v>4</v>
      </c>
      <c r="W807" s="19" t="s">
        <v>8281</v>
      </c>
    </row>
    <row r="808" spans="1:23" ht="64.5" customHeight="1">
      <c r="A808" s="19" t="s">
        <v>8286</v>
      </c>
      <c r="B808" s="19" t="s">
        <v>8290</v>
      </c>
      <c r="C808" s="4" t="s">
        <v>24</v>
      </c>
      <c r="D808" s="4" t="s">
        <v>1242</v>
      </c>
      <c r="E808" s="204" t="s">
        <v>116</v>
      </c>
      <c r="F808" s="4" t="s">
        <v>2662</v>
      </c>
      <c r="G808" s="204"/>
      <c r="H808" s="4" t="s">
        <v>2673</v>
      </c>
      <c r="I808" s="204" t="s">
        <v>2691</v>
      </c>
      <c r="J808" s="204" t="s">
        <v>2276</v>
      </c>
      <c r="K808" s="204" t="s">
        <v>534</v>
      </c>
      <c r="L808" s="204" t="s">
        <v>2276</v>
      </c>
      <c r="M808" s="204" t="s">
        <v>2728</v>
      </c>
      <c r="N808" s="204" t="s">
        <v>534</v>
      </c>
      <c r="O808" s="204" t="s">
        <v>2276</v>
      </c>
      <c r="P808" s="204" t="s">
        <v>534</v>
      </c>
      <c r="Q808" s="204">
        <v>4</v>
      </c>
      <c r="R808" s="204" t="s">
        <v>2276</v>
      </c>
      <c r="S808" s="204" t="s">
        <v>2276</v>
      </c>
      <c r="T808" s="204" t="s">
        <v>2276</v>
      </c>
      <c r="U808" s="204" t="s">
        <v>2276</v>
      </c>
      <c r="V808" s="204" t="s">
        <v>2276</v>
      </c>
      <c r="W808" s="19" t="s">
        <v>8297</v>
      </c>
    </row>
    <row r="809" spans="1:23" ht="58" customHeight="1">
      <c r="A809" s="19" t="s">
        <v>8299</v>
      </c>
      <c r="B809" s="19" t="s">
        <v>8301</v>
      </c>
      <c r="C809" s="4" t="s">
        <v>24</v>
      </c>
      <c r="D809" s="204" t="s">
        <v>1245</v>
      </c>
      <c r="E809" s="204" t="s">
        <v>116</v>
      </c>
      <c r="F809" s="4" t="s">
        <v>2662</v>
      </c>
      <c r="G809" s="204"/>
      <c r="H809" s="4" t="s">
        <v>2673</v>
      </c>
      <c r="I809" s="204" t="s">
        <v>2276</v>
      </c>
      <c r="J809" s="204" t="s">
        <v>2276</v>
      </c>
      <c r="K809" s="204" t="s">
        <v>2276</v>
      </c>
      <c r="L809" s="204" t="s">
        <v>2276</v>
      </c>
      <c r="M809" s="204" t="s">
        <v>2669</v>
      </c>
      <c r="N809" s="204" t="s">
        <v>534</v>
      </c>
      <c r="O809" s="204" t="s">
        <v>2276</v>
      </c>
      <c r="P809" s="204" t="s">
        <v>534</v>
      </c>
      <c r="Q809" s="204">
        <v>4</v>
      </c>
      <c r="R809" s="204" t="s">
        <v>2276</v>
      </c>
      <c r="S809" s="204" t="s">
        <v>2276</v>
      </c>
      <c r="T809" s="204" t="s">
        <v>2276</v>
      </c>
      <c r="U809" s="204" t="s">
        <v>2276</v>
      </c>
      <c r="V809" s="204" t="s">
        <v>2276</v>
      </c>
      <c r="W809" s="19" t="s">
        <v>8304</v>
      </c>
    </row>
    <row r="810" spans="1:23" ht="43.5">
      <c r="A810" s="19" t="s">
        <v>8314</v>
      </c>
      <c r="B810" s="19" t="s">
        <v>8325</v>
      </c>
      <c r="C810" s="4" t="s">
        <v>24</v>
      </c>
      <c r="D810" s="204" t="s">
        <v>1105</v>
      </c>
      <c r="E810" s="4" t="s">
        <v>3854</v>
      </c>
      <c r="F810" s="204" t="s">
        <v>2276</v>
      </c>
      <c r="G810" s="204"/>
      <c r="H810" s="4" t="s">
        <v>2673</v>
      </c>
      <c r="I810" s="204" t="s">
        <v>2276</v>
      </c>
      <c r="J810" s="204" t="s">
        <v>2276</v>
      </c>
      <c r="K810" s="204" t="s">
        <v>2276</v>
      </c>
      <c r="L810" s="204" t="s">
        <v>2276</v>
      </c>
      <c r="M810" s="204" t="s">
        <v>2276</v>
      </c>
      <c r="N810" s="204" t="s">
        <v>2276</v>
      </c>
      <c r="O810" s="204" t="s">
        <v>2276</v>
      </c>
      <c r="P810" s="204" t="s">
        <v>2276</v>
      </c>
      <c r="Q810" s="204" t="s">
        <v>2276</v>
      </c>
      <c r="R810" s="204" t="s">
        <v>534</v>
      </c>
      <c r="S810" s="204" t="s">
        <v>2276</v>
      </c>
      <c r="T810" s="204" t="s">
        <v>2276</v>
      </c>
      <c r="U810" s="204" t="s">
        <v>2276</v>
      </c>
      <c r="V810" s="204">
        <v>2</v>
      </c>
      <c r="W810" s="19" t="s">
        <v>8353</v>
      </c>
    </row>
    <row r="811" spans="1:23" ht="43.5">
      <c r="A811" s="19" t="s">
        <v>8315</v>
      </c>
      <c r="B811" s="19" t="s">
        <v>8330</v>
      </c>
      <c r="C811" s="4" t="s">
        <v>24</v>
      </c>
      <c r="D811" s="204" t="s">
        <v>1105</v>
      </c>
      <c r="E811" s="4" t="s">
        <v>3854</v>
      </c>
      <c r="F811" s="204" t="s">
        <v>2276</v>
      </c>
      <c r="G811" s="204"/>
      <c r="H811" s="4" t="s">
        <v>2673</v>
      </c>
      <c r="I811" s="204" t="s">
        <v>2276</v>
      </c>
      <c r="J811" s="204" t="s">
        <v>2276</v>
      </c>
      <c r="K811" s="204" t="s">
        <v>2276</v>
      </c>
      <c r="L811" s="204" t="s">
        <v>2276</v>
      </c>
      <c r="M811" s="204" t="s">
        <v>2276</v>
      </c>
      <c r="N811" s="204" t="s">
        <v>2276</v>
      </c>
      <c r="O811" s="204" t="s">
        <v>2276</v>
      </c>
      <c r="P811" s="204" t="s">
        <v>2276</v>
      </c>
      <c r="Q811" s="204" t="s">
        <v>2276</v>
      </c>
      <c r="R811" s="204" t="s">
        <v>534</v>
      </c>
      <c r="S811" s="204" t="s">
        <v>2276</v>
      </c>
      <c r="T811" s="204" t="s">
        <v>2276</v>
      </c>
      <c r="U811" s="204" t="s">
        <v>2276</v>
      </c>
      <c r="V811" s="204">
        <v>2</v>
      </c>
      <c r="W811" s="19" t="s">
        <v>8353</v>
      </c>
    </row>
    <row r="812" spans="1:23" ht="43.5">
      <c r="A812" s="19" t="s">
        <v>8318</v>
      </c>
      <c r="B812" s="19" t="s">
        <v>8336</v>
      </c>
      <c r="C812" s="4" t="s">
        <v>24</v>
      </c>
      <c r="D812" s="204" t="s">
        <v>1105</v>
      </c>
      <c r="E812" s="4" t="s">
        <v>3854</v>
      </c>
      <c r="F812" s="204" t="s">
        <v>2276</v>
      </c>
      <c r="G812" s="204"/>
      <c r="H812" s="4" t="s">
        <v>2673</v>
      </c>
      <c r="I812" s="204" t="s">
        <v>2276</v>
      </c>
      <c r="J812" s="204" t="s">
        <v>2276</v>
      </c>
      <c r="K812" s="204" t="s">
        <v>2276</v>
      </c>
      <c r="L812" s="204" t="s">
        <v>2276</v>
      </c>
      <c r="M812" s="204" t="s">
        <v>2276</v>
      </c>
      <c r="N812" s="204" t="s">
        <v>2276</v>
      </c>
      <c r="O812" s="204" t="s">
        <v>2276</v>
      </c>
      <c r="P812" s="204" t="s">
        <v>2276</v>
      </c>
      <c r="Q812" s="204" t="s">
        <v>2276</v>
      </c>
      <c r="R812" s="204" t="s">
        <v>534</v>
      </c>
      <c r="S812" s="204" t="s">
        <v>2276</v>
      </c>
      <c r="T812" s="204" t="s">
        <v>2276</v>
      </c>
      <c r="U812" s="204" t="s">
        <v>2276</v>
      </c>
      <c r="V812" s="204">
        <v>2</v>
      </c>
      <c r="W812" s="19" t="s">
        <v>8353</v>
      </c>
    </row>
    <row r="813" spans="1:23" ht="43.5">
      <c r="A813" s="19" t="s">
        <v>8319</v>
      </c>
      <c r="B813" s="19" t="s">
        <v>8345</v>
      </c>
      <c r="C813" s="4" t="s">
        <v>24</v>
      </c>
      <c r="D813" s="204" t="s">
        <v>1105</v>
      </c>
      <c r="E813" s="4" t="s">
        <v>3854</v>
      </c>
      <c r="F813" s="204" t="s">
        <v>2276</v>
      </c>
      <c r="G813" s="204"/>
      <c r="H813" s="4" t="s">
        <v>2673</v>
      </c>
      <c r="I813" s="204" t="s">
        <v>2276</v>
      </c>
      <c r="J813" s="204" t="s">
        <v>2276</v>
      </c>
      <c r="K813" s="204" t="s">
        <v>2276</v>
      </c>
      <c r="L813" s="204" t="s">
        <v>2276</v>
      </c>
      <c r="M813" s="204" t="s">
        <v>2276</v>
      </c>
      <c r="N813" s="204" t="s">
        <v>2276</v>
      </c>
      <c r="O813" s="204" t="s">
        <v>2276</v>
      </c>
      <c r="P813" s="204" t="s">
        <v>2276</v>
      </c>
      <c r="Q813" s="204" t="s">
        <v>2276</v>
      </c>
      <c r="R813" s="204" t="s">
        <v>534</v>
      </c>
      <c r="S813" s="204" t="s">
        <v>2276</v>
      </c>
      <c r="T813" s="204" t="s">
        <v>2276</v>
      </c>
      <c r="U813" s="204" t="s">
        <v>2276</v>
      </c>
      <c r="V813" s="204">
        <v>2</v>
      </c>
      <c r="W813" s="19" t="s">
        <v>8353</v>
      </c>
    </row>
    <row r="814" spans="1:23" ht="41" customHeight="1">
      <c r="A814" s="19" t="s">
        <v>8416</v>
      </c>
      <c r="B814" s="19" t="s">
        <v>8418</v>
      </c>
      <c r="C814" s="4" t="s">
        <v>24</v>
      </c>
      <c r="D814" s="204" t="s">
        <v>2659</v>
      </c>
      <c r="E814" s="204" t="s">
        <v>2276</v>
      </c>
      <c r="F814" s="204" t="s">
        <v>28</v>
      </c>
      <c r="G814" s="204"/>
      <c r="H814" s="4" t="s">
        <v>541</v>
      </c>
      <c r="I814" s="204" t="s">
        <v>2276</v>
      </c>
      <c r="J814" s="204" t="s">
        <v>2276</v>
      </c>
      <c r="K814" s="204" t="s">
        <v>2276</v>
      </c>
      <c r="L814" s="204" t="s">
        <v>2276</v>
      </c>
      <c r="M814" s="204" t="s">
        <v>2276</v>
      </c>
      <c r="N814" s="204" t="s">
        <v>2276</v>
      </c>
      <c r="O814" s="204" t="s">
        <v>2276</v>
      </c>
      <c r="P814" s="204" t="s">
        <v>2276</v>
      </c>
      <c r="Q814" s="204" t="s">
        <v>2276</v>
      </c>
      <c r="R814" s="204" t="s">
        <v>537</v>
      </c>
      <c r="S814" s="204" t="s">
        <v>537</v>
      </c>
      <c r="T814" s="204" t="s">
        <v>537</v>
      </c>
      <c r="U814" s="204" t="s">
        <v>537</v>
      </c>
      <c r="V814" s="204" t="s">
        <v>2276</v>
      </c>
      <c r="W814" s="204"/>
    </row>
    <row r="815" spans="1:23" ht="47.5" customHeight="1">
      <c r="A815" s="19" t="s">
        <v>8416</v>
      </c>
      <c r="B815" s="19" t="s">
        <v>8419</v>
      </c>
      <c r="C815" s="4" t="s">
        <v>24</v>
      </c>
      <c r="D815" s="204" t="s">
        <v>2659</v>
      </c>
      <c r="E815" s="204" t="s">
        <v>2276</v>
      </c>
      <c r="F815" s="204" t="s">
        <v>28</v>
      </c>
      <c r="G815" s="204"/>
      <c r="H815" s="4" t="s">
        <v>541</v>
      </c>
      <c r="I815" s="204" t="s">
        <v>2276</v>
      </c>
      <c r="J815" s="204" t="s">
        <v>2276</v>
      </c>
      <c r="K815" s="204" t="s">
        <v>2276</v>
      </c>
      <c r="L815" s="204" t="s">
        <v>2276</v>
      </c>
      <c r="M815" s="204" t="s">
        <v>2276</v>
      </c>
      <c r="N815" s="204" t="s">
        <v>2276</v>
      </c>
      <c r="O815" s="204" t="s">
        <v>2276</v>
      </c>
      <c r="P815" s="204" t="s">
        <v>2276</v>
      </c>
      <c r="Q815" s="204" t="s">
        <v>2276</v>
      </c>
      <c r="R815" s="204" t="s">
        <v>534</v>
      </c>
      <c r="S815" s="204" t="s">
        <v>2276</v>
      </c>
      <c r="T815" s="204" t="s">
        <v>2276</v>
      </c>
      <c r="U815" s="204" t="s">
        <v>2276</v>
      </c>
      <c r="V815" s="204">
        <v>4</v>
      </c>
      <c r="W815" s="4" t="s">
        <v>8420</v>
      </c>
    </row>
    <row r="816" spans="1:23" ht="37" customHeight="1">
      <c r="A816" s="19" t="s">
        <v>8425</v>
      </c>
      <c r="B816" s="19" t="s">
        <v>8428</v>
      </c>
      <c r="C816" s="204" t="s">
        <v>24</v>
      </c>
      <c r="D816" s="204" t="s">
        <v>2659</v>
      </c>
      <c r="E816" s="204" t="s">
        <v>2276</v>
      </c>
      <c r="F816" s="204" t="s">
        <v>28</v>
      </c>
      <c r="G816" s="204">
        <v>1992</v>
      </c>
      <c r="H816" s="4" t="s">
        <v>2673</v>
      </c>
      <c r="I816" s="204" t="s">
        <v>2276</v>
      </c>
      <c r="J816" s="204" t="s">
        <v>2276</v>
      </c>
      <c r="K816" s="204" t="s">
        <v>2276</v>
      </c>
      <c r="L816" s="204" t="s">
        <v>2276</v>
      </c>
      <c r="M816" s="204" t="s">
        <v>2671</v>
      </c>
      <c r="N816" s="204" t="s">
        <v>2276</v>
      </c>
      <c r="O816" s="204" t="s">
        <v>2276</v>
      </c>
      <c r="P816" s="204" t="s">
        <v>534</v>
      </c>
      <c r="Q816" s="204">
        <v>4</v>
      </c>
      <c r="R816" s="204" t="s">
        <v>537</v>
      </c>
      <c r="S816" s="204" t="s">
        <v>537</v>
      </c>
      <c r="T816" s="204" t="s">
        <v>537</v>
      </c>
      <c r="U816" s="204" t="s">
        <v>537</v>
      </c>
      <c r="V816" s="204" t="s">
        <v>2276</v>
      </c>
      <c r="W816" s="19" t="s">
        <v>8423</v>
      </c>
    </row>
    <row r="817" spans="1:23" ht="38" customHeight="1">
      <c r="A817" s="19" t="s">
        <v>8425</v>
      </c>
      <c r="B817" s="19" t="s">
        <v>8429</v>
      </c>
      <c r="C817" s="204" t="s">
        <v>24</v>
      </c>
      <c r="D817" s="204" t="s">
        <v>2659</v>
      </c>
      <c r="E817" s="204" t="s">
        <v>2276</v>
      </c>
      <c r="F817" s="204" t="s">
        <v>28</v>
      </c>
      <c r="G817" s="204">
        <v>1980</v>
      </c>
      <c r="H817" s="4" t="s">
        <v>2673</v>
      </c>
      <c r="I817" s="204" t="s">
        <v>2276</v>
      </c>
      <c r="J817" s="204" t="s">
        <v>2276</v>
      </c>
      <c r="K817" s="204" t="s">
        <v>2276</v>
      </c>
      <c r="L817" s="204" t="s">
        <v>2276</v>
      </c>
      <c r="M817" s="204" t="s">
        <v>537</v>
      </c>
      <c r="N817" s="204" t="s">
        <v>537</v>
      </c>
      <c r="O817" s="204" t="s">
        <v>537</v>
      </c>
      <c r="P817" s="204" t="s">
        <v>537</v>
      </c>
      <c r="Q817" s="204">
        <v>4</v>
      </c>
      <c r="R817" s="204" t="s">
        <v>537</v>
      </c>
      <c r="S817" s="204" t="s">
        <v>537</v>
      </c>
      <c r="T817" s="204" t="s">
        <v>537</v>
      </c>
      <c r="U817" s="204" t="s">
        <v>537</v>
      </c>
      <c r="V817" s="204" t="s">
        <v>2276</v>
      </c>
      <c r="W817" s="19"/>
    </row>
    <row r="818" spans="1:23" ht="45.5" customHeight="1">
      <c r="A818" s="204" t="s">
        <v>8421</v>
      </c>
      <c r="B818" s="204" t="s">
        <v>8422</v>
      </c>
      <c r="C818" s="204" t="s">
        <v>24</v>
      </c>
      <c r="D818" s="204" t="s">
        <v>2659</v>
      </c>
      <c r="E818" s="204" t="s">
        <v>2276</v>
      </c>
      <c r="F818" s="204" t="s">
        <v>28</v>
      </c>
      <c r="G818" s="204"/>
      <c r="H818" s="4" t="s">
        <v>2673</v>
      </c>
      <c r="I818" s="204" t="s">
        <v>2276</v>
      </c>
      <c r="J818" s="204" t="s">
        <v>2276</v>
      </c>
      <c r="K818" s="204" t="s">
        <v>2276</v>
      </c>
      <c r="L818" s="204" t="s">
        <v>2276</v>
      </c>
      <c r="M818" s="204" t="s">
        <v>2671</v>
      </c>
      <c r="N818" s="204" t="s">
        <v>2276</v>
      </c>
      <c r="O818" s="204" t="s">
        <v>2276</v>
      </c>
      <c r="P818" s="204" t="s">
        <v>534</v>
      </c>
      <c r="Q818" s="204" t="s">
        <v>2276</v>
      </c>
      <c r="R818" s="204" t="s">
        <v>2276</v>
      </c>
      <c r="S818" s="204" t="s">
        <v>2276</v>
      </c>
      <c r="T818" s="204" t="s">
        <v>2276</v>
      </c>
      <c r="U818" s="204" t="s">
        <v>2276</v>
      </c>
      <c r="V818" s="204" t="s">
        <v>2276</v>
      </c>
      <c r="W818" s="19"/>
    </row>
    <row r="819" spans="1:23" ht="75.5" customHeight="1">
      <c r="A819" s="204" t="s">
        <v>8434</v>
      </c>
      <c r="B819" s="204" t="s">
        <v>8436</v>
      </c>
      <c r="C819" s="204" t="s">
        <v>24</v>
      </c>
      <c r="D819" s="204" t="s">
        <v>2659</v>
      </c>
      <c r="E819" s="204" t="s">
        <v>2276</v>
      </c>
      <c r="F819" s="204" t="s">
        <v>28</v>
      </c>
      <c r="G819" s="204"/>
      <c r="H819" s="4" t="s">
        <v>541</v>
      </c>
      <c r="I819" s="204" t="s">
        <v>2690</v>
      </c>
      <c r="J819" s="204" t="s">
        <v>2276</v>
      </c>
      <c r="K819" s="204" t="s">
        <v>534</v>
      </c>
      <c r="L819" s="204" t="s">
        <v>2276</v>
      </c>
      <c r="M819" s="204" t="s">
        <v>2276</v>
      </c>
      <c r="N819" s="204" t="s">
        <v>2276</v>
      </c>
      <c r="O819" s="204" t="s">
        <v>2276</v>
      </c>
      <c r="P819" s="204" t="s">
        <v>2276</v>
      </c>
      <c r="Q819" s="204" t="s">
        <v>2276</v>
      </c>
      <c r="R819" s="204" t="s">
        <v>2276</v>
      </c>
      <c r="S819" s="204" t="s">
        <v>2276</v>
      </c>
      <c r="T819" s="204" t="s">
        <v>2276</v>
      </c>
      <c r="U819" s="204" t="s">
        <v>2276</v>
      </c>
      <c r="V819" s="204" t="s">
        <v>2276</v>
      </c>
      <c r="W819" s="19" t="s">
        <v>8437</v>
      </c>
    </row>
    <row r="820" spans="1:23" ht="55.5" customHeight="1">
      <c r="A820" s="204" t="s">
        <v>8451</v>
      </c>
      <c r="B820" s="204" t="s">
        <v>8454</v>
      </c>
      <c r="C820" s="204" t="s">
        <v>24</v>
      </c>
      <c r="D820" s="204" t="s">
        <v>2659</v>
      </c>
      <c r="E820" s="4" t="s">
        <v>397</v>
      </c>
      <c r="F820" s="204" t="s">
        <v>28</v>
      </c>
      <c r="G820" s="52"/>
      <c r="H820" s="4" t="s">
        <v>2673</v>
      </c>
      <c r="I820" s="204" t="s">
        <v>2276</v>
      </c>
      <c r="J820" s="204" t="s">
        <v>2276</v>
      </c>
      <c r="K820" s="204" t="s">
        <v>2276</v>
      </c>
      <c r="L820" s="204" t="s">
        <v>2276</v>
      </c>
      <c r="M820" s="204" t="s">
        <v>2276</v>
      </c>
      <c r="N820" s="204" t="s">
        <v>2276</v>
      </c>
      <c r="O820" s="204" t="s">
        <v>2276</v>
      </c>
      <c r="P820" s="204" t="s">
        <v>2276</v>
      </c>
      <c r="Q820" s="204" t="s">
        <v>2276</v>
      </c>
      <c r="R820" s="204" t="s">
        <v>534</v>
      </c>
      <c r="S820" s="204" t="s">
        <v>2276</v>
      </c>
      <c r="T820" s="204" t="s">
        <v>2276</v>
      </c>
      <c r="U820" s="204" t="s">
        <v>2276</v>
      </c>
      <c r="V820" s="204">
        <v>5</v>
      </c>
      <c r="W820" s="233" t="s">
        <v>8458</v>
      </c>
    </row>
    <row r="821" spans="1:23" ht="55.5" customHeight="1">
      <c r="A821" s="204" t="s">
        <v>8451</v>
      </c>
      <c r="B821" s="204" t="s">
        <v>8455</v>
      </c>
      <c r="C821" s="204" t="s">
        <v>24</v>
      </c>
      <c r="D821" s="204" t="s">
        <v>2659</v>
      </c>
      <c r="E821" s="4" t="s">
        <v>396</v>
      </c>
      <c r="F821" s="204" t="s">
        <v>28</v>
      </c>
      <c r="G821" s="204"/>
      <c r="H821" s="4" t="s">
        <v>2673</v>
      </c>
      <c r="I821" s="204" t="s">
        <v>2276</v>
      </c>
      <c r="J821" s="204" t="s">
        <v>2276</v>
      </c>
      <c r="K821" s="204" t="s">
        <v>2276</v>
      </c>
      <c r="L821" s="204" t="s">
        <v>2276</v>
      </c>
      <c r="M821" s="204" t="s">
        <v>2276</v>
      </c>
      <c r="N821" s="204" t="s">
        <v>2276</v>
      </c>
      <c r="O821" s="204" t="s">
        <v>2276</v>
      </c>
      <c r="P821" s="204" t="s">
        <v>2276</v>
      </c>
      <c r="Q821" s="204" t="s">
        <v>2276</v>
      </c>
      <c r="R821" s="204" t="s">
        <v>534</v>
      </c>
      <c r="S821" s="204" t="s">
        <v>2276</v>
      </c>
      <c r="T821" s="204" t="s">
        <v>2276</v>
      </c>
      <c r="U821" s="204" t="s">
        <v>2276</v>
      </c>
      <c r="V821" s="204">
        <v>5</v>
      </c>
      <c r="W821" s="233" t="s">
        <v>8458</v>
      </c>
    </row>
    <row r="822" spans="1:23" ht="55.5" customHeight="1">
      <c r="A822" s="204" t="s">
        <v>8451</v>
      </c>
      <c r="B822" s="204" t="s">
        <v>8456</v>
      </c>
      <c r="C822" s="204" t="s">
        <v>24</v>
      </c>
      <c r="D822" s="204" t="s">
        <v>2659</v>
      </c>
      <c r="E822" s="4" t="s">
        <v>397</v>
      </c>
      <c r="F822" s="204" t="s">
        <v>28</v>
      </c>
      <c r="G822" s="204"/>
      <c r="H822" s="4" t="s">
        <v>1093</v>
      </c>
      <c r="I822" s="204" t="s">
        <v>2690</v>
      </c>
      <c r="J822" s="204" t="s">
        <v>2276</v>
      </c>
      <c r="K822" s="204" t="s">
        <v>2276</v>
      </c>
      <c r="L822" s="204" t="s">
        <v>2276</v>
      </c>
      <c r="M822" s="204" t="s">
        <v>2276</v>
      </c>
      <c r="N822" s="204" t="s">
        <v>2276</v>
      </c>
      <c r="O822" s="204" t="s">
        <v>2276</v>
      </c>
      <c r="P822" s="204" t="s">
        <v>2276</v>
      </c>
      <c r="Q822" s="204" t="s">
        <v>2276</v>
      </c>
      <c r="R822" s="204" t="s">
        <v>2276</v>
      </c>
      <c r="S822" s="204" t="s">
        <v>2276</v>
      </c>
      <c r="T822" s="204" t="s">
        <v>2276</v>
      </c>
      <c r="U822" s="204" t="s">
        <v>2276</v>
      </c>
      <c r="V822" s="204" t="s">
        <v>2276</v>
      </c>
      <c r="W822" s="4" t="s">
        <v>8459</v>
      </c>
    </row>
    <row r="823" spans="1:23" ht="55.5" customHeight="1">
      <c r="A823" s="204" t="s">
        <v>8451</v>
      </c>
      <c r="B823" s="204" t="s">
        <v>8457</v>
      </c>
      <c r="C823" s="204" t="s">
        <v>24</v>
      </c>
      <c r="D823" s="204" t="s">
        <v>2659</v>
      </c>
      <c r="E823" s="4" t="s">
        <v>396</v>
      </c>
      <c r="F823" s="204" t="s">
        <v>28</v>
      </c>
      <c r="G823" s="204"/>
      <c r="H823" s="4" t="s">
        <v>1093</v>
      </c>
      <c r="I823" s="204" t="s">
        <v>2690</v>
      </c>
      <c r="J823" s="204" t="s">
        <v>2276</v>
      </c>
      <c r="K823" s="204" t="s">
        <v>2276</v>
      </c>
      <c r="L823" s="204" t="s">
        <v>2276</v>
      </c>
      <c r="M823" s="204" t="s">
        <v>2276</v>
      </c>
      <c r="N823" s="204" t="s">
        <v>2276</v>
      </c>
      <c r="O823" s="204" t="s">
        <v>2276</v>
      </c>
      <c r="P823" s="204" t="s">
        <v>2276</v>
      </c>
      <c r="Q823" s="204" t="s">
        <v>2276</v>
      </c>
      <c r="R823" s="204" t="s">
        <v>2276</v>
      </c>
      <c r="S823" s="204" t="s">
        <v>2276</v>
      </c>
      <c r="T823" s="204" t="s">
        <v>2276</v>
      </c>
      <c r="U823" s="204" t="s">
        <v>2276</v>
      </c>
      <c r="V823" s="204" t="s">
        <v>2276</v>
      </c>
      <c r="W823" s="4" t="s">
        <v>8459</v>
      </c>
    </row>
    <row r="824" spans="1:23" ht="50.5" customHeight="1">
      <c r="A824" s="11" t="s">
        <v>8465</v>
      </c>
      <c r="B824" s="11" t="s">
        <v>8467</v>
      </c>
      <c r="C824" s="204" t="s">
        <v>24</v>
      </c>
      <c r="D824" s="4" t="s">
        <v>1131</v>
      </c>
      <c r="E824" s="4" t="s">
        <v>396</v>
      </c>
      <c r="F824" s="204" t="s">
        <v>28</v>
      </c>
      <c r="G824" s="204">
        <v>2007</v>
      </c>
      <c r="H824" s="4" t="s">
        <v>2673</v>
      </c>
      <c r="I824" s="204" t="s">
        <v>2276</v>
      </c>
      <c r="J824" s="204" t="s">
        <v>2276</v>
      </c>
      <c r="K824" s="204" t="s">
        <v>2276</v>
      </c>
      <c r="L824" s="204" t="s">
        <v>2276</v>
      </c>
      <c r="M824" s="204" t="s">
        <v>2728</v>
      </c>
      <c r="N824" s="204" t="s">
        <v>2276</v>
      </c>
      <c r="O824" s="204" t="s">
        <v>534</v>
      </c>
      <c r="P824" s="204" t="s">
        <v>2276</v>
      </c>
      <c r="Q824" s="204">
        <v>4</v>
      </c>
      <c r="R824" s="204" t="s">
        <v>537</v>
      </c>
      <c r="S824" s="204" t="s">
        <v>2276</v>
      </c>
      <c r="T824" s="204" t="s">
        <v>2276</v>
      </c>
      <c r="U824" s="204" t="s">
        <v>2276</v>
      </c>
      <c r="V824" s="204" t="s">
        <v>2276</v>
      </c>
      <c r="W824" s="19" t="s">
        <v>8470</v>
      </c>
    </row>
    <row r="825" spans="1:23" ht="40" customHeight="1">
      <c r="A825" s="19" t="s">
        <v>8472</v>
      </c>
      <c r="B825" s="19" t="s">
        <v>8502</v>
      </c>
      <c r="C825" s="204" t="s">
        <v>24</v>
      </c>
      <c r="D825" s="4" t="s">
        <v>1131</v>
      </c>
      <c r="E825" s="4" t="s">
        <v>396</v>
      </c>
      <c r="F825" s="4" t="s">
        <v>28</v>
      </c>
      <c r="G825" s="204"/>
      <c r="H825" s="4" t="s">
        <v>2673</v>
      </c>
      <c r="I825" s="204" t="s">
        <v>2276</v>
      </c>
      <c r="J825" s="204" t="s">
        <v>2276</v>
      </c>
      <c r="K825" s="204" t="s">
        <v>2276</v>
      </c>
      <c r="L825" s="204" t="s">
        <v>2276</v>
      </c>
      <c r="M825" s="204" t="s">
        <v>2728</v>
      </c>
      <c r="N825" s="204" t="s">
        <v>2276</v>
      </c>
      <c r="O825" s="204" t="s">
        <v>534</v>
      </c>
      <c r="P825" s="204" t="s">
        <v>2276</v>
      </c>
      <c r="Q825" s="204">
        <v>4</v>
      </c>
      <c r="R825" s="204" t="s">
        <v>537</v>
      </c>
      <c r="S825" s="204" t="s">
        <v>2276</v>
      </c>
      <c r="T825" s="204" t="s">
        <v>2276</v>
      </c>
      <c r="U825" s="204" t="s">
        <v>2276</v>
      </c>
      <c r="V825" s="204" t="s">
        <v>2276</v>
      </c>
      <c r="W825" s="19" t="s">
        <v>8470</v>
      </c>
    </row>
    <row r="826" spans="1:23" ht="43.5">
      <c r="A826" s="19" t="s">
        <v>8475</v>
      </c>
      <c r="B826" s="19" t="s">
        <v>8503</v>
      </c>
      <c r="C826" s="204" t="s">
        <v>24</v>
      </c>
      <c r="D826" s="4" t="s">
        <v>1131</v>
      </c>
      <c r="E826" s="4" t="s">
        <v>396</v>
      </c>
      <c r="F826" s="4" t="s">
        <v>28</v>
      </c>
      <c r="G826" s="204"/>
      <c r="H826" s="4" t="s">
        <v>2673</v>
      </c>
      <c r="I826" s="204" t="s">
        <v>2276</v>
      </c>
      <c r="J826" s="204" t="s">
        <v>2276</v>
      </c>
      <c r="K826" s="204" t="s">
        <v>2276</v>
      </c>
      <c r="L826" s="204" t="s">
        <v>2276</v>
      </c>
      <c r="M826" s="204" t="s">
        <v>2728</v>
      </c>
      <c r="N826" s="204" t="s">
        <v>2276</v>
      </c>
      <c r="O826" s="204" t="s">
        <v>534</v>
      </c>
      <c r="P826" s="204" t="s">
        <v>2276</v>
      </c>
      <c r="Q826" s="204">
        <v>4</v>
      </c>
      <c r="R826" s="204" t="s">
        <v>537</v>
      </c>
      <c r="S826" s="204" t="s">
        <v>2276</v>
      </c>
      <c r="T826" s="204" t="s">
        <v>2276</v>
      </c>
      <c r="U826" s="204" t="s">
        <v>2276</v>
      </c>
      <c r="V826" s="204" t="s">
        <v>2276</v>
      </c>
      <c r="W826" s="19" t="s">
        <v>8470</v>
      </c>
    </row>
    <row r="827" spans="1:23" ht="43.5">
      <c r="A827" s="19" t="s">
        <v>8476</v>
      </c>
      <c r="B827" s="19" t="s">
        <v>8504</v>
      </c>
      <c r="C827" s="204" t="s">
        <v>24</v>
      </c>
      <c r="D827" s="4" t="s">
        <v>1131</v>
      </c>
      <c r="E827" s="4" t="s">
        <v>396</v>
      </c>
      <c r="F827" s="4" t="s">
        <v>28</v>
      </c>
      <c r="G827" s="204"/>
      <c r="H827" s="4" t="s">
        <v>2673</v>
      </c>
      <c r="I827" s="204" t="s">
        <v>2276</v>
      </c>
      <c r="J827" s="204" t="s">
        <v>2276</v>
      </c>
      <c r="K827" s="204" t="s">
        <v>2276</v>
      </c>
      <c r="L827" s="204" t="s">
        <v>2276</v>
      </c>
      <c r="M827" s="204" t="s">
        <v>2728</v>
      </c>
      <c r="N827" s="204" t="s">
        <v>2276</v>
      </c>
      <c r="O827" s="204" t="s">
        <v>534</v>
      </c>
      <c r="P827" s="204" t="s">
        <v>2276</v>
      </c>
      <c r="Q827" s="204">
        <v>4</v>
      </c>
      <c r="R827" s="204" t="s">
        <v>537</v>
      </c>
      <c r="S827" s="204" t="s">
        <v>2276</v>
      </c>
      <c r="T827" s="204" t="s">
        <v>2276</v>
      </c>
      <c r="U827" s="204" t="s">
        <v>2276</v>
      </c>
      <c r="V827" s="204" t="s">
        <v>2276</v>
      </c>
      <c r="W827" s="19" t="s">
        <v>8470</v>
      </c>
    </row>
    <row r="828" spans="1:23" ht="43.5">
      <c r="A828" s="19" t="s">
        <v>8477</v>
      </c>
      <c r="B828" s="19" t="s">
        <v>8505</v>
      </c>
      <c r="C828" s="204" t="s">
        <v>24</v>
      </c>
      <c r="D828" s="4" t="s">
        <v>1131</v>
      </c>
      <c r="E828" s="4" t="s">
        <v>396</v>
      </c>
      <c r="F828" s="4" t="s">
        <v>28</v>
      </c>
      <c r="G828" s="204"/>
      <c r="H828" s="4" t="s">
        <v>2673</v>
      </c>
      <c r="I828" s="204" t="s">
        <v>2276</v>
      </c>
      <c r="J828" s="204" t="s">
        <v>2276</v>
      </c>
      <c r="K828" s="204" t="s">
        <v>2276</v>
      </c>
      <c r="L828" s="204" t="s">
        <v>2276</v>
      </c>
      <c r="M828" s="204" t="s">
        <v>2728</v>
      </c>
      <c r="N828" s="204" t="s">
        <v>2276</v>
      </c>
      <c r="O828" s="204" t="s">
        <v>534</v>
      </c>
      <c r="P828" s="204" t="s">
        <v>2276</v>
      </c>
      <c r="Q828" s="204">
        <v>4</v>
      </c>
      <c r="R828" s="204" t="s">
        <v>537</v>
      </c>
      <c r="S828" s="204" t="s">
        <v>2276</v>
      </c>
      <c r="T828" s="204" t="s">
        <v>2276</v>
      </c>
      <c r="U828" s="204" t="s">
        <v>2276</v>
      </c>
      <c r="V828" s="204" t="s">
        <v>2276</v>
      </c>
      <c r="W828" s="19" t="s">
        <v>8470</v>
      </c>
    </row>
    <row r="829" spans="1:23" ht="43.5">
      <c r="A829" s="19" t="s">
        <v>8478</v>
      </c>
      <c r="B829" s="19" t="s">
        <v>8506</v>
      </c>
      <c r="C829" s="204" t="s">
        <v>24</v>
      </c>
      <c r="D829" s="4" t="s">
        <v>1131</v>
      </c>
      <c r="E829" s="4" t="s">
        <v>396</v>
      </c>
      <c r="F829" s="4" t="s">
        <v>28</v>
      </c>
      <c r="G829" s="204"/>
      <c r="H829" s="4" t="s">
        <v>2673</v>
      </c>
      <c r="I829" s="204" t="s">
        <v>2276</v>
      </c>
      <c r="J829" s="204" t="s">
        <v>2276</v>
      </c>
      <c r="K829" s="204" t="s">
        <v>2276</v>
      </c>
      <c r="L829" s="204" t="s">
        <v>2276</v>
      </c>
      <c r="M829" s="204" t="s">
        <v>2728</v>
      </c>
      <c r="N829" s="204" t="s">
        <v>2276</v>
      </c>
      <c r="O829" s="204" t="s">
        <v>534</v>
      </c>
      <c r="P829" s="204" t="s">
        <v>2276</v>
      </c>
      <c r="Q829" s="204">
        <v>4</v>
      </c>
      <c r="R829" s="204" t="s">
        <v>537</v>
      </c>
      <c r="S829" s="204" t="s">
        <v>2276</v>
      </c>
      <c r="T829" s="204" t="s">
        <v>2276</v>
      </c>
      <c r="U829" s="204" t="s">
        <v>2276</v>
      </c>
      <c r="V829" s="204" t="s">
        <v>2276</v>
      </c>
      <c r="W829" s="19" t="s">
        <v>8470</v>
      </c>
    </row>
    <row r="830" spans="1:23" ht="43.5">
      <c r="A830" s="19" t="s">
        <v>8479</v>
      </c>
      <c r="B830" s="19" t="s">
        <v>8507</v>
      </c>
      <c r="C830" s="204" t="s">
        <v>24</v>
      </c>
      <c r="D830" s="4" t="s">
        <v>1131</v>
      </c>
      <c r="E830" s="4" t="s">
        <v>396</v>
      </c>
      <c r="F830" s="4" t="s">
        <v>28</v>
      </c>
      <c r="G830" s="204"/>
      <c r="H830" s="4" t="s">
        <v>2673</v>
      </c>
      <c r="I830" s="204" t="s">
        <v>2276</v>
      </c>
      <c r="J830" s="204" t="s">
        <v>2276</v>
      </c>
      <c r="K830" s="204" t="s">
        <v>2276</v>
      </c>
      <c r="L830" s="204" t="s">
        <v>2276</v>
      </c>
      <c r="M830" s="204" t="s">
        <v>2728</v>
      </c>
      <c r="N830" s="204" t="s">
        <v>2276</v>
      </c>
      <c r="O830" s="204" t="s">
        <v>534</v>
      </c>
      <c r="P830" s="204" t="s">
        <v>2276</v>
      </c>
      <c r="Q830" s="204">
        <v>4</v>
      </c>
      <c r="R830" s="204" t="s">
        <v>537</v>
      </c>
      <c r="S830" s="204" t="s">
        <v>2276</v>
      </c>
      <c r="T830" s="204" t="s">
        <v>2276</v>
      </c>
      <c r="U830" s="204" t="s">
        <v>2276</v>
      </c>
      <c r="V830" s="204" t="s">
        <v>2276</v>
      </c>
      <c r="W830" s="19" t="s">
        <v>8470</v>
      </c>
    </row>
    <row r="831" spans="1:23" ht="43.5">
      <c r="A831" s="19" t="s">
        <v>8480</v>
      </c>
      <c r="B831" s="19" t="s">
        <v>8508</v>
      </c>
      <c r="C831" s="204" t="s">
        <v>24</v>
      </c>
      <c r="D831" s="4" t="s">
        <v>1131</v>
      </c>
      <c r="E831" s="4" t="s">
        <v>396</v>
      </c>
      <c r="F831" s="4" t="s">
        <v>28</v>
      </c>
      <c r="G831" s="204"/>
      <c r="H831" s="4" t="s">
        <v>2673</v>
      </c>
      <c r="I831" s="204" t="s">
        <v>2276</v>
      </c>
      <c r="J831" s="204" t="s">
        <v>2276</v>
      </c>
      <c r="K831" s="204" t="s">
        <v>2276</v>
      </c>
      <c r="L831" s="204" t="s">
        <v>2276</v>
      </c>
      <c r="M831" s="204" t="s">
        <v>2728</v>
      </c>
      <c r="N831" s="204" t="s">
        <v>2276</v>
      </c>
      <c r="O831" s="204" t="s">
        <v>534</v>
      </c>
      <c r="P831" s="204" t="s">
        <v>2276</v>
      </c>
      <c r="Q831" s="204">
        <v>4</v>
      </c>
      <c r="R831" s="204" t="s">
        <v>537</v>
      </c>
      <c r="S831" s="204" t="s">
        <v>2276</v>
      </c>
      <c r="T831" s="204" t="s">
        <v>2276</v>
      </c>
      <c r="U831" s="204" t="s">
        <v>2276</v>
      </c>
      <c r="V831" s="204" t="s">
        <v>2276</v>
      </c>
      <c r="W831" s="19" t="s">
        <v>8470</v>
      </c>
    </row>
    <row r="832" spans="1:23" ht="43.5">
      <c r="A832" s="19" t="s">
        <v>8481</v>
      </c>
      <c r="B832" s="19" t="s">
        <v>8509</v>
      </c>
      <c r="C832" s="204" t="s">
        <v>24</v>
      </c>
      <c r="D832" s="4" t="s">
        <v>1131</v>
      </c>
      <c r="E832" s="4" t="s">
        <v>396</v>
      </c>
      <c r="F832" s="4" t="s">
        <v>28</v>
      </c>
      <c r="G832" s="204"/>
      <c r="H832" s="4" t="s">
        <v>2673</v>
      </c>
      <c r="I832" s="204" t="s">
        <v>2276</v>
      </c>
      <c r="J832" s="204" t="s">
        <v>2276</v>
      </c>
      <c r="K832" s="204" t="s">
        <v>2276</v>
      </c>
      <c r="L832" s="204" t="s">
        <v>2276</v>
      </c>
      <c r="M832" s="204" t="s">
        <v>2728</v>
      </c>
      <c r="N832" s="204" t="s">
        <v>2276</v>
      </c>
      <c r="O832" s="204" t="s">
        <v>534</v>
      </c>
      <c r="P832" s="204" t="s">
        <v>2276</v>
      </c>
      <c r="Q832" s="204">
        <v>4</v>
      </c>
      <c r="R832" s="204" t="s">
        <v>537</v>
      </c>
      <c r="S832" s="204" t="s">
        <v>2276</v>
      </c>
      <c r="T832" s="204" t="s">
        <v>2276</v>
      </c>
      <c r="U832" s="204" t="s">
        <v>2276</v>
      </c>
      <c r="V832" s="204" t="s">
        <v>2276</v>
      </c>
      <c r="W832" s="19" t="s">
        <v>8470</v>
      </c>
    </row>
    <row r="833" spans="1:23" ht="43.5">
      <c r="A833" s="19" t="s">
        <v>8483</v>
      </c>
      <c r="B833" s="19" t="s">
        <v>8510</v>
      </c>
      <c r="C833" s="204" t="s">
        <v>24</v>
      </c>
      <c r="D833" s="4" t="s">
        <v>1131</v>
      </c>
      <c r="E833" s="4" t="s">
        <v>396</v>
      </c>
      <c r="F833" s="4" t="s">
        <v>28</v>
      </c>
      <c r="G833" s="204"/>
      <c r="H833" s="4" t="s">
        <v>2673</v>
      </c>
      <c r="I833" s="204" t="s">
        <v>2276</v>
      </c>
      <c r="J833" s="204" t="s">
        <v>2276</v>
      </c>
      <c r="K833" s="204" t="s">
        <v>2276</v>
      </c>
      <c r="L833" s="204" t="s">
        <v>2276</v>
      </c>
      <c r="M833" s="204" t="s">
        <v>2728</v>
      </c>
      <c r="N833" s="204" t="s">
        <v>2276</v>
      </c>
      <c r="O833" s="204" t="s">
        <v>534</v>
      </c>
      <c r="P833" s="204" t="s">
        <v>2276</v>
      </c>
      <c r="Q833" s="204">
        <v>4</v>
      </c>
      <c r="R833" s="204" t="s">
        <v>537</v>
      </c>
      <c r="S833" s="204" t="s">
        <v>2276</v>
      </c>
      <c r="T833" s="204" t="s">
        <v>2276</v>
      </c>
      <c r="U833" s="204" t="s">
        <v>2276</v>
      </c>
      <c r="V833" s="204" t="s">
        <v>2276</v>
      </c>
      <c r="W833" s="19" t="s">
        <v>8470</v>
      </c>
    </row>
    <row r="834" spans="1:23" ht="43.5">
      <c r="A834" s="19" t="s">
        <v>8484</v>
      </c>
      <c r="B834" s="19" t="s">
        <v>8511</v>
      </c>
      <c r="C834" s="204" t="s">
        <v>24</v>
      </c>
      <c r="D834" s="4" t="s">
        <v>1131</v>
      </c>
      <c r="E834" s="4" t="s">
        <v>396</v>
      </c>
      <c r="F834" s="4" t="s">
        <v>28</v>
      </c>
      <c r="G834" s="204"/>
      <c r="H834" s="4" t="s">
        <v>2673</v>
      </c>
      <c r="I834" s="204" t="s">
        <v>2276</v>
      </c>
      <c r="J834" s="204" t="s">
        <v>2276</v>
      </c>
      <c r="K834" s="204" t="s">
        <v>2276</v>
      </c>
      <c r="L834" s="204" t="s">
        <v>2276</v>
      </c>
      <c r="M834" s="204" t="s">
        <v>2728</v>
      </c>
      <c r="N834" s="204" t="s">
        <v>2276</v>
      </c>
      <c r="O834" s="204" t="s">
        <v>534</v>
      </c>
      <c r="P834" s="204" t="s">
        <v>2276</v>
      </c>
      <c r="Q834" s="204">
        <v>4</v>
      </c>
      <c r="R834" s="204" t="s">
        <v>537</v>
      </c>
      <c r="S834" s="204" t="s">
        <v>2276</v>
      </c>
      <c r="T834" s="204" t="s">
        <v>2276</v>
      </c>
      <c r="U834" s="204" t="s">
        <v>2276</v>
      </c>
      <c r="V834" s="204" t="s">
        <v>2276</v>
      </c>
      <c r="W834" s="19" t="s">
        <v>8470</v>
      </c>
    </row>
    <row r="835" spans="1:23" ht="43.5">
      <c r="A835" s="19" t="s">
        <v>8487</v>
      </c>
      <c r="B835" s="19" t="s">
        <v>8512</v>
      </c>
      <c r="C835" s="204" t="s">
        <v>24</v>
      </c>
      <c r="D835" s="4" t="s">
        <v>1131</v>
      </c>
      <c r="E835" s="4" t="s">
        <v>396</v>
      </c>
      <c r="F835" s="4" t="s">
        <v>28</v>
      </c>
      <c r="G835" s="204"/>
      <c r="H835" s="4" t="s">
        <v>2673</v>
      </c>
      <c r="I835" s="204" t="s">
        <v>2276</v>
      </c>
      <c r="J835" s="204" t="s">
        <v>2276</v>
      </c>
      <c r="K835" s="204" t="s">
        <v>2276</v>
      </c>
      <c r="L835" s="204" t="s">
        <v>2276</v>
      </c>
      <c r="M835" s="204" t="s">
        <v>2728</v>
      </c>
      <c r="N835" s="204" t="s">
        <v>2276</v>
      </c>
      <c r="O835" s="204" t="s">
        <v>534</v>
      </c>
      <c r="P835" s="204" t="s">
        <v>2276</v>
      </c>
      <c r="Q835" s="204">
        <v>4</v>
      </c>
      <c r="R835" s="204" t="s">
        <v>537</v>
      </c>
      <c r="S835" s="204" t="s">
        <v>2276</v>
      </c>
      <c r="T835" s="204" t="s">
        <v>2276</v>
      </c>
      <c r="U835" s="204" t="s">
        <v>2276</v>
      </c>
      <c r="V835" s="204" t="s">
        <v>2276</v>
      </c>
      <c r="W835" s="19" t="s">
        <v>8470</v>
      </c>
    </row>
    <row r="836" spans="1:23" ht="52" customHeight="1">
      <c r="A836" s="19" t="s">
        <v>8527</v>
      </c>
      <c r="B836" s="19" t="s">
        <v>8529</v>
      </c>
      <c r="C836" s="204" t="s">
        <v>24</v>
      </c>
      <c r="D836" s="204" t="s">
        <v>2659</v>
      </c>
      <c r="E836" s="4" t="s">
        <v>396</v>
      </c>
      <c r="F836" s="4" t="s">
        <v>28</v>
      </c>
      <c r="G836" s="204"/>
      <c r="H836" s="4" t="s">
        <v>541</v>
      </c>
      <c r="I836" s="204" t="s">
        <v>2276</v>
      </c>
      <c r="J836" s="204" t="s">
        <v>2276</v>
      </c>
      <c r="K836" s="204" t="s">
        <v>2276</v>
      </c>
      <c r="L836" s="204" t="s">
        <v>2276</v>
      </c>
      <c r="M836" s="204" t="s">
        <v>2728</v>
      </c>
      <c r="N836" s="204" t="s">
        <v>2276</v>
      </c>
      <c r="O836" s="204" t="s">
        <v>2276</v>
      </c>
      <c r="P836" s="204" t="s">
        <v>534</v>
      </c>
      <c r="Q836" s="204">
        <v>2</v>
      </c>
      <c r="R836" s="204" t="s">
        <v>2276</v>
      </c>
      <c r="S836" s="204" t="s">
        <v>2276</v>
      </c>
      <c r="T836" s="204" t="s">
        <v>2276</v>
      </c>
      <c r="U836" s="204" t="s">
        <v>2276</v>
      </c>
      <c r="V836" s="204" t="s">
        <v>2276</v>
      </c>
      <c r="W836" s="4" t="s">
        <v>8531</v>
      </c>
    </row>
    <row r="837" spans="1:23" ht="52" customHeight="1">
      <c r="A837" s="19" t="s">
        <v>8527</v>
      </c>
      <c r="B837" s="19" t="s">
        <v>8530</v>
      </c>
      <c r="C837" s="204" t="s">
        <v>24</v>
      </c>
      <c r="D837" s="204" t="s">
        <v>2659</v>
      </c>
      <c r="E837" s="4" t="s">
        <v>397</v>
      </c>
      <c r="F837" s="4" t="s">
        <v>28</v>
      </c>
      <c r="G837" s="204"/>
      <c r="H837" s="4" t="s">
        <v>541</v>
      </c>
      <c r="I837" s="204" t="s">
        <v>2276</v>
      </c>
      <c r="J837" s="204" t="s">
        <v>2276</v>
      </c>
      <c r="K837" s="204" t="s">
        <v>2276</v>
      </c>
      <c r="L837" s="204" t="s">
        <v>2276</v>
      </c>
      <c r="M837" s="204" t="s">
        <v>2728</v>
      </c>
      <c r="N837" s="204" t="s">
        <v>2276</v>
      </c>
      <c r="O837" s="204" t="s">
        <v>2276</v>
      </c>
      <c r="P837" s="204" t="s">
        <v>534</v>
      </c>
      <c r="Q837" s="204">
        <v>2</v>
      </c>
      <c r="R837" s="204" t="s">
        <v>2276</v>
      </c>
      <c r="S837" s="204" t="s">
        <v>2276</v>
      </c>
      <c r="T837" s="204" t="s">
        <v>2276</v>
      </c>
      <c r="U837" s="204" t="s">
        <v>2276</v>
      </c>
      <c r="V837" s="204" t="s">
        <v>2276</v>
      </c>
      <c r="W837" s="4" t="s">
        <v>8531</v>
      </c>
    </row>
    <row r="838" spans="1:23" ht="51" customHeight="1">
      <c r="A838" s="19" t="s">
        <v>8527</v>
      </c>
      <c r="B838" s="19" t="s">
        <v>8532</v>
      </c>
      <c r="C838" s="204" t="s">
        <v>24</v>
      </c>
      <c r="D838" s="204" t="s">
        <v>2659</v>
      </c>
      <c r="E838" s="4" t="s">
        <v>396</v>
      </c>
      <c r="F838" s="4" t="s">
        <v>28</v>
      </c>
      <c r="G838" s="204"/>
      <c r="H838" s="4" t="s">
        <v>2673</v>
      </c>
      <c r="I838" s="204" t="s">
        <v>2276</v>
      </c>
      <c r="J838" s="204" t="s">
        <v>2276</v>
      </c>
      <c r="K838" s="204" t="s">
        <v>2276</v>
      </c>
      <c r="L838" s="204" t="s">
        <v>2276</v>
      </c>
      <c r="M838" s="204" t="s">
        <v>2669</v>
      </c>
      <c r="N838" s="204" t="s">
        <v>2276</v>
      </c>
      <c r="O838" s="204" t="s">
        <v>2276</v>
      </c>
      <c r="P838" s="204" t="s">
        <v>534</v>
      </c>
      <c r="Q838" s="204">
        <v>2</v>
      </c>
      <c r="R838" s="204" t="s">
        <v>2276</v>
      </c>
      <c r="S838" s="204" t="s">
        <v>2276</v>
      </c>
      <c r="T838" s="204" t="s">
        <v>2276</v>
      </c>
      <c r="U838" s="204" t="s">
        <v>2276</v>
      </c>
      <c r="V838" s="204" t="s">
        <v>2276</v>
      </c>
      <c r="W838" s="19" t="s">
        <v>8534</v>
      </c>
    </row>
    <row r="839" spans="1:23" ht="51" customHeight="1">
      <c r="A839" s="19" t="s">
        <v>8527</v>
      </c>
      <c r="B839" s="19" t="s">
        <v>8533</v>
      </c>
      <c r="C839" s="204" t="s">
        <v>24</v>
      </c>
      <c r="D839" s="204" t="s">
        <v>2659</v>
      </c>
      <c r="E839" s="4" t="s">
        <v>397</v>
      </c>
      <c r="F839" s="4" t="s">
        <v>28</v>
      </c>
      <c r="G839" s="204"/>
      <c r="H839" s="4" t="s">
        <v>2673</v>
      </c>
      <c r="I839" s="204" t="s">
        <v>2276</v>
      </c>
      <c r="J839" s="204" t="s">
        <v>2276</v>
      </c>
      <c r="K839" s="204" t="s">
        <v>2276</v>
      </c>
      <c r="L839" s="204" t="s">
        <v>2276</v>
      </c>
      <c r="M839" s="204" t="s">
        <v>2669</v>
      </c>
      <c r="N839" s="204" t="s">
        <v>2276</v>
      </c>
      <c r="O839" s="204" t="s">
        <v>2276</v>
      </c>
      <c r="P839" s="204" t="s">
        <v>534</v>
      </c>
      <c r="Q839" s="204">
        <v>2</v>
      </c>
      <c r="R839" s="204" t="s">
        <v>2276</v>
      </c>
      <c r="S839" s="204" t="s">
        <v>2276</v>
      </c>
      <c r="T839" s="204" t="s">
        <v>2276</v>
      </c>
      <c r="U839" s="204" t="s">
        <v>2276</v>
      </c>
      <c r="V839" s="204" t="s">
        <v>2276</v>
      </c>
      <c r="W839" s="19" t="s">
        <v>8534</v>
      </c>
    </row>
    <row r="840" spans="1:23" ht="49.5" customHeight="1">
      <c r="A840" s="19" t="s">
        <v>8540</v>
      </c>
      <c r="B840" s="19" t="s">
        <v>8545</v>
      </c>
      <c r="C840" s="204" t="s">
        <v>24</v>
      </c>
      <c r="D840" s="204" t="s">
        <v>2659</v>
      </c>
      <c r="E840" s="4" t="s">
        <v>84</v>
      </c>
      <c r="F840" s="4" t="s">
        <v>28</v>
      </c>
      <c r="G840" s="204"/>
      <c r="H840" s="4" t="s">
        <v>2673</v>
      </c>
      <c r="I840" s="204" t="s">
        <v>2276</v>
      </c>
      <c r="J840" s="204" t="s">
        <v>2276</v>
      </c>
      <c r="K840" s="204" t="s">
        <v>2276</v>
      </c>
      <c r="L840" s="204" t="s">
        <v>2276</v>
      </c>
      <c r="M840" s="204" t="s">
        <v>2728</v>
      </c>
      <c r="N840" s="204" t="s">
        <v>2276</v>
      </c>
      <c r="O840" s="204" t="s">
        <v>2276</v>
      </c>
      <c r="P840" s="204" t="s">
        <v>2276</v>
      </c>
      <c r="Q840" s="204" t="s">
        <v>2276</v>
      </c>
      <c r="R840" s="204" t="s">
        <v>2276</v>
      </c>
      <c r="S840" s="204" t="s">
        <v>2276</v>
      </c>
      <c r="T840" s="204" t="s">
        <v>2276</v>
      </c>
      <c r="U840" s="204" t="s">
        <v>2276</v>
      </c>
      <c r="V840" s="204" t="s">
        <v>2276</v>
      </c>
      <c r="W840" s="4" t="s">
        <v>8546</v>
      </c>
    </row>
    <row r="841" spans="1:23" ht="41" customHeight="1">
      <c r="A841" s="19" t="s">
        <v>8540</v>
      </c>
      <c r="B841" s="19" t="s">
        <v>8547</v>
      </c>
      <c r="C841" s="204" t="s">
        <v>24</v>
      </c>
      <c r="D841" s="204" t="s">
        <v>2659</v>
      </c>
      <c r="E841" s="4" t="s">
        <v>84</v>
      </c>
      <c r="F841" s="4" t="s">
        <v>28</v>
      </c>
      <c r="G841" s="204"/>
      <c r="H841" s="4" t="s">
        <v>2674</v>
      </c>
      <c r="I841" s="204" t="s">
        <v>2690</v>
      </c>
      <c r="J841" s="204" t="s">
        <v>2276</v>
      </c>
      <c r="K841" s="204" t="s">
        <v>2276</v>
      </c>
      <c r="L841" s="204" t="s">
        <v>2276</v>
      </c>
      <c r="M841" s="204" t="s">
        <v>2728</v>
      </c>
      <c r="N841" s="204" t="s">
        <v>2276</v>
      </c>
      <c r="O841" s="204" t="s">
        <v>2276</v>
      </c>
      <c r="P841" s="204" t="s">
        <v>2276</v>
      </c>
      <c r="Q841" s="204" t="s">
        <v>2276</v>
      </c>
      <c r="R841" s="204" t="s">
        <v>2276</v>
      </c>
      <c r="S841" s="204" t="s">
        <v>2276</v>
      </c>
      <c r="T841" s="204" t="s">
        <v>2276</v>
      </c>
      <c r="U841" s="204" t="s">
        <v>2276</v>
      </c>
      <c r="V841" s="204" t="s">
        <v>2276</v>
      </c>
      <c r="W841" s="4" t="s">
        <v>8548</v>
      </c>
    </row>
    <row r="842" spans="1:23" ht="45" customHeight="1">
      <c r="A842" s="55" t="s">
        <v>8555</v>
      </c>
      <c r="B842" s="55" t="s">
        <v>8568</v>
      </c>
      <c r="C842" s="38" t="s">
        <v>24</v>
      </c>
      <c r="D842" s="38" t="s">
        <v>2659</v>
      </c>
      <c r="E842" s="168" t="s">
        <v>1105</v>
      </c>
      <c r="F842" s="168" t="s">
        <v>28</v>
      </c>
      <c r="G842" s="38"/>
      <c r="H842" s="168" t="s">
        <v>2673</v>
      </c>
      <c r="I842" s="38" t="s">
        <v>2276</v>
      </c>
      <c r="J842" s="38" t="s">
        <v>2276</v>
      </c>
      <c r="K842" s="38" t="s">
        <v>2276</v>
      </c>
      <c r="L842" s="38" t="s">
        <v>2276</v>
      </c>
      <c r="M842" s="38" t="s">
        <v>2728</v>
      </c>
      <c r="N842" s="38" t="s">
        <v>2276</v>
      </c>
      <c r="O842" s="38" t="s">
        <v>534</v>
      </c>
      <c r="P842" s="38" t="s">
        <v>534</v>
      </c>
      <c r="Q842" s="38" t="s">
        <v>2276</v>
      </c>
      <c r="R842" s="38" t="s">
        <v>2276</v>
      </c>
      <c r="S842" s="38" t="s">
        <v>2276</v>
      </c>
      <c r="T842" s="38" t="s">
        <v>2276</v>
      </c>
      <c r="U842" s="38" t="s">
        <v>2276</v>
      </c>
      <c r="V842" s="38" t="s">
        <v>2276</v>
      </c>
      <c r="W842" s="151" t="s">
        <v>8569</v>
      </c>
    </row>
    <row r="843" spans="1:23" ht="48.5" customHeight="1">
      <c r="A843" s="19" t="s">
        <v>8577</v>
      </c>
      <c r="B843" s="19" t="s">
        <v>8586</v>
      </c>
      <c r="C843" s="204" t="s">
        <v>2658</v>
      </c>
      <c r="D843" s="204" t="s">
        <v>1105</v>
      </c>
      <c r="E843" s="204" t="s">
        <v>45</v>
      </c>
      <c r="F843" s="4" t="s">
        <v>2662</v>
      </c>
      <c r="G843" s="204"/>
      <c r="H843" s="4" t="s">
        <v>541</v>
      </c>
      <c r="I843" s="204" t="s">
        <v>2276</v>
      </c>
      <c r="J843" s="204" t="s">
        <v>2276</v>
      </c>
      <c r="K843" s="204" t="s">
        <v>2276</v>
      </c>
      <c r="L843" s="204" t="s">
        <v>2276</v>
      </c>
      <c r="M843" s="204" t="s">
        <v>2728</v>
      </c>
      <c r="N843" s="204" t="s">
        <v>2276</v>
      </c>
      <c r="O843" s="204" t="s">
        <v>2276</v>
      </c>
      <c r="P843" s="204" t="s">
        <v>2276</v>
      </c>
      <c r="Q843" s="204" t="s">
        <v>2276</v>
      </c>
      <c r="R843" s="204" t="s">
        <v>2276</v>
      </c>
      <c r="S843" s="204" t="s">
        <v>2276</v>
      </c>
      <c r="T843" s="204" t="s">
        <v>2276</v>
      </c>
      <c r="U843" s="204" t="s">
        <v>2276</v>
      </c>
      <c r="V843" s="204" t="s">
        <v>2276</v>
      </c>
      <c r="W843" s="4" t="s">
        <v>8595</v>
      </c>
    </row>
    <row r="844" spans="1:23" ht="40.5" customHeight="1">
      <c r="A844" s="19" t="s">
        <v>8577</v>
      </c>
      <c r="B844" s="19" t="s">
        <v>8590</v>
      </c>
      <c r="C844" s="204" t="s">
        <v>2658</v>
      </c>
      <c r="D844" s="204" t="s">
        <v>1105</v>
      </c>
      <c r="E844" s="204" t="s">
        <v>45</v>
      </c>
      <c r="F844" s="4" t="s">
        <v>2662</v>
      </c>
      <c r="G844" s="204"/>
      <c r="H844" s="4" t="s">
        <v>2673</v>
      </c>
      <c r="I844" s="204" t="s">
        <v>2690</v>
      </c>
      <c r="J844" s="204" t="s">
        <v>2276</v>
      </c>
      <c r="K844" s="204" t="s">
        <v>2276</v>
      </c>
      <c r="L844" s="204" t="s">
        <v>2276</v>
      </c>
      <c r="M844" s="204" t="s">
        <v>2276</v>
      </c>
      <c r="N844" s="204" t="s">
        <v>2276</v>
      </c>
      <c r="O844" s="204" t="s">
        <v>2276</v>
      </c>
      <c r="P844" s="204" t="s">
        <v>2276</v>
      </c>
      <c r="Q844" s="204" t="s">
        <v>2276</v>
      </c>
      <c r="R844" s="204" t="s">
        <v>2276</v>
      </c>
      <c r="S844" s="204" t="s">
        <v>2276</v>
      </c>
      <c r="T844" s="204" t="s">
        <v>2276</v>
      </c>
      <c r="U844" s="204" t="s">
        <v>2276</v>
      </c>
      <c r="V844" s="204" t="s">
        <v>2276</v>
      </c>
      <c r="W844" s="4" t="s">
        <v>8596</v>
      </c>
    </row>
    <row r="845" spans="1:23" ht="43.5" customHeight="1">
      <c r="A845" s="19" t="s">
        <v>8598</v>
      </c>
      <c r="B845" s="19" t="s">
        <v>8603</v>
      </c>
      <c r="C845" s="204" t="s">
        <v>24</v>
      </c>
      <c r="D845" s="204" t="s">
        <v>2659</v>
      </c>
      <c r="E845" s="4" t="s">
        <v>84</v>
      </c>
      <c r="F845" s="4" t="s">
        <v>28</v>
      </c>
      <c r="G845" s="204"/>
      <c r="H845" s="4" t="s">
        <v>2673</v>
      </c>
      <c r="I845" s="204" t="s">
        <v>2276</v>
      </c>
      <c r="J845" s="204" t="s">
        <v>2276</v>
      </c>
      <c r="K845" s="204" t="s">
        <v>2276</v>
      </c>
      <c r="L845" s="204" t="s">
        <v>2276</v>
      </c>
      <c r="M845" s="204" t="s">
        <v>2728</v>
      </c>
      <c r="N845" s="204" t="s">
        <v>2276</v>
      </c>
      <c r="O845" s="204" t="s">
        <v>2276</v>
      </c>
      <c r="P845" s="204" t="s">
        <v>534</v>
      </c>
      <c r="Q845" s="204">
        <v>4</v>
      </c>
      <c r="R845" s="204" t="s">
        <v>2276</v>
      </c>
      <c r="S845" s="204" t="s">
        <v>2276</v>
      </c>
      <c r="T845" s="204" t="s">
        <v>2276</v>
      </c>
      <c r="U845" s="204" t="s">
        <v>2276</v>
      </c>
      <c r="V845" s="204" t="s">
        <v>2276</v>
      </c>
      <c r="W845" s="19" t="s">
        <v>8606</v>
      </c>
    </row>
    <row r="846" spans="1:23" ht="44.5" customHeight="1">
      <c r="A846" s="26" t="s">
        <v>8611</v>
      </c>
      <c r="B846" s="26" t="s">
        <v>8623</v>
      </c>
      <c r="C846" s="204" t="s">
        <v>24</v>
      </c>
      <c r="D846" s="204" t="s">
        <v>2659</v>
      </c>
      <c r="E846" s="204" t="s">
        <v>2276</v>
      </c>
      <c r="F846" s="4" t="s">
        <v>28</v>
      </c>
      <c r="G846" s="204"/>
      <c r="H846" s="4" t="s">
        <v>2673</v>
      </c>
      <c r="I846" s="204" t="s">
        <v>2276</v>
      </c>
      <c r="J846" s="204" t="s">
        <v>2276</v>
      </c>
      <c r="K846" s="204" t="s">
        <v>2276</v>
      </c>
      <c r="L846" s="204" t="s">
        <v>2276</v>
      </c>
      <c r="M846" s="204" t="s">
        <v>2276</v>
      </c>
      <c r="N846" s="204" t="s">
        <v>2276</v>
      </c>
      <c r="O846" s="204" t="s">
        <v>2276</v>
      </c>
      <c r="P846" s="204" t="s">
        <v>2276</v>
      </c>
      <c r="Q846" s="204" t="s">
        <v>2276</v>
      </c>
      <c r="R846" s="204" t="s">
        <v>534</v>
      </c>
      <c r="S846" s="204" t="s">
        <v>2276</v>
      </c>
      <c r="T846" s="204" t="s">
        <v>2276</v>
      </c>
      <c r="U846" s="204" t="s">
        <v>534</v>
      </c>
      <c r="V846" s="204">
        <v>3</v>
      </c>
      <c r="W846" s="4" t="s">
        <v>8631</v>
      </c>
    </row>
    <row r="847" spans="1:23" ht="44.5" customHeight="1">
      <c r="A847" s="26" t="s">
        <v>8612</v>
      </c>
      <c r="B847" s="26" t="s">
        <v>8624</v>
      </c>
      <c r="C847" s="204" t="s">
        <v>24</v>
      </c>
      <c r="D847" s="204" t="s">
        <v>2659</v>
      </c>
      <c r="E847" s="204" t="s">
        <v>2276</v>
      </c>
      <c r="F847" s="4" t="s">
        <v>28</v>
      </c>
      <c r="G847" s="204"/>
      <c r="H847" s="4" t="s">
        <v>2673</v>
      </c>
      <c r="I847" s="204" t="s">
        <v>2276</v>
      </c>
      <c r="J847" s="204" t="s">
        <v>2276</v>
      </c>
      <c r="K847" s="204" t="s">
        <v>2276</v>
      </c>
      <c r="L847" s="204" t="s">
        <v>2276</v>
      </c>
      <c r="M847" s="204" t="s">
        <v>2276</v>
      </c>
      <c r="N847" s="204" t="s">
        <v>2276</v>
      </c>
      <c r="O847" s="204" t="s">
        <v>2276</v>
      </c>
      <c r="P847" s="204" t="s">
        <v>2276</v>
      </c>
      <c r="Q847" s="204" t="s">
        <v>2276</v>
      </c>
      <c r="R847" s="204" t="s">
        <v>534</v>
      </c>
      <c r="S847" s="204" t="s">
        <v>2276</v>
      </c>
      <c r="T847" s="204" t="s">
        <v>2276</v>
      </c>
      <c r="U847" s="204" t="s">
        <v>534</v>
      </c>
      <c r="V847" s="204">
        <v>3</v>
      </c>
      <c r="W847" s="4" t="s">
        <v>8631</v>
      </c>
    </row>
    <row r="848" spans="1:23" ht="44.5" customHeight="1">
      <c r="A848" s="26" t="s">
        <v>8613</v>
      </c>
      <c r="B848" s="26" t="s">
        <v>8625</v>
      </c>
      <c r="C848" s="204" t="s">
        <v>24</v>
      </c>
      <c r="D848" s="204" t="s">
        <v>2659</v>
      </c>
      <c r="E848" s="204" t="s">
        <v>2276</v>
      </c>
      <c r="F848" s="4" t="s">
        <v>28</v>
      </c>
      <c r="G848" s="204"/>
      <c r="H848" s="4" t="s">
        <v>2673</v>
      </c>
      <c r="I848" s="204" t="s">
        <v>2276</v>
      </c>
      <c r="J848" s="204" t="s">
        <v>2276</v>
      </c>
      <c r="K848" s="204" t="s">
        <v>2276</v>
      </c>
      <c r="L848" s="204" t="s">
        <v>2276</v>
      </c>
      <c r="M848" s="204" t="s">
        <v>2276</v>
      </c>
      <c r="N848" s="204" t="s">
        <v>2276</v>
      </c>
      <c r="O848" s="204" t="s">
        <v>2276</v>
      </c>
      <c r="P848" s="204" t="s">
        <v>2276</v>
      </c>
      <c r="Q848" s="204" t="s">
        <v>2276</v>
      </c>
      <c r="R848" s="204" t="s">
        <v>534</v>
      </c>
      <c r="S848" s="204" t="s">
        <v>2276</v>
      </c>
      <c r="T848" s="204" t="s">
        <v>2276</v>
      </c>
      <c r="U848" s="204" t="s">
        <v>534</v>
      </c>
      <c r="V848" s="204">
        <v>3</v>
      </c>
      <c r="W848" s="4" t="s">
        <v>8631</v>
      </c>
    </row>
    <row r="849" spans="1:23" ht="44.5" customHeight="1">
      <c r="A849" s="26" t="s">
        <v>8614</v>
      </c>
      <c r="B849" s="26" t="s">
        <v>8626</v>
      </c>
      <c r="C849" s="204" t="s">
        <v>24</v>
      </c>
      <c r="D849" s="204" t="s">
        <v>2659</v>
      </c>
      <c r="E849" s="204" t="s">
        <v>2276</v>
      </c>
      <c r="F849" s="4" t="s">
        <v>28</v>
      </c>
      <c r="G849" s="204"/>
      <c r="H849" s="4" t="s">
        <v>2673</v>
      </c>
      <c r="I849" s="204" t="s">
        <v>2276</v>
      </c>
      <c r="J849" s="204" t="s">
        <v>2276</v>
      </c>
      <c r="K849" s="204" t="s">
        <v>2276</v>
      </c>
      <c r="L849" s="204" t="s">
        <v>2276</v>
      </c>
      <c r="M849" s="204" t="s">
        <v>2276</v>
      </c>
      <c r="N849" s="204" t="s">
        <v>2276</v>
      </c>
      <c r="O849" s="204" t="s">
        <v>2276</v>
      </c>
      <c r="P849" s="204" t="s">
        <v>2276</v>
      </c>
      <c r="Q849" s="204" t="s">
        <v>2276</v>
      </c>
      <c r="R849" s="204" t="s">
        <v>534</v>
      </c>
      <c r="S849" s="204" t="s">
        <v>2276</v>
      </c>
      <c r="T849" s="204" t="s">
        <v>2276</v>
      </c>
      <c r="U849" s="204" t="s">
        <v>534</v>
      </c>
      <c r="V849" s="204">
        <v>3</v>
      </c>
      <c r="W849" s="4" t="s">
        <v>8631</v>
      </c>
    </row>
    <row r="850" spans="1:23" ht="44.5" customHeight="1">
      <c r="A850" s="26" t="s">
        <v>8615</v>
      </c>
      <c r="B850" s="26" t="s">
        <v>8627</v>
      </c>
      <c r="C850" s="204" t="s">
        <v>24</v>
      </c>
      <c r="D850" s="204" t="s">
        <v>2659</v>
      </c>
      <c r="E850" s="204" t="s">
        <v>2276</v>
      </c>
      <c r="F850" s="4" t="s">
        <v>28</v>
      </c>
      <c r="G850" s="204"/>
      <c r="H850" s="4" t="s">
        <v>2673</v>
      </c>
      <c r="I850" s="204" t="s">
        <v>2276</v>
      </c>
      <c r="J850" s="204" t="s">
        <v>2276</v>
      </c>
      <c r="K850" s="204" t="s">
        <v>2276</v>
      </c>
      <c r="L850" s="204" t="s">
        <v>2276</v>
      </c>
      <c r="M850" s="204" t="s">
        <v>2276</v>
      </c>
      <c r="N850" s="204" t="s">
        <v>2276</v>
      </c>
      <c r="O850" s="204" t="s">
        <v>2276</v>
      </c>
      <c r="P850" s="204" t="s">
        <v>2276</v>
      </c>
      <c r="Q850" s="204" t="s">
        <v>2276</v>
      </c>
      <c r="R850" s="204" t="s">
        <v>534</v>
      </c>
      <c r="S850" s="204" t="s">
        <v>2276</v>
      </c>
      <c r="T850" s="204" t="s">
        <v>2276</v>
      </c>
      <c r="U850" s="204" t="s">
        <v>534</v>
      </c>
      <c r="V850" s="204">
        <v>3</v>
      </c>
      <c r="W850" s="4" t="s">
        <v>8631</v>
      </c>
    </row>
    <row r="851" spans="1:23" ht="44.5" customHeight="1">
      <c r="A851" s="26" t="s">
        <v>8616</v>
      </c>
      <c r="B851" s="26" t="s">
        <v>8628</v>
      </c>
      <c r="C851" s="204" t="s">
        <v>24</v>
      </c>
      <c r="D851" s="204" t="s">
        <v>2659</v>
      </c>
      <c r="E851" s="204" t="s">
        <v>2276</v>
      </c>
      <c r="F851" s="4" t="s">
        <v>28</v>
      </c>
      <c r="G851" s="204"/>
      <c r="H851" s="4" t="s">
        <v>2673</v>
      </c>
      <c r="I851" s="204" t="s">
        <v>2276</v>
      </c>
      <c r="J851" s="204" t="s">
        <v>2276</v>
      </c>
      <c r="K851" s="204" t="s">
        <v>2276</v>
      </c>
      <c r="L851" s="204" t="s">
        <v>2276</v>
      </c>
      <c r="M851" s="204" t="s">
        <v>2276</v>
      </c>
      <c r="N851" s="204" t="s">
        <v>2276</v>
      </c>
      <c r="O851" s="204" t="s">
        <v>2276</v>
      </c>
      <c r="P851" s="204" t="s">
        <v>2276</v>
      </c>
      <c r="Q851" s="204" t="s">
        <v>2276</v>
      </c>
      <c r="R851" s="204" t="s">
        <v>534</v>
      </c>
      <c r="S851" s="204" t="s">
        <v>2276</v>
      </c>
      <c r="T851" s="204" t="s">
        <v>2276</v>
      </c>
      <c r="U851" s="204" t="s">
        <v>534</v>
      </c>
      <c r="V851" s="204">
        <v>3</v>
      </c>
      <c r="W851" s="4" t="s">
        <v>8631</v>
      </c>
    </row>
    <row r="852" spans="1:23" ht="76.5" customHeight="1">
      <c r="A852" s="26" t="s">
        <v>8633</v>
      </c>
      <c r="B852" s="26" t="s">
        <v>8638</v>
      </c>
      <c r="C852" s="204" t="s">
        <v>24</v>
      </c>
      <c r="D852" s="204" t="s">
        <v>2659</v>
      </c>
      <c r="E852" s="204" t="s">
        <v>2276</v>
      </c>
      <c r="F852" s="4" t="s">
        <v>28</v>
      </c>
      <c r="G852" s="204"/>
      <c r="H852" s="4" t="s">
        <v>541</v>
      </c>
      <c r="I852" s="204" t="s">
        <v>2276</v>
      </c>
      <c r="J852" s="204" t="s">
        <v>2276</v>
      </c>
      <c r="K852" s="204" t="s">
        <v>2276</v>
      </c>
      <c r="L852" s="204" t="s">
        <v>2276</v>
      </c>
      <c r="M852" s="204" t="s">
        <v>2276</v>
      </c>
      <c r="N852" s="204" t="s">
        <v>2276</v>
      </c>
      <c r="O852" s="204" t="s">
        <v>2276</v>
      </c>
      <c r="P852" s="204" t="s">
        <v>2276</v>
      </c>
      <c r="Q852" s="204" t="s">
        <v>2276</v>
      </c>
      <c r="R852" s="204" t="s">
        <v>534</v>
      </c>
      <c r="S852" s="204" t="s">
        <v>534</v>
      </c>
      <c r="T852" s="204" t="s">
        <v>534</v>
      </c>
      <c r="U852" s="204" t="s">
        <v>534</v>
      </c>
      <c r="V852" s="204">
        <v>3</v>
      </c>
      <c r="W852" s="19" t="s">
        <v>8642</v>
      </c>
    </row>
    <row r="853" spans="1:23" ht="76.5" customHeight="1">
      <c r="A853" s="26" t="s">
        <v>8637</v>
      </c>
      <c r="B853" s="26" t="s">
        <v>8639</v>
      </c>
      <c r="C853" s="204" t="s">
        <v>24</v>
      </c>
      <c r="D853" s="204" t="s">
        <v>2659</v>
      </c>
      <c r="E853" s="204" t="s">
        <v>2276</v>
      </c>
      <c r="F853" s="4" t="s">
        <v>28</v>
      </c>
      <c r="G853" s="204"/>
      <c r="H853" s="4" t="s">
        <v>2673</v>
      </c>
      <c r="I853" s="204" t="s">
        <v>2690</v>
      </c>
      <c r="J853" s="204" t="s">
        <v>534</v>
      </c>
      <c r="K853" s="204" t="s">
        <v>2276</v>
      </c>
      <c r="L853" s="204" t="s">
        <v>534</v>
      </c>
      <c r="M853" s="204" t="s">
        <v>2276</v>
      </c>
      <c r="N853" s="204" t="s">
        <v>2276</v>
      </c>
      <c r="O853" s="204" t="s">
        <v>2276</v>
      </c>
      <c r="P853" s="204" t="s">
        <v>2276</v>
      </c>
      <c r="Q853" s="204" t="s">
        <v>2276</v>
      </c>
      <c r="R853" s="204" t="s">
        <v>534</v>
      </c>
      <c r="S853" s="204" t="s">
        <v>534</v>
      </c>
      <c r="T853" s="204" t="s">
        <v>534</v>
      </c>
      <c r="U853" s="204" t="s">
        <v>534</v>
      </c>
      <c r="V853" s="204">
        <v>3</v>
      </c>
      <c r="W853" s="19" t="s">
        <v>8643</v>
      </c>
    </row>
    <row r="854" spans="1:23" ht="76.5" customHeight="1">
      <c r="A854" s="26" t="s">
        <v>8636</v>
      </c>
      <c r="B854" s="26" t="s">
        <v>8640</v>
      </c>
      <c r="C854" s="204" t="s">
        <v>24</v>
      </c>
      <c r="D854" s="204" t="s">
        <v>2659</v>
      </c>
      <c r="E854" s="204" t="s">
        <v>2276</v>
      </c>
      <c r="F854" s="4" t="s">
        <v>28</v>
      </c>
      <c r="G854" s="204"/>
      <c r="H854" s="4" t="s">
        <v>2674</v>
      </c>
      <c r="I854" s="204" t="s">
        <v>2690</v>
      </c>
      <c r="J854" s="204" t="s">
        <v>534</v>
      </c>
      <c r="K854" s="204" t="s">
        <v>2276</v>
      </c>
      <c r="L854" s="204" t="s">
        <v>534</v>
      </c>
      <c r="M854" s="204" t="s">
        <v>2276</v>
      </c>
      <c r="N854" s="204" t="s">
        <v>2276</v>
      </c>
      <c r="O854" s="204" t="s">
        <v>2276</v>
      </c>
      <c r="P854" s="204" t="s">
        <v>2276</v>
      </c>
      <c r="Q854" s="204" t="s">
        <v>2276</v>
      </c>
      <c r="R854" s="204" t="s">
        <v>2276</v>
      </c>
      <c r="S854" s="204" t="s">
        <v>2276</v>
      </c>
      <c r="T854" s="204" t="s">
        <v>2276</v>
      </c>
      <c r="U854" s="204" t="s">
        <v>2276</v>
      </c>
      <c r="V854" s="204" t="s">
        <v>2276</v>
      </c>
      <c r="W854" s="19" t="s">
        <v>8641</v>
      </c>
    </row>
    <row r="855" spans="1:23" ht="47" customHeight="1">
      <c r="A855" s="26" t="s">
        <v>8748</v>
      </c>
      <c r="B855" s="26" t="s">
        <v>8751</v>
      </c>
      <c r="C855" s="204" t="s">
        <v>24</v>
      </c>
      <c r="D855" s="204" t="s">
        <v>2659</v>
      </c>
      <c r="E855" s="204" t="s">
        <v>84</v>
      </c>
      <c r="F855" s="4" t="s">
        <v>28</v>
      </c>
      <c r="G855" s="204"/>
      <c r="H855" s="4" t="s">
        <v>541</v>
      </c>
      <c r="I855" s="204" t="s">
        <v>2276</v>
      </c>
      <c r="J855" s="204" t="s">
        <v>2276</v>
      </c>
      <c r="K855" s="204" t="s">
        <v>2276</v>
      </c>
      <c r="L855" s="204" t="s">
        <v>2276</v>
      </c>
      <c r="M855" s="204" t="s">
        <v>2276</v>
      </c>
      <c r="N855" s="204" t="s">
        <v>2276</v>
      </c>
      <c r="O855" s="204" t="s">
        <v>2276</v>
      </c>
      <c r="P855" s="204" t="s">
        <v>2276</v>
      </c>
      <c r="Q855" s="204" t="s">
        <v>2276</v>
      </c>
      <c r="R855" s="204" t="s">
        <v>534</v>
      </c>
      <c r="S855" s="204" t="s">
        <v>2276</v>
      </c>
      <c r="T855" s="204" t="s">
        <v>2276</v>
      </c>
      <c r="U855" s="204" t="s">
        <v>2276</v>
      </c>
      <c r="V855" s="204">
        <v>1</v>
      </c>
      <c r="W855" s="19" t="s">
        <v>8769</v>
      </c>
    </row>
    <row r="856" spans="1:23" ht="39" customHeight="1">
      <c r="A856" s="26" t="s">
        <v>8748</v>
      </c>
      <c r="B856" s="26" t="s">
        <v>8752</v>
      </c>
      <c r="C856" s="204" t="s">
        <v>24</v>
      </c>
      <c r="D856" s="204" t="s">
        <v>25</v>
      </c>
      <c r="E856" s="204" t="s">
        <v>45</v>
      </c>
      <c r="F856" s="4" t="s">
        <v>2662</v>
      </c>
      <c r="G856" s="204"/>
      <c r="H856" s="4" t="s">
        <v>541</v>
      </c>
      <c r="I856" s="204" t="s">
        <v>2276</v>
      </c>
      <c r="J856" s="204" t="s">
        <v>2276</v>
      </c>
      <c r="K856" s="204" t="s">
        <v>2276</v>
      </c>
      <c r="L856" s="204" t="s">
        <v>2276</v>
      </c>
      <c r="M856" s="204" t="s">
        <v>2276</v>
      </c>
      <c r="N856" s="204" t="s">
        <v>2276</v>
      </c>
      <c r="O856" s="204" t="s">
        <v>2276</v>
      </c>
      <c r="P856" s="204" t="s">
        <v>2276</v>
      </c>
      <c r="Q856" s="204" t="s">
        <v>2276</v>
      </c>
      <c r="R856" s="204" t="s">
        <v>534</v>
      </c>
      <c r="S856" s="204" t="s">
        <v>2276</v>
      </c>
      <c r="T856" s="204" t="s">
        <v>2276</v>
      </c>
      <c r="U856" s="204" t="s">
        <v>2276</v>
      </c>
      <c r="V856" s="204">
        <v>1</v>
      </c>
      <c r="W856" s="19" t="s">
        <v>8769</v>
      </c>
    </row>
    <row r="857" spans="1:23" ht="55" customHeight="1">
      <c r="A857" s="204" t="s">
        <v>8844</v>
      </c>
      <c r="B857" s="26" t="s">
        <v>8846</v>
      </c>
      <c r="C857" s="204" t="s">
        <v>24</v>
      </c>
      <c r="D857" s="204" t="s">
        <v>1105</v>
      </c>
      <c r="E857" s="204" t="s">
        <v>1105</v>
      </c>
      <c r="F857" s="204" t="s">
        <v>1105</v>
      </c>
      <c r="G857" s="204"/>
      <c r="H857" s="4" t="s">
        <v>541</v>
      </c>
      <c r="I857" s="204" t="s">
        <v>2276</v>
      </c>
      <c r="J857" s="204" t="s">
        <v>2276</v>
      </c>
      <c r="K857" s="204" t="s">
        <v>2276</v>
      </c>
      <c r="L857" s="204" t="s">
        <v>2276</v>
      </c>
      <c r="M857" s="204" t="s">
        <v>2276</v>
      </c>
      <c r="N857" s="204" t="s">
        <v>2276</v>
      </c>
      <c r="O857" s="204" t="s">
        <v>2276</v>
      </c>
      <c r="P857" s="204" t="s">
        <v>2276</v>
      </c>
      <c r="Q857" s="204" t="s">
        <v>2276</v>
      </c>
      <c r="R857" s="204" t="s">
        <v>534</v>
      </c>
      <c r="S857" s="204" t="s">
        <v>2276</v>
      </c>
      <c r="T857" s="204" t="s">
        <v>2276</v>
      </c>
      <c r="U857" s="204" t="s">
        <v>2276</v>
      </c>
      <c r="V857" s="204">
        <v>3</v>
      </c>
      <c r="W857" s="19" t="s">
        <v>8852</v>
      </c>
    </row>
    <row r="858" spans="1:23" ht="42.5" customHeight="1">
      <c r="A858" s="26" t="s">
        <v>8922</v>
      </c>
      <c r="B858" s="26" t="s">
        <v>8924</v>
      </c>
      <c r="C858" s="204" t="s">
        <v>1105</v>
      </c>
      <c r="D858" s="204" t="s">
        <v>1105</v>
      </c>
      <c r="E858" s="204" t="s">
        <v>1105</v>
      </c>
      <c r="F858" s="4" t="s">
        <v>74</v>
      </c>
      <c r="G858" s="204"/>
      <c r="H858" s="4" t="s">
        <v>541</v>
      </c>
      <c r="I858" s="204" t="s">
        <v>2276</v>
      </c>
      <c r="J858" s="204" t="s">
        <v>2276</v>
      </c>
      <c r="K858" s="204" t="s">
        <v>2276</v>
      </c>
      <c r="L858" s="204" t="s">
        <v>2276</v>
      </c>
      <c r="M858" s="204" t="s">
        <v>2276</v>
      </c>
      <c r="N858" s="204" t="s">
        <v>2276</v>
      </c>
      <c r="O858" s="204" t="s">
        <v>2276</v>
      </c>
      <c r="P858" s="204" t="s">
        <v>2276</v>
      </c>
      <c r="Q858" s="204" t="s">
        <v>2276</v>
      </c>
      <c r="R858" s="204" t="s">
        <v>534</v>
      </c>
      <c r="S858" s="204" t="s">
        <v>2276</v>
      </c>
      <c r="T858" s="204" t="s">
        <v>2276</v>
      </c>
      <c r="U858" s="204" t="s">
        <v>2276</v>
      </c>
      <c r="V858" s="204">
        <v>1</v>
      </c>
      <c r="W858" s="19" t="s">
        <v>8939</v>
      </c>
    </row>
    <row r="859" spans="1:23" ht="45.5" customHeight="1">
      <c r="A859" s="26" t="s">
        <v>8941</v>
      </c>
      <c r="B859" s="26" t="s">
        <v>8945</v>
      </c>
      <c r="C859" s="204" t="s">
        <v>24</v>
      </c>
      <c r="D859" s="204" t="s">
        <v>1105</v>
      </c>
      <c r="E859" s="204" t="s">
        <v>1105</v>
      </c>
      <c r="F859" s="4" t="s">
        <v>2662</v>
      </c>
      <c r="G859" s="204"/>
      <c r="H859" s="4" t="s">
        <v>541</v>
      </c>
      <c r="I859" s="204" t="s">
        <v>2276</v>
      </c>
      <c r="J859" s="204" t="s">
        <v>2276</v>
      </c>
      <c r="K859" s="204" t="s">
        <v>2276</v>
      </c>
      <c r="L859" s="204" t="s">
        <v>2276</v>
      </c>
      <c r="M859" s="204" t="s">
        <v>2670</v>
      </c>
      <c r="N859" s="204" t="s">
        <v>2276</v>
      </c>
      <c r="O859" s="204" t="s">
        <v>2276</v>
      </c>
      <c r="P859" s="204" t="s">
        <v>2276</v>
      </c>
      <c r="Q859" s="204">
        <v>1</v>
      </c>
      <c r="R859" s="204" t="s">
        <v>537</v>
      </c>
      <c r="S859" s="204" t="s">
        <v>2276</v>
      </c>
      <c r="T859" s="204" t="s">
        <v>2276</v>
      </c>
      <c r="U859" s="204" t="s">
        <v>2276</v>
      </c>
      <c r="V859" s="204">
        <v>2</v>
      </c>
      <c r="W859" s="4" t="s">
        <v>8961</v>
      </c>
    </row>
    <row r="860" spans="1:23" ht="45.5" customHeight="1">
      <c r="A860" s="26" t="s">
        <v>8941</v>
      </c>
      <c r="B860" s="26" t="s">
        <v>8946</v>
      </c>
      <c r="C860" s="204" t="s">
        <v>24</v>
      </c>
      <c r="D860" s="204" t="s">
        <v>1105</v>
      </c>
      <c r="E860" s="204" t="s">
        <v>1105</v>
      </c>
      <c r="F860" s="4" t="s">
        <v>74</v>
      </c>
      <c r="G860" s="204"/>
      <c r="H860" s="4" t="s">
        <v>541</v>
      </c>
      <c r="I860" s="204" t="s">
        <v>2276</v>
      </c>
      <c r="J860" s="204" t="s">
        <v>2276</v>
      </c>
      <c r="K860" s="204" t="s">
        <v>2276</v>
      </c>
      <c r="L860" s="204" t="s">
        <v>2276</v>
      </c>
      <c r="M860" s="204" t="s">
        <v>2276</v>
      </c>
      <c r="N860" s="204" t="s">
        <v>2276</v>
      </c>
      <c r="O860" s="204" t="s">
        <v>2276</v>
      </c>
      <c r="P860" s="204" t="s">
        <v>2276</v>
      </c>
      <c r="Q860" s="204" t="s">
        <v>2276</v>
      </c>
      <c r="R860" s="204" t="s">
        <v>534</v>
      </c>
      <c r="S860" s="204" t="s">
        <v>2276</v>
      </c>
      <c r="T860" s="204" t="s">
        <v>2276</v>
      </c>
      <c r="U860" s="204" t="s">
        <v>2276</v>
      </c>
      <c r="V860" s="204">
        <v>3</v>
      </c>
      <c r="W860" s="4" t="s">
        <v>8961</v>
      </c>
    </row>
    <row r="861" spans="1:23" ht="47.5" customHeight="1">
      <c r="A861" s="26" t="s">
        <v>9276</v>
      </c>
      <c r="B861" s="26" t="s">
        <v>9277</v>
      </c>
      <c r="C861" s="204" t="s">
        <v>1105</v>
      </c>
      <c r="D861" s="204" t="s">
        <v>1105</v>
      </c>
      <c r="E861" s="204" t="s">
        <v>2649</v>
      </c>
      <c r="F861" s="204" t="s">
        <v>2663</v>
      </c>
      <c r="G861" s="204"/>
      <c r="H861" s="4" t="s">
        <v>541</v>
      </c>
      <c r="I861" s="204" t="s">
        <v>2690</v>
      </c>
      <c r="J861" s="204" t="s">
        <v>534</v>
      </c>
      <c r="K861" s="204" t="s">
        <v>2276</v>
      </c>
      <c r="L861" s="204" t="s">
        <v>2276</v>
      </c>
      <c r="M861" s="204" t="s">
        <v>2276</v>
      </c>
      <c r="N861" s="204" t="s">
        <v>2276</v>
      </c>
      <c r="O861" s="204" t="s">
        <v>2276</v>
      </c>
      <c r="P861" s="204" t="s">
        <v>2276</v>
      </c>
      <c r="Q861" s="204" t="s">
        <v>2276</v>
      </c>
      <c r="R861" s="204" t="s">
        <v>2276</v>
      </c>
      <c r="S861" s="204" t="s">
        <v>2276</v>
      </c>
      <c r="T861" s="204" t="s">
        <v>2276</v>
      </c>
      <c r="U861" s="204" t="s">
        <v>2276</v>
      </c>
      <c r="V861" s="204" t="s">
        <v>2276</v>
      </c>
      <c r="W861" s="19" t="s">
        <v>9278</v>
      </c>
    </row>
    <row r="862" spans="1:23" ht="45" customHeight="1">
      <c r="A862" s="26" t="s">
        <v>9314</v>
      </c>
      <c r="B862" s="26" t="s">
        <v>9316</v>
      </c>
      <c r="C862" s="204" t="s">
        <v>1242</v>
      </c>
      <c r="D862" s="204" t="s">
        <v>1105</v>
      </c>
      <c r="E862" s="204" t="s">
        <v>2649</v>
      </c>
      <c r="F862" s="204" t="s">
        <v>2663</v>
      </c>
      <c r="G862" s="204"/>
      <c r="H862" s="4" t="s">
        <v>541</v>
      </c>
      <c r="I862" s="204" t="s">
        <v>2690</v>
      </c>
      <c r="J862" s="204" t="s">
        <v>2276</v>
      </c>
      <c r="K862" s="204" t="s">
        <v>2276</v>
      </c>
      <c r="L862" s="204" t="s">
        <v>534</v>
      </c>
      <c r="M862" s="204" t="s">
        <v>2669</v>
      </c>
      <c r="N862" s="204" t="s">
        <v>2276</v>
      </c>
      <c r="O862" s="204" t="s">
        <v>2276</v>
      </c>
      <c r="P862" s="204" t="s">
        <v>534</v>
      </c>
      <c r="Q862" s="204">
        <v>4</v>
      </c>
      <c r="R862" s="204" t="s">
        <v>2276</v>
      </c>
      <c r="S862" s="204" t="s">
        <v>2276</v>
      </c>
      <c r="T862" s="204" t="s">
        <v>2276</v>
      </c>
      <c r="U862" s="204" t="s">
        <v>2276</v>
      </c>
      <c r="V862" s="204" t="s">
        <v>2276</v>
      </c>
      <c r="W862" s="19" t="s">
        <v>9320</v>
      </c>
    </row>
    <row r="863" spans="1:23" ht="45.5" customHeight="1">
      <c r="A863" s="26" t="s">
        <v>9314</v>
      </c>
      <c r="B863" s="26" t="s">
        <v>9319</v>
      </c>
      <c r="C863" s="204" t="s">
        <v>1242</v>
      </c>
      <c r="D863" s="204" t="s">
        <v>1105</v>
      </c>
      <c r="E863" s="4" t="s">
        <v>3209</v>
      </c>
      <c r="F863" s="204" t="s">
        <v>2663</v>
      </c>
      <c r="G863" s="204"/>
      <c r="H863" s="4" t="s">
        <v>541</v>
      </c>
      <c r="I863" s="204" t="s">
        <v>2690</v>
      </c>
      <c r="J863" s="204" t="s">
        <v>2276</v>
      </c>
      <c r="K863" s="204" t="s">
        <v>2276</v>
      </c>
      <c r="L863" s="204" t="s">
        <v>534</v>
      </c>
      <c r="M863" s="204" t="s">
        <v>2669</v>
      </c>
      <c r="N863" s="204" t="s">
        <v>2276</v>
      </c>
      <c r="O863" s="204" t="s">
        <v>2276</v>
      </c>
      <c r="P863" s="204" t="s">
        <v>534</v>
      </c>
      <c r="Q863" s="204">
        <v>4</v>
      </c>
      <c r="R863" s="204" t="s">
        <v>2276</v>
      </c>
      <c r="S863" s="204" t="s">
        <v>2276</v>
      </c>
      <c r="T863" s="204" t="s">
        <v>2276</v>
      </c>
      <c r="U863" s="204" t="s">
        <v>2276</v>
      </c>
      <c r="V863" s="204" t="s">
        <v>2276</v>
      </c>
      <c r="W863" s="19" t="s">
        <v>9320</v>
      </c>
    </row>
    <row r="864" spans="1:23" ht="53" customHeight="1">
      <c r="A864" s="11" t="s">
        <v>9322</v>
      </c>
      <c r="B864" s="11" t="s">
        <v>9324</v>
      </c>
      <c r="C864" s="204" t="s">
        <v>1242</v>
      </c>
      <c r="D864" s="204" t="s">
        <v>1105</v>
      </c>
      <c r="E864" s="204" t="s">
        <v>1105</v>
      </c>
      <c r="F864" s="4" t="s">
        <v>2662</v>
      </c>
      <c r="G864" s="204"/>
      <c r="H864" s="4" t="s">
        <v>541</v>
      </c>
      <c r="I864" s="204" t="s">
        <v>2691</v>
      </c>
      <c r="J864" s="204" t="s">
        <v>534</v>
      </c>
      <c r="K864" s="204" t="s">
        <v>534</v>
      </c>
      <c r="L864" s="204" t="s">
        <v>2276</v>
      </c>
      <c r="M864" s="204" t="s">
        <v>2276</v>
      </c>
      <c r="N864" s="204" t="s">
        <v>2276</v>
      </c>
      <c r="O864" s="204" t="s">
        <v>2276</v>
      </c>
      <c r="P864" s="204" t="s">
        <v>2276</v>
      </c>
      <c r="Q864" s="204" t="s">
        <v>2276</v>
      </c>
      <c r="R864" s="204" t="s">
        <v>2276</v>
      </c>
      <c r="S864" s="204" t="s">
        <v>2276</v>
      </c>
      <c r="T864" s="204" t="s">
        <v>2276</v>
      </c>
      <c r="U864" s="204" t="s">
        <v>2276</v>
      </c>
      <c r="V864" s="204" t="s">
        <v>2276</v>
      </c>
      <c r="W864" s="19" t="s">
        <v>9340</v>
      </c>
    </row>
    <row r="865" spans="1:23" ht="61.5" customHeight="1">
      <c r="A865" s="26" t="s">
        <v>9382</v>
      </c>
      <c r="B865" s="26" t="s">
        <v>9383</v>
      </c>
      <c r="C865" s="204" t="s">
        <v>24</v>
      </c>
      <c r="D865" s="204" t="s">
        <v>1105</v>
      </c>
      <c r="E865" s="204" t="s">
        <v>1105</v>
      </c>
      <c r="F865" s="4" t="s">
        <v>2662</v>
      </c>
      <c r="G865" s="204"/>
      <c r="H865" s="4" t="s">
        <v>2673</v>
      </c>
      <c r="I865" s="204" t="s">
        <v>2276</v>
      </c>
      <c r="J865" s="204" t="s">
        <v>2276</v>
      </c>
      <c r="K865" s="204" t="s">
        <v>2276</v>
      </c>
      <c r="L865" s="204" t="s">
        <v>2276</v>
      </c>
      <c r="M865" s="204" t="s">
        <v>2276</v>
      </c>
      <c r="N865" s="204" t="s">
        <v>2276</v>
      </c>
      <c r="O865" s="204" t="s">
        <v>2276</v>
      </c>
      <c r="P865" s="204" t="s">
        <v>2276</v>
      </c>
      <c r="Q865" s="204" t="s">
        <v>2276</v>
      </c>
      <c r="R865" s="204" t="s">
        <v>534</v>
      </c>
      <c r="S865" s="204" t="s">
        <v>2276</v>
      </c>
      <c r="T865" s="204" t="s">
        <v>2276</v>
      </c>
      <c r="U865" s="204" t="s">
        <v>2276</v>
      </c>
      <c r="V865" s="204">
        <v>3</v>
      </c>
      <c r="W865" s="19" t="s">
        <v>9397</v>
      </c>
    </row>
    <row r="866" spans="1:23" ht="48.5" customHeight="1">
      <c r="A866" s="26" t="s">
        <v>9405</v>
      </c>
      <c r="B866" s="26" t="s">
        <v>9407</v>
      </c>
      <c r="C866" s="204" t="s">
        <v>24</v>
      </c>
      <c r="D866" s="204" t="s">
        <v>1105</v>
      </c>
      <c r="E866" s="204" t="s">
        <v>1105</v>
      </c>
      <c r="F866" s="4" t="s">
        <v>74</v>
      </c>
      <c r="G866" s="204"/>
      <c r="H866" s="4" t="s">
        <v>541</v>
      </c>
      <c r="I866" s="204" t="s">
        <v>2276</v>
      </c>
      <c r="J866" s="204" t="s">
        <v>2276</v>
      </c>
      <c r="K866" s="204" t="s">
        <v>2276</v>
      </c>
      <c r="L866" s="204" t="s">
        <v>2276</v>
      </c>
      <c r="M866" s="204" t="s">
        <v>537</v>
      </c>
      <c r="N866" s="204" t="s">
        <v>537</v>
      </c>
      <c r="O866" s="204" t="s">
        <v>537</v>
      </c>
      <c r="P866" s="204" t="s">
        <v>537</v>
      </c>
      <c r="Q866" s="204" t="s">
        <v>2276</v>
      </c>
      <c r="R866" s="204" t="s">
        <v>537</v>
      </c>
      <c r="S866" s="204" t="s">
        <v>537</v>
      </c>
      <c r="T866" s="204" t="s">
        <v>537</v>
      </c>
      <c r="U866" s="204" t="s">
        <v>537</v>
      </c>
      <c r="V866" s="204" t="s">
        <v>2276</v>
      </c>
      <c r="W866" s="19" t="s">
        <v>9420</v>
      </c>
    </row>
    <row r="867" spans="1:23" ht="42.5" customHeight="1">
      <c r="A867" s="26" t="s">
        <v>9405</v>
      </c>
      <c r="B867" s="26" t="s">
        <v>9408</v>
      </c>
      <c r="C867" s="204" t="s">
        <v>24</v>
      </c>
      <c r="D867" s="204" t="s">
        <v>1105</v>
      </c>
      <c r="E867" s="4" t="s">
        <v>3855</v>
      </c>
      <c r="F867" s="4" t="s">
        <v>28</v>
      </c>
      <c r="G867" s="204"/>
      <c r="H867" s="4" t="s">
        <v>541</v>
      </c>
      <c r="I867" s="204" t="s">
        <v>537</v>
      </c>
      <c r="J867" s="204" t="s">
        <v>537</v>
      </c>
      <c r="K867" s="204" t="s">
        <v>537</v>
      </c>
      <c r="L867" s="204" t="s">
        <v>537</v>
      </c>
      <c r="M867" s="204" t="s">
        <v>2276</v>
      </c>
      <c r="N867" s="204" t="s">
        <v>2276</v>
      </c>
      <c r="O867" s="204" t="s">
        <v>2276</v>
      </c>
      <c r="P867" s="204" t="s">
        <v>2276</v>
      </c>
      <c r="Q867" s="204" t="s">
        <v>2276</v>
      </c>
      <c r="R867" s="204" t="s">
        <v>2276</v>
      </c>
      <c r="S867" s="204" t="s">
        <v>2276</v>
      </c>
      <c r="T867" s="204" t="s">
        <v>2276</v>
      </c>
      <c r="U867" s="204" t="s">
        <v>2276</v>
      </c>
      <c r="V867" s="204" t="s">
        <v>2276</v>
      </c>
      <c r="W867" s="19" t="s">
        <v>9421</v>
      </c>
    </row>
    <row r="868" spans="1:23" ht="37" customHeight="1">
      <c r="A868" s="26" t="s">
        <v>9405</v>
      </c>
      <c r="B868" s="26" t="s">
        <v>9409</v>
      </c>
      <c r="C868" s="204" t="s">
        <v>24</v>
      </c>
      <c r="D868" s="204" t="s">
        <v>1105</v>
      </c>
      <c r="E868" s="4" t="s">
        <v>130</v>
      </c>
      <c r="F868" s="4" t="s">
        <v>28</v>
      </c>
      <c r="G868" s="204"/>
      <c r="H868" s="4" t="s">
        <v>541</v>
      </c>
      <c r="I868" s="204" t="s">
        <v>537</v>
      </c>
      <c r="J868" s="204" t="s">
        <v>537</v>
      </c>
      <c r="K868" s="204" t="s">
        <v>537</v>
      </c>
      <c r="L868" s="204" t="s">
        <v>537</v>
      </c>
      <c r="M868" s="204" t="s">
        <v>2276</v>
      </c>
      <c r="N868" s="204" t="s">
        <v>2276</v>
      </c>
      <c r="O868" s="204" t="s">
        <v>2276</v>
      </c>
      <c r="P868" s="204" t="s">
        <v>2276</v>
      </c>
      <c r="Q868" s="204" t="s">
        <v>2276</v>
      </c>
      <c r="R868" s="204" t="s">
        <v>2276</v>
      </c>
      <c r="S868" s="204" t="s">
        <v>2276</v>
      </c>
      <c r="T868" s="204" t="s">
        <v>2276</v>
      </c>
      <c r="U868" s="204" t="s">
        <v>2276</v>
      </c>
      <c r="V868" s="204" t="s">
        <v>2276</v>
      </c>
      <c r="W868" s="19" t="s">
        <v>9421</v>
      </c>
    </row>
    <row r="869" spans="1:23" ht="53.5" customHeight="1">
      <c r="A869" s="26" t="s">
        <v>9405</v>
      </c>
      <c r="B869" s="26" t="s">
        <v>9410</v>
      </c>
      <c r="C869" s="204" t="s">
        <v>24</v>
      </c>
      <c r="D869" s="204" t="s">
        <v>1105</v>
      </c>
      <c r="E869" s="4" t="s">
        <v>3855</v>
      </c>
      <c r="F869" s="4" t="s">
        <v>2663</v>
      </c>
      <c r="G869" s="204"/>
      <c r="H869" s="4" t="s">
        <v>541</v>
      </c>
      <c r="I869" s="204" t="s">
        <v>537</v>
      </c>
      <c r="J869" s="204" t="s">
        <v>537</v>
      </c>
      <c r="K869" s="204" t="s">
        <v>537</v>
      </c>
      <c r="L869" s="204" t="s">
        <v>537</v>
      </c>
      <c r="M869" s="204" t="s">
        <v>2276</v>
      </c>
      <c r="N869" s="204" t="s">
        <v>2276</v>
      </c>
      <c r="O869" s="204" t="s">
        <v>2276</v>
      </c>
      <c r="P869" s="204" t="s">
        <v>2276</v>
      </c>
      <c r="Q869" s="204" t="s">
        <v>2276</v>
      </c>
      <c r="R869" s="204" t="s">
        <v>2276</v>
      </c>
      <c r="S869" s="204" t="s">
        <v>2276</v>
      </c>
      <c r="T869" s="204" t="s">
        <v>2276</v>
      </c>
      <c r="U869" s="204" t="s">
        <v>2276</v>
      </c>
      <c r="V869" s="204" t="s">
        <v>2276</v>
      </c>
      <c r="W869" s="19" t="s">
        <v>9421</v>
      </c>
    </row>
    <row r="870" spans="1:23" ht="49" customHeight="1">
      <c r="A870" s="26" t="s">
        <v>9405</v>
      </c>
      <c r="B870" s="26" t="s">
        <v>9411</v>
      </c>
      <c r="C870" s="204" t="s">
        <v>24</v>
      </c>
      <c r="D870" s="204" t="s">
        <v>1105</v>
      </c>
      <c r="E870" s="4" t="s">
        <v>130</v>
      </c>
      <c r="F870" s="4" t="s">
        <v>2663</v>
      </c>
      <c r="G870" s="204"/>
      <c r="H870" s="4" t="s">
        <v>541</v>
      </c>
      <c r="I870" s="204" t="s">
        <v>537</v>
      </c>
      <c r="J870" s="204" t="s">
        <v>537</v>
      </c>
      <c r="K870" s="204" t="s">
        <v>537</v>
      </c>
      <c r="L870" s="204" t="s">
        <v>537</v>
      </c>
      <c r="M870" s="204" t="s">
        <v>2276</v>
      </c>
      <c r="N870" s="204" t="s">
        <v>2276</v>
      </c>
      <c r="O870" s="204" t="s">
        <v>2276</v>
      </c>
      <c r="P870" s="204" t="s">
        <v>2276</v>
      </c>
      <c r="Q870" s="204" t="s">
        <v>2276</v>
      </c>
      <c r="R870" s="204" t="s">
        <v>2276</v>
      </c>
      <c r="S870" s="204" t="s">
        <v>2276</v>
      </c>
      <c r="T870" s="204" t="s">
        <v>2276</v>
      </c>
      <c r="U870" s="204" t="s">
        <v>2276</v>
      </c>
      <c r="V870" s="204" t="s">
        <v>2276</v>
      </c>
      <c r="W870" s="19" t="s">
        <v>9421</v>
      </c>
    </row>
    <row r="871" spans="1:23" ht="49" customHeight="1">
      <c r="A871" s="26" t="s">
        <v>9504</v>
      </c>
      <c r="B871" s="26" t="s">
        <v>9507</v>
      </c>
      <c r="C871" s="204" t="s">
        <v>24</v>
      </c>
      <c r="D871" s="204" t="s">
        <v>1105</v>
      </c>
      <c r="E871" s="204" t="s">
        <v>1105</v>
      </c>
      <c r="F871" s="4" t="s">
        <v>74</v>
      </c>
      <c r="G871" s="204"/>
      <c r="H871" s="4" t="s">
        <v>541</v>
      </c>
      <c r="I871" s="204" t="s">
        <v>2276</v>
      </c>
      <c r="J871" s="204" t="s">
        <v>2276</v>
      </c>
      <c r="K871" s="204" t="s">
        <v>2276</v>
      </c>
      <c r="L871" s="204" t="s">
        <v>2276</v>
      </c>
      <c r="M871" s="204" t="s">
        <v>2669</v>
      </c>
      <c r="N871" s="204" t="s">
        <v>2276</v>
      </c>
      <c r="O871" s="204" t="s">
        <v>534</v>
      </c>
      <c r="P871" s="204" t="s">
        <v>2276</v>
      </c>
      <c r="Q871" s="204" t="s">
        <v>2276</v>
      </c>
      <c r="R871" s="204" t="s">
        <v>537</v>
      </c>
      <c r="S871" s="204" t="s">
        <v>2276</v>
      </c>
      <c r="T871" s="204" t="s">
        <v>2276</v>
      </c>
      <c r="U871" s="204" t="s">
        <v>2276</v>
      </c>
      <c r="V871" s="204" t="s">
        <v>2276</v>
      </c>
      <c r="W871" s="4" t="s">
        <v>9514</v>
      </c>
    </row>
    <row r="872" spans="1:23" ht="54.5" customHeight="1">
      <c r="A872" s="26" t="s">
        <v>9506</v>
      </c>
      <c r="B872" s="26" t="s">
        <v>9511</v>
      </c>
      <c r="C872" s="204" t="s">
        <v>24</v>
      </c>
      <c r="D872" s="204" t="s">
        <v>1105</v>
      </c>
      <c r="E872" s="204" t="s">
        <v>1105</v>
      </c>
      <c r="F872" s="4" t="s">
        <v>74</v>
      </c>
      <c r="G872" s="204">
        <v>1997</v>
      </c>
      <c r="H872" s="4" t="s">
        <v>541</v>
      </c>
      <c r="I872" s="204" t="s">
        <v>2276</v>
      </c>
      <c r="J872" s="204" t="s">
        <v>2276</v>
      </c>
      <c r="K872" s="204" t="s">
        <v>2276</v>
      </c>
      <c r="L872" s="204" t="s">
        <v>2276</v>
      </c>
      <c r="M872" s="204" t="s">
        <v>2669</v>
      </c>
      <c r="N872" s="204" t="s">
        <v>2276</v>
      </c>
      <c r="O872" s="204" t="s">
        <v>534</v>
      </c>
      <c r="P872" s="204" t="s">
        <v>2276</v>
      </c>
      <c r="Q872" s="204" t="s">
        <v>2276</v>
      </c>
      <c r="R872" s="204" t="s">
        <v>537</v>
      </c>
      <c r="S872" s="204" t="s">
        <v>2276</v>
      </c>
      <c r="T872" s="204" t="s">
        <v>2276</v>
      </c>
      <c r="U872" s="204" t="s">
        <v>2276</v>
      </c>
      <c r="V872" s="204" t="s">
        <v>2276</v>
      </c>
      <c r="W872" s="4" t="s">
        <v>9514</v>
      </c>
    </row>
    <row r="873" spans="1:23" ht="47.5" customHeight="1">
      <c r="A873" s="26" t="s">
        <v>9506</v>
      </c>
      <c r="B873" s="26" t="s">
        <v>9512</v>
      </c>
      <c r="C873" s="204" t="s">
        <v>24</v>
      </c>
      <c r="D873" s="204" t="s">
        <v>1105</v>
      </c>
      <c r="E873" s="204" t="s">
        <v>1105</v>
      </c>
      <c r="F873" s="4" t="s">
        <v>74</v>
      </c>
      <c r="G873" s="204">
        <v>1985</v>
      </c>
      <c r="H873" s="4" t="s">
        <v>541</v>
      </c>
      <c r="I873" s="204" t="s">
        <v>2276</v>
      </c>
      <c r="J873" s="204" t="s">
        <v>2276</v>
      </c>
      <c r="K873" s="204" t="s">
        <v>2276</v>
      </c>
      <c r="L873" s="204" t="s">
        <v>2276</v>
      </c>
      <c r="M873" s="204" t="s">
        <v>537</v>
      </c>
      <c r="N873" s="204" t="s">
        <v>2276</v>
      </c>
      <c r="O873" s="204" t="s">
        <v>2276</v>
      </c>
      <c r="P873" s="204" t="s">
        <v>2276</v>
      </c>
      <c r="Q873" s="204" t="s">
        <v>2276</v>
      </c>
      <c r="R873" s="204" t="s">
        <v>537</v>
      </c>
      <c r="S873" s="204" t="s">
        <v>2276</v>
      </c>
      <c r="T873" s="204" t="s">
        <v>2276</v>
      </c>
      <c r="U873" s="204" t="s">
        <v>2276</v>
      </c>
      <c r="V873" s="204" t="s">
        <v>2276</v>
      </c>
      <c r="W873" s="4" t="s">
        <v>9515</v>
      </c>
    </row>
    <row r="874" spans="1:23" ht="44.5" customHeight="1">
      <c r="A874" s="26" t="s">
        <v>9621</v>
      </c>
      <c r="B874" s="26" t="s">
        <v>9622</v>
      </c>
      <c r="C874" s="204" t="s">
        <v>24</v>
      </c>
      <c r="D874" s="204" t="s">
        <v>1105</v>
      </c>
      <c r="E874" s="204" t="s">
        <v>1105</v>
      </c>
      <c r="F874" s="4" t="s">
        <v>74</v>
      </c>
      <c r="G874" s="204"/>
      <c r="H874" s="4" t="s">
        <v>541</v>
      </c>
      <c r="I874" s="204" t="s">
        <v>537</v>
      </c>
      <c r="J874" s="204" t="s">
        <v>537</v>
      </c>
      <c r="K874" s="204" t="s">
        <v>537</v>
      </c>
      <c r="L874" s="204" t="s">
        <v>537</v>
      </c>
      <c r="M874" s="204" t="s">
        <v>2276</v>
      </c>
      <c r="N874" s="204" t="s">
        <v>2276</v>
      </c>
      <c r="O874" s="204" t="s">
        <v>2276</v>
      </c>
      <c r="P874" s="204" t="s">
        <v>2276</v>
      </c>
      <c r="Q874" s="204" t="s">
        <v>2276</v>
      </c>
      <c r="R874" s="204" t="s">
        <v>534</v>
      </c>
      <c r="S874" s="204" t="s">
        <v>2276</v>
      </c>
      <c r="T874" s="204" t="s">
        <v>2276</v>
      </c>
      <c r="U874" s="204" t="s">
        <v>2276</v>
      </c>
      <c r="V874" s="204">
        <v>1</v>
      </c>
      <c r="W874" s="19" t="s">
        <v>9624</v>
      </c>
    </row>
    <row r="875" spans="1:23" ht="52.5" customHeight="1">
      <c r="A875" s="26" t="s">
        <v>9731</v>
      </c>
      <c r="B875" s="26" t="s">
        <v>9733</v>
      </c>
      <c r="C875" s="204" t="s">
        <v>24</v>
      </c>
      <c r="D875" s="204" t="s">
        <v>143</v>
      </c>
      <c r="E875" s="204" t="s">
        <v>1105</v>
      </c>
      <c r="F875" s="4" t="s">
        <v>74</v>
      </c>
      <c r="G875" s="204"/>
      <c r="H875" s="4" t="s">
        <v>541</v>
      </c>
      <c r="I875" s="204" t="s">
        <v>2276</v>
      </c>
      <c r="J875" s="204" t="s">
        <v>2276</v>
      </c>
      <c r="K875" s="204" t="s">
        <v>2276</v>
      </c>
      <c r="L875" s="204" t="s">
        <v>2276</v>
      </c>
      <c r="M875" s="204" t="s">
        <v>2276</v>
      </c>
      <c r="N875" s="204" t="s">
        <v>2276</v>
      </c>
      <c r="O875" s="204" t="s">
        <v>2276</v>
      </c>
      <c r="P875" s="204" t="s">
        <v>2276</v>
      </c>
      <c r="Q875" s="204" t="s">
        <v>2276</v>
      </c>
      <c r="R875" s="204" t="s">
        <v>534</v>
      </c>
      <c r="S875" s="204" t="s">
        <v>2276</v>
      </c>
      <c r="T875" s="204" t="s">
        <v>2276</v>
      </c>
      <c r="U875" s="204" t="s">
        <v>2276</v>
      </c>
      <c r="V875" s="204">
        <v>1</v>
      </c>
      <c r="W875" s="4" t="s">
        <v>9737</v>
      </c>
    </row>
    <row r="876" spans="1:23" ht="52.5" customHeight="1">
      <c r="A876" s="26" t="s">
        <v>9854</v>
      </c>
      <c r="B876" s="26" t="s">
        <v>9857</v>
      </c>
      <c r="C876" s="204" t="s">
        <v>24</v>
      </c>
      <c r="D876" s="204" t="s">
        <v>1105</v>
      </c>
      <c r="E876" s="204" t="s">
        <v>1105</v>
      </c>
      <c r="F876" s="4" t="s">
        <v>2662</v>
      </c>
      <c r="G876" s="204"/>
      <c r="H876" s="4" t="s">
        <v>541</v>
      </c>
      <c r="I876" s="204" t="s">
        <v>2276</v>
      </c>
      <c r="J876" s="204" t="s">
        <v>2276</v>
      </c>
      <c r="K876" s="204" t="s">
        <v>2276</v>
      </c>
      <c r="L876" s="204" t="s">
        <v>2276</v>
      </c>
      <c r="M876" s="204" t="s">
        <v>2276</v>
      </c>
      <c r="N876" s="204" t="s">
        <v>2276</v>
      </c>
      <c r="O876" s="204" t="s">
        <v>2276</v>
      </c>
      <c r="P876" s="204" t="s">
        <v>2276</v>
      </c>
      <c r="Q876" s="204" t="s">
        <v>2276</v>
      </c>
      <c r="R876" s="204" t="s">
        <v>534</v>
      </c>
      <c r="S876" s="204" t="s">
        <v>2276</v>
      </c>
      <c r="T876" s="204" t="s">
        <v>2276</v>
      </c>
      <c r="U876" s="204" t="s">
        <v>2276</v>
      </c>
      <c r="V876" s="204">
        <v>2</v>
      </c>
      <c r="W876" s="19" t="s">
        <v>9871</v>
      </c>
    </row>
    <row r="877" spans="1:23" ht="51" customHeight="1">
      <c r="A877" s="26" t="s">
        <v>9854</v>
      </c>
      <c r="B877" s="26" t="s">
        <v>9858</v>
      </c>
      <c r="C877" s="204" t="s">
        <v>24</v>
      </c>
      <c r="D877" s="204" t="s">
        <v>27</v>
      </c>
      <c r="E877" s="204" t="s">
        <v>1105</v>
      </c>
      <c r="F877" s="4" t="s">
        <v>160</v>
      </c>
      <c r="G877" s="204"/>
      <c r="H877" s="4" t="s">
        <v>541</v>
      </c>
      <c r="I877" s="204" t="s">
        <v>2690</v>
      </c>
      <c r="J877" s="204" t="s">
        <v>534</v>
      </c>
      <c r="K877" s="204" t="s">
        <v>2276</v>
      </c>
      <c r="L877" s="204" t="s">
        <v>2276</v>
      </c>
      <c r="M877" s="204" t="s">
        <v>2276</v>
      </c>
      <c r="N877" s="204" t="s">
        <v>2276</v>
      </c>
      <c r="O877" s="204" t="s">
        <v>2276</v>
      </c>
      <c r="P877" s="204" t="s">
        <v>2276</v>
      </c>
      <c r="Q877" s="204" t="s">
        <v>2276</v>
      </c>
      <c r="R877" s="204" t="s">
        <v>534</v>
      </c>
      <c r="S877" s="204" t="s">
        <v>2276</v>
      </c>
      <c r="T877" s="204" t="s">
        <v>2276</v>
      </c>
      <c r="U877" s="204" t="s">
        <v>2276</v>
      </c>
      <c r="V877" s="204" t="s">
        <v>2276</v>
      </c>
      <c r="W877" s="19" t="s">
        <v>9872</v>
      </c>
    </row>
  </sheetData>
  <autoFilter ref="A1:A775"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65" yWindow="426"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37:B743 A680:A684 A703:B704 A606:A678 A711:B713 B636:B637 A737:A761 B780:B782 A776:A795 B804:B806 B810:B815 A804:A824 A840:A845 B859:B860 B864 A855:A1048576"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05:B706 B634:B635 B744:B761 B776:B779 B784:B795 B807:B809 B816:B824 B840:B845 B855:B858 B861:B863 B865: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07:B710 A714:B736 A762:B775 A846:B851" xr:uid="{9B49D527-4568-45EF-ACB7-88D850410F7C}"/>
    <dataValidation allowBlank="1" showInputMessage="1" showErrorMessage="1" prompt="Case study ID + .1, .2 etc for each direct fire creation PCB associated with the case study" sqref="B373:B381 B468:B471 B527:B530 B545:B546 B557:B560 B579:B580 B602:B605 B630 B632:B633 B783 B685:B702" xr:uid="{7687EF30-3597-4A79-9EE7-28C1CA362F13}"/>
    <dataValidation type="whole" allowBlank="1" showInputMessage="1" showErrorMessage="1" prompt="Blank if refers to all study years" sqref="G1:G526 G606:G617 G531:G601 G631:G704 G707:G1048576" xr:uid="{A7CD2C9D-7B72-4BC4-B631-CD1DBB9E2AB6}">
      <formula1>1900</formula1>
      <formula2>2020</formula2>
    </dataValidation>
    <dataValidation allowBlank="1" showInputMessage="1" showErrorMessage="1" prompt="The same as Case study ID in Record Info_x000a_" sqref="A532:A536 A796:B803 A685:A702 A825:B839 A852:B854"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65" yWindow="426"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R744:V745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N744:P745 V747:V755 K747:K751 R746:U748 L749:U751 K752:U755 J747:J755 V761:V774 R758:V759 R756:U757 O758:O759 J765:L765 J770:L770 N545:V546 J545:L546 S760:U774 U778:U779 R760:R779 J788 T784 R783:R785 P786:P787 K789 O786:O788 N790 P790 K791:K792 T795 R795:R803 S806:U806 J806:K806 S814:U814 R806:R807 P808:P809 N808:N809 K808 P816 R810:R817 S816:U817 K819 P818 R820:R821 R836:V839 O824:O835 P836:P839 O842:P842 P845 R846:R853 U846:U853 S852:T853 L853:L854 J853:J854 R855:R860 J861 L862:L863 P862:P863 J864:K864 J878:L1048576 R865 O871:O872 S878:U1048576 R874:R1048576 N878:P1048576 J877</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Q744:Q745 V746 V756:V757 V760 Q758:Q761 V777:V779 Q780:Q782 V783:V784 Q786:Q788 Q790 Q793:Q794 V795 V800:V803 V807 Q808:Q809 V810:V813 V815 Q816:Q817 V820:V821 Q878:Q1048576 Q824:Q839 Q845 V846:V853 Q859 V855:V860 Q862:Q863 V865 V874:V876 V878:V1048576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M744:M745 M747:M748 M545:M547 M758:M774 M780:M782 M786:M788 M790 M793:M794 M796:M799 M804:M805 M808:M809 N817:P817 M816:M818 M824:M843 M845 M859 M862:M863 R866:U866 M866:P866 M871:M873 M878:M1048576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C748:C779 E784 C784:D785 E786:E788 E790 D790:D792 C789:C824 C845:C857 C859:C860 C865:C1048576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F744:F755 F758:F783 F789:F794 F796:F809 F814:F824 F843:F844 F857 F859 F861:F865 F876:F1048576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J745:L745 I744:L744 N747:Q748 J746:Q746 L747:L748 P758:P785 J756:Q757 N758:N789 O760:O785 Q762:Q779 J758:L764 J766:L769 J771:L774 I545:I546 S777:U777 S775:V776 S778:T779 J775:M779 R780:V782 J780:L782 Q783:Q785 S783:U783 V785:V794 S784:S805 U784:U805 T785:T794 J783:M785 J789 J786:L787 R786:R794 K788:L788 P788:P789 I790:L790 L789:M789 I745:I789 Q789 O789:O816 P791:Q792 J791:J805 L791:N792 P793:P807 K793:L794 N793:N807 Q795:Q807 K795:M795 V796:V799 K796:L799 T796:T805 K800:M803 S807:U807 K804:L805 R804:R805 V804:V806 L806:M806 R808:V809 J807:M807 J808:J821 K809:K818 V814 S810:U813 S815:U815 P810:Q815 M810:N815 Q818:V818 N816 M820:Q823 N818:O818 V816:V817 M819:V819 S820:U821 L808:L821 K820:K821 N824:N853 P824:P835 R822:V835 O836:O841 P840:V841 Q842:V842 I844:M844 R845:V845 I791:I843 J822:L843 O843:V844 O845:O853 K852:K863 I845:L851 M846:M853 S846:T851 M854:V854 J852 L852 P846:Q853 J855:J860 L855:Q858 M861:V861 L864:V864 M860:Q860 N859:P859 S855:U860 L859:L861 J862:J863 N862:O863 R862:V863 S865:U865 J865:Q865 Q866:Q877 V866:V873 M867:P870 N871:N877 P871:P877 R867:U873 O873:O877 M874:M877 S874:U877 V877 I852:I1048576 K866:L877 J866:J876</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C780:C783 C786:C788 C825:C844</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F756:F757 F545:F546 F784:F788 F795 F810:F813 F825:F842 F845:F856 F858 F860 F866:F875</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E744:E746 D749:D752 E749:E755 E758:E761 D545:E556 E707:E708 E711 E772:E774 E778:E779 E789 E793:E794 E796:E799 E806:E809 E814:E824 E843:E844 E846:E857 E861:E862 E867:E870 E878:E1048576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E744:E746 E749:E755 E758:E761 E545 E707:E708 E711 D546 E772:E779 D742:D783 D786:D789 E789 D793:E794 D795 D796:E809 D810:D813 D814:E824 E843:E844 C858 C861:C864 E846:E862 D825:D1048576 E864:E1048576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H744:H745 H1:H678 H749:H1048576</xm:sqref>
        </x14:dataValidation>
        <x14:dataValidation type="list" allowBlank="1" showInputMessage="1" showErrorMessage="1" xr:uid="{D1FCC99B-F560-425B-BFB0-C7277F7F06BE}">
          <x14:formula1>
            <xm:f>'IGNORE Lookups'!$C$23:$C$45</xm:f>
          </x14:formula1>
          <xm:sqref>E625:E629 E632:E633 E637 E639 E641 E643:E678 E747:E748 E756:E757 E762:E771 E780:E783 E785 E791:E792 E795 E810:E813 E825:E842 E845 E863</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H707:L713 I714:L741 D707:D708 D710:D741 N705:Q713 R709:V713 S705:V708 R741:S743 O716:Q737 P738:V738 O739:Q743 R737:V737 O715:V715 T714:V714 T716:V736 T739:V743 R717:S717 R719:S720 R722:S723 R725:S725 R727:S727 R729:S729 R731:S731 R733:S733 R735:S735 K742:N742 L743:N743 M739:N740 M736:N736 M734:N734 M732:N732 M730:N730 M728:N728 M726:N726 M724:N724 M721:N721 M718:N718 M714:Q714 C679:F704 N679:V704 M679:M702 I679:L706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F708 C711:C747 F741 E742:F743 E712:E741 R707:R708 O738 R714:S714 R736:S736 R739:S740 R716:S716 R718:S718 R721:S721 R724:S724 R726:S726 R728:S728 R730:S730 R732:S732 R734:S734 K743 I742:J743 M741:N741 M737:N738 M735:N735 M733:N733 M731:N731 M729:N729 M727:N727 M725:N725 M722:N723 M719:N720 M706:M713 M715:N717 M703:M704</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H746:H748 H714:H743</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C705:F706 F709:F740 R705:R706 M705</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H705:H706</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E709:E710 E712:E737</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C707:C710</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topLeftCell="A16"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6801</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2378</v>
      </c>
      <c r="F42" s="135" t="s">
        <v>2385</v>
      </c>
      <c r="G42" s="135"/>
      <c r="H42" s="135"/>
    </row>
    <row r="43" spans="1:10">
      <c r="C43" s="3" t="s">
        <v>137</v>
      </c>
      <c r="E43" s="121" t="s">
        <v>8724</v>
      </c>
      <c r="F43" s="122" t="s">
        <v>2386</v>
      </c>
      <c r="G43" s="135"/>
      <c r="H43" s="135"/>
    </row>
    <row r="44" spans="1:10" ht="15" thickBot="1">
      <c r="C44" s="145" t="s">
        <v>3209</v>
      </c>
      <c r="E44" s="124" t="s">
        <v>8725</v>
      </c>
      <c r="F44" s="141" t="s">
        <v>2276</v>
      </c>
      <c r="G44" s="125"/>
      <c r="H44" s="125"/>
    </row>
    <row r="45" spans="1:10" ht="15" thickBot="1">
      <c r="C45" s="130" t="s">
        <v>5801</v>
      </c>
      <c r="E45" s="124" t="s">
        <v>2276</v>
      </c>
    </row>
    <row r="46" spans="1:10">
      <c r="C46" s="145" t="s">
        <v>9476</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2020-09-10T13:02:04Z</dcterms:modified>
</cp:coreProperties>
</file>